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75.xml" ContentType="application/vnd.openxmlformats-officedocument.drawingml.chart+xml"/>
  <Override PartName="/xl/charts/chart74.xml" ContentType="application/vnd.openxmlformats-officedocument.drawingml.chart+xml"/>
  <Override PartName="/xl/charts/chart73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<sst xmlns="http://schemas.openxmlformats.org/spreadsheetml/2006/main" count="4790" uniqueCount="615">
  <si>
    <t xml:space="preserve">DADOS PARA CALCULO DO RAIO full</t>
  </si>
  <si>
    <t xml:space="preserve">DADOS PARA CALCULO DO RAIO B.K</t>
  </si>
  <si>
    <t xml:space="preserve">DADOS PARA CALCULO DA LUMINOSIDADE</t>
  </si>
  <si>
    <t xml:space="preserve">DADOS COLETADOS DOS ARQUIVOS 2011 VINICIUS E 2007 NTT</t>
  </si>
  <si>
    <t xml:space="preserve">DADOS CALCULADOS</t>
  </si>
  <si>
    <t xml:space="preserve">DADOS PYTHON</t>
  </si>
  <si>
    <t xml:space="preserve">REGRESSÃO MULTI PARAMÉTRICA</t>
  </si>
  <si>
    <t xml:space="preserve">Galaxy</t>
  </si>
  <si>
    <t xml:space="preserve">SMA0 = y0</t>
  </si>
  <si>
    <t xml:space="preserve">x0</t>
  </si>
  <si>
    <t xml:space="preserve">SMA1 = y1</t>
  </si>
  <si>
    <t xml:space="preserve">x1</t>
  </si>
  <si>
    <t xml:space="preserve">TFLUX_E/2 = X</t>
  </si>
  <si>
    <t xml:space="preserve">SMA obs</t>
  </si>
  <si>
    <t xml:space="preserve">ellipse</t>
  </si>
  <si>
    <t xml:space="preserve">Rseeing conti r</t>
  </si>
  <si>
    <t xml:space="preserve">SMA obs B.K</t>
  </si>
  <si>
    <t xml:space="preserve">F(HB) full e-14</t>
  </si>
  <si>
    <t xml:space="preserve">erro F(HB) full e-14</t>
  </si>
  <si>
    <t xml:space="preserve">F(HB) B.K e-14</t>
  </si>
  <si>
    <t xml:space="preserve">erro F(HB) B.K e-14</t>
  </si>
  <si>
    <t xml:space="preserve">c(HB) 2007</t>
  </si>
  <si>
    <t xml:space="preserve">F(Ha) padrão e-14</t>
  </si>
  <si>
    <t xml:space="preserve">erro F(Ha) padrão</t>
  </si>
  <si>
    <t xml:space="preserve">c(HB) 2011</t>
  </si>
  <si>
    <t xml:space="preserve">2011 D(Mpc)</t>
  </si>
  <si>
    <t xml:space="preserve">Whβ (A) FEROS</t>
  </si>
  <si>
    <t xml:space="preserve">Log(O/H) FEROS</t>
  </si>
  <si>
    <t xml:space="preserve">Hb FWHM</t>
  </si>
  <si>
    <t xml:space="preserve">σHβ FEROS</t>
  </si>
  <si>
    <t xml:space="preserve">Erro σHβ FEROS</t>
  </si>
  <si>
    <t xml:space="preserve">Log(LHα) FEROS</t>
  </si>
  <si>
    <t xml:space="preserve">Log(LHβ) FEROS</t>
  </si>
  <si>
    <t xml:space="preserve">Full Log(LHβ) 2007</t>
  </si>
  <si>
    <t xml:space="preserve">BK Log(LHβ) NTT</t>
  </si>
  <si>
    <t xml:space="preserve">EW(Hβ) NTT</t>
  </si>
  <si>
    <t xml:space="preserve">Sloan PetroRaid (‘’)</t>
  </si>
  <si>
    <t xml:space="preserve">Erro PetroRaid (‘’)</t>
  </si>
  <si>
    <t xml:space="preserve">Petrosian R50</t>
  </si>
  <si>
    <t xml:space="preserve">Ref (‘’) </t>
  </si>
  <si>
    <t xml:space="preserve">Ref (‘’) Ajust</t>
  </si>
  <si>
    <t xml:space="preserve">Ref (pc)</t>
  </si>
  <si>
    <t xml:space="preserve">Log(Ref)</t>
  </si>
  <si>
    <t xml:space="preserve">Petrosian r50</t>
  </si>
  <si>
    <t xml:space="preserve">ref (‘’) </t>
  </si>
  <si>
    <t xml:space="preserve">ref (pc)</t>
  </si>
  <si>
    <t xml:space="preserve">log (ref)</t>
  </si>
  <si>
    <t xml:space="preserve">log (σH) </t>
  </si>
  <si>
    <t xml:space="preserve">log (Lhβ) FEROS</t>
  </si>
  <si>
    <t xml:space="preserve">Log(LHβ) NTT</t>
  </si>
  <si>
    <t xml:space="preserve">Log(LHβ) B.K. NTT</t>
  </si>
  <si>
    <t xml:space="preserve">Log(Whβ) FEROS</t>
  </si>
  <si>
    <t xml:space="preserve">Log(Whβ) NTT</t>
  </si>
  <si>
    <t xml:space="preserve">Rseeing (‘’)</t>
  </si>
  <si>
    <t xml:space="preserve">log (Lha) (erg s-¹) FEROS</t>
  </si>
  <si>
    <t xml:space="preserve">log(LHα) 2011</t>
  </si>
  <si>
    <t xml:space="preserve">log (LHβ) (erg s-¹) KTC</t>
  </si>
  <si>
    <t xml:space="preserve">log (LHβ) (erg s-¹) NTT</t>
  </si>
  <si>
    <t xml:space="preserve">log(LHβ) B.K (erg s-¹) NTT</t>
  </si>
  <si>
    <t xml:space="preserve">Petrosian log (R50)</t>
  </si>
  <si>
    <t xml:space="preserve">log (R)</t>
  </si>
  <si>
    <t xml:space="preserve">Petrosian log (r50)</t>
  </si>
  <si>
    <t xml:space="preserve">log (r)  </t>
  </si>
  <si>
    <t xml:space="preserve">log (σHβ) (Km s-¹)</t>
  </si>
  <si>
    <t xml:space="preserve">log(O/H) </t>
  </si>
  <si>
    <t xml:space="preserve">log (Whβ) FEROS</t>
  </si>
  <si>
    <t xml:space="preserve">log (Whβ) NTT</t>
  </si>
  <si>
    <t xml:space="preserve">r – R</t>
  </si>
  <si>
    <t xml:space="preserve">L11 - s </t>
  </si>
  <si>
    <t xml:space="preserve">L07 - s </t>
  </si>
  <si>
    <t xml:space="preserve">L07k - s</t>
  </si>
  <si>
    <t xml:space="preserve">L11 x L 07</t>
  </si>
  <si>
    <t xml:space="preserve">Regression vinicius</t>
  </si>
  <si>
    <t xml:space="preserve">Regression standard </t>
  </si>
  <si>
    <t xml:space="preserve">Regression Full L</t>
  </si>
  <si>
    <t xml:space="preserve">Regression B.K L</t>
  </si>
  <si>
    <t xml:space="preserve">C0840+1044</t>
  </si>
  <si>
    <t xml:space="preserve">C0840-1044_MC new</t>
  </si>
  <si>
    <t xml:space="preserve">Regression Model</t>
  </si>
  <si>
    <t xml:space="preserve">Linear</t>
  </si>
  <si>
    <t xml:space="preserve">N-CTS1011 </t>
  </si>
  <si>
    <t xml:space="preserve">N-CTS1011_MC new</t>
  </si>
  <si>
    <t xml:space="preserve">N-CTS1013</t>
  </si>
  <si>
    <t xml:space="preserve">N-CTS1013_MC new</t>
  </si>
  <si>
    <t xml:space="preserve">LINEST raw output</t>
  </si>
  <si>
    <t xml:space="preserve">N-CTS1016</t>
  </si>
  <si>
    <t xml:space="preserve">N-CTS1016_MC new</t>
  </si>
  <si>
    <t xml:space="preserve">N-CTS1017 $   §</t>
  </si>
  <si>
    <t xml:space="preserve">N-CTS1017 </t>
  </si>
  <si>
    <t xml:space="preserve">N-CTS1020</t>
  </si>
  <si>
    <t xml:space="preserve">N-CTS1020_MC new</t>
  </si>
  <si>
    <t xml:space="preserve">N-CTS1022 §</t>
  </si>
  <si>
    <t xml:space="preserve">N-CTS1022</t>
  </si>
  <si>
    <t xml:space="preserve">N-CTS1034  Ha &amp;</t>
  </si>
  <si>
    <t xml:space="preserve">N-CTS1034_MC new</t>
  </si>
  <si>
    <t xml:space="preserve">,,,</t>
  </si>
  <si>
    <t xml:space="preserve">N-CTS1035  &amp;</t>
  </si>
  <si>
    <t xml:space="preserve">N-CTS1035_MC new</t>
  </si>
  <si>
    <t xml:space="preserve">N-Fariall30=Mrk 1271 = [F80] 30</t>
  </si>
  <si>
    <t xml:space="preserve">N-Fariall30_MC new</t>
  </si>
  <si>
    <t xml:space="preserve">Regression Statistics</t>
  </si>
  <si>
    <t xml:space="preserve">N-IIZw40-conti</t>
  </si>
  <si>
    <t xml:space="preserve">N-IIZw40-conti_MC new</t>
  </si>
  <si>
    <t xml:space="preserve">R^2</t>
  </si>
  <si>
    <t xml:space="preserve">N-IIZW70-conti   &amp;</t>
  </si>
  <si>
    <t xml:space="preserve">N-IIZW70-conti_MC new</t>
  </si>
  <si>
    <t xml:space="preserve">Standard Error</t>
  </si>
  <si>
    <t xml:space="preserve">N-Mrk1318-conti</t>
  </si>
  <si>
    <t xml:space="preserve">N-Mrk1318-conti_MC new</t>
  </si>
  <si>
    <t xml:space="preserve">Count of X variables</t>
  </si>
  <si>
    <t xml:space="preserve">N-Mrk36-conti  $ $</t>
  </si>
  <si>
    <t xml:space="preserve">N-Mrk36-conti_MC new</t>
  </si>
  <si>
    <t xml:space="preserve">Observations</t>
  </si>
  <si>
    <t xml:space="preserve">N-MS01-conti = [SC98] 01</t>
  </si>
  <si>
    <t xml:space="preserve">N-MS01-conti_MC new</t>
  </si>
  <si>
    <t xml:space="preserve">Adjusted R^2</t>
  </si>
  <si>
    <r>
      <rPr>
        <sz val="10"/>
        <rFont val="Arial"/>
        <family val="2"/>
        <charset val="1"/>
      </rPr>
      <t xml:space="preserve">N-MS12-conti = [ SC98] 68 </t>
    </r>
    <r>
      <rPr>
        <b val="true"/>
        <sz val="10"/>
        <rFont val="Arial"/>
        <family val="2"/>
        <charset val="1"/>
      </rPr>
      <t xml:space="preserve">$</t>
    </r>
  </si>
  <si>
    <t xml:space="preserve">N-MS12-conti_MC new</t>
  </si>
  <si>
    <t xml:space="preserve">N-MS13-conti = [SC98] 88</t>
  </si>
  <si>
    <t xml:space="preserve">N-MS13-conti_MC new</t>
  </si>
  <si>
    <t xml:space="preserve">Analysis of Variance (ANOVA)</t>
  </si>
  <si>
    <t xml:space="preserve">N-Tol0505-conti</t>
  </si>
  <si>
    <t xml:space="preserve">N-Tol0505-conti_MC new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</si>
  <si>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</si>
  <si>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</si>
  <si>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</si>
  <si>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</si>
  <si>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</si>
  <si>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N-Tol0528-conti  $</t>
  </si>
  <si>
    <t xml:space="preserve">N-Tol0528-conti_MC new</t>
  </si>
  <si>
    <t xml:space="preserve">Regression</t>
  </si>
  <si>
    <t xml:space="preserve">N-Tol0610-conti</t>
  </si>
  <si>
    <t xml:space="preserve">N-Tol0610-conti_MC new</t>
  </si>
  <si>
    <t xml:space="preserve">Residual</t>
  </si>
  <si>
    <t xml:space="preserve">N-Tol0633-conti  &amp;</t>
  </si>
  <si>
    <t xml:space="preserve">N-Tol0633-conti_MC new</t>
  </si>
  <si>
    <t xml:space="preserve">Total</t>
  </si>
  <si>
    <t xml:space="preserve">N-Tol0645-conti &amp;</t>
  </si>
  <si>
    <t xml:space="preserve">N-Tol0645-conti_MC new</t>
  </si>
  <si>
    <t xml:space="preserve">N-Tol0957-conti</t>
  </si>
  <si>
    <t xml:space="preserve">N-Tol0957-conti_MC new</t>
  </si>
  <si>
    <t xml:space="preserve">Confidence level</t>
  </si>
  <si>
    <t xml:space="preserve">N-Tol1004-conti Ha</t>
  </si>
  <si>
    <t xml:space="preserve">N-Tol1004-conti_MC new</t>
  </si>
  <si>
    <t xml:space="preserve">N-Tol1025-conti  &amp;</t>
  </si>
  <si>
    <t xml:space="preserve">N-Tol1025-conti_MC new</t>
  </si>
  <si>
    <t xml:space="preserve">Coefficients</t>
  </si>
  <si>
    <t xml:space="preserve">t-Statistic</t>
  </si>
  <si>
    <t xml:space="preserve">P-value</t>
  </si>
  <si>
    <t xml:space="preserve">N-Tol1147-conti</t>
  </si>
  <si>
    <t xml:space="preserve">N-Tol1147-conti_MC new</t>
  </si>
  <si>
    <t xml:space="preserve">N-Tol1223-conti2 – 2stars</t>
  </si>
  <si>
    <t xml:space="preserve">N-Tol1223-conti_MC new</t>
  </si>
  <si>
    <t xml:space="preserve">N-Tol1345-conti2 – star</t>
  </si>
  <si>
    <t xml:space="preserve">N-Tol1345-conti_MC new</t>
  </si>
  <si>
    <t xml:space="preserve">N-Tol1924-conti – star Ha</t>
  </si>
  <si>
    <t xml:space="preserve">N-Tol1924-conti_MC new</t>
  </si>
  <si>
    <t xml:space="preserve">Predicted Y</t>
  </si>
  <si>
    <t xml:space="preserve">RMS</t>
  </si>
  <si>
    <t xml:space="preserve">N-Tol1937-conti</t>
  </si>
  <si>
    <t xml:space="preserve">N-Tol1937-conti_MC new</t>
  </si>
  <si>
    <t xml:space="preserve">N-Tol2019-conti – star</t>
  </si>
  <si>
    <t xml:space="preserve">N-Tol2019-conti_MC new</t>
  </si>
  <si>
    <t xml:space="preserve">N-Tol2041-conti – star Ha</t>
  </si>
  <si>
    <t xml:space="preserve">N-Tol2041-conti_MC new</t>
  </si>
  <si>
    <t xml:space="preserve">...</t>
  </si>
  <si>
    <t xml:space="preserve">N-UM439-conti</t>
  </si>
  <si>
    <t xml:space="preserve">N-UM439-conti_MC new</t>
  </si>
  <si>
    <t xml:space="preserve">N-UM455-conti – star</t>
  </si>
  <si>
    <t xml:space="preserve">N-UM455-conti_MC new</t>
  </si>
  <si>
    <t xml:space="preserve">N-UM456-conti</t>
  </si>
  <si>
    <t xml:space="preserve">N-UM456-conti_MC new</t>
  </si>
  <si>
    <t xml:space="preserve">N-UM461-conti</t>
  </si>
  <si>
    <t xml:space="preserve">N-UM461-conti_MC new</t>
  </si>
  <si>
    <t xml:space="preserve">N-UM463-conti $</t>
  </si>
  <si>
    <t xml:space="preserve">N-UM463-conti_MC new</t>
  </si>
  <si>
    <t xml:space="preserve">N-UM483-conti</t>
  </si>
  <si>
    <t xml:space="preserve">N-UM483-conti_MC new</t>
  </si>
  <si>
    <t xml:space="preserve">N-UM559-conti</t>
  </si>
  <si>
    <t xml:space="preserve">N-UM559-conti_MC new</t>
  </si>
  <si>
    <t xml:space="preserve">N-Tol1334-conti – star *</t>
  </si>
  <si>
    <t xml:space="preserve">N-Tol1334-conti_MC new</t>
  </si>
  <si>
    <t xml:space="preserve">*</t>
  </si>
  <si>
    <t xml:space="preserve">N-Tol1457-conti * A e B</t>
  </si>
  <si>
    <t xml:space="preserve">N-Tol1457-conti_MC new</t>
  </si>
  <si>
    <t xml:space="preserve">N-UM462-conti **</t>
  </si>
  <si>
    <t xml:space="preserve">N-UM462-conti_MC new</t>
  </si>
  <si>
    <t xml:space="preserve">VARIAÇÕES</t>
  </si>
  <si>
    <t xml:space="preserve">Ref</t>
  </si>
  <si>
    <t xml:space="preserve">N-CTS1011_conti2</t>
  </si>
  <si>
    <t xml:space="preserve">N-Mrk36-conti_MC2 </t>
  </si>
  <si>
    <t xml:space="preserve">Regression vinicius Full Ref </t>
  </si>
  <si>
    <t xml:space="preserve">Regression standard Full Ref</t>
  </si>
  <si>
    <t xml:space="preserve">Regression Full L  Full Ref</t>
  </si>
  <si>
    <t xml:space="preserve">Regression B.K L Full Ref</t>
  </si>
  <si>
    <t xml:space="preserve">N-CTS1011_MC2</t>
  </si>
  <si>
    <t xml:space="preserve">N-CTS1011_MC</t>
  </si>
  <si>
    <t xml:space="preserve">cc</t>
  </si>
  <si>
    <t xml:space="preserve">Whβ + Ref + sigma</t>
  </si>
  <si>
    <t xml:space="preserve">Whβ + ref + sigma</t>
  </si>
  <si>
    <t xml:space="preserve">O/H + sigma</t>
  </si>
  <si>
    <t xml:space="preserve">N-CTS1017_MC2</t>
  </si>
  <si>
    <t xml:space="preserve">N-CTS1034_teste</t>
  </si>
  <si>
    <t xml:space="preserve">N-CTS1035_teste</t>
  </si>
  <si>
    <t xml:space="preserve">N-Fariall30-conti2</t>
  </si>
  <si>
    <t xml:space="preserve">N-Tol0957-conti_MC2</t>
  </si>
  <si>
    <t xml:space="preserve">N-Tol0957-conti_2</t>
  </si>
  <si>
    <t xml:space="preserve">N-IIZW70-conti2</t>
  </si>
  <si>
    <t xml:space="preserve">N-Mrk1318-conti2</t>
  </si>
  <si>
    <t xml:space="preserve">N-Mrk1318-conti_MC</t>
  </si>
  <si>
    <t xml:space="preserve">N-Mrk710-conti2</t>
  </si>
  <si>
    <t xml:space="preserve">N-Tol0528-conti2</t>
  </si>
  <si>
    <t xml:space="preserve">N-Tol0528-conti_MC2</t>
  </si>
  <si>
    <t xml:space="preserve">N-Tol0957-conti2</t>
  </si>
  <si>
    <t xml:space="preserve">N-Tol1924-conti</t>
  </si>
  <si>
    <t xml:space="preserve">N-Tol1924-conti_MC2</t>
  </si>
  <si>
    <t xml:space="preserve">N-Tol1457-conti2</t>
  </si>
  <si>
    <t xml:space="preserve">N-Tol1457-conti_teste</t>
  </si>
  <si>
    <t xml:space="preserve">N-Tol1924-conti + star</t>
  </si>
  <si>
    <t xml:space="preserve">L11 – s – R</t>
  </si>
  <si>
    <t xml:space="preserve">L07 - s – R</t>
  </si>
  <si>
    <t xml:space="preserve">L07k – s – R</t>
  </si>
  <si>
    <t xml:space="preserve">L11 x L07k</t>
  </si>
  <si>
    <t xml:space="preserve">N-Tol2019-conti + star</t>
  </si>
  <si>
    <t xml:space="preserve">N-Tol2041-conti + star</t>
  </si>
  <si>
    <t xml:space="preserve">N-UM455-conti + star</t>
  </si>
  <si>
    <t xml:space="preserve">N-CTS1022_MC new §</t>
  </si>
  <si>
    <t xml:space="preserve">N-UM462-conti3</t>
  </si>
  <si>
    <t xml:space="preserve">N-UM559-conti2</t>
  </si>
  <si>
    <t xml:space="preserve">CONSTANTES E LEGENDA</t>
  </si>
  <si>
    <t xml:space="preserve">1Mpc – 1cm</t>
  </si>
  <si>
    <t xml:space="preserve">arcseg/pixel</t>
  </si>
  <si>
    <t xml:space="preserve">melhores imagens de MC</t>
  </si>
  <si>
    <t xml:space="preserve">H0</t>
  </si>
  <si>
    <t xml:space="preserve">tentativa alternativa p/ MC</t>
  </si>
  <si>
    <t xml:space="preserve">c km/s</t>
  </si>
  <si>
    <t xml:space="preserve">Sem o Whb</t>
  </si>
  <si>
    <t xml:space="preserve">pi</t>
  </si>
  <si>
    <t xml:space="preserve">function reddeing Ha</t>
  </si>
  <si>
    <t xml:space="preserve">constante</t>
  </si>
  <si>
    <t xml:space="preserve">function reddeing Hb</t>
  </si>
  <si>
    <t xml:space="preserve">&amp;</t>
  </si>
  <si>
    <t xml:space="preserve">Rseing altos</t>
  </si>
  <si>
    <t xml:space="preserve">$$</t>
  </si>
  <si>
    <t xml:space="preserve">Sem estrelas</t>
  </si>
  <si>
    <t xml:space="preserve">$</t>
  </si>
  <si>
    <t xml:space="preserve">Rseing ruins</t>
  </si>
  <si>
    <t xml:space="preserve">Informação ausente</t>
  </si>
  <si>
    <t xml:space="preserve">Objeto não consta no artigo</t>
  </si>
  <si>
    <t xml:space="preserve">7k</t>
  </si>
  <si>
    <t xml:space="preserve">Whb + sigma</t>
  </si>
  <si>
    <t xml:space="preserve">**</t>
  </si>
  <si>
    <t xml:space="preserve">z proximo do 461</t>
  </si>
  <si>
    <t xml:space="preserve">correção</t>
  </si>
  <si>
    <t xml:space="preserve">§</t>
  </si>
  <si>
    <t xml:space="preserve">tentar usar MC pra ver as equações depois</t>
  </si>
  <si>
    <t xml:space="preserve">Regression vinicius B.K Ref </t>
  </si>
  <si>
    <t xml:space="preserve">Regression standard B.K Ref </t>
  </si>
  <si>
    <t xml:space="preserve">Regression Full L B.K Ref</t>
  </si>
  <si>
    <t xml:space="preserve">Regression B.K L B.K Ref </t>
  </si>
  <si>
    <t xml:space="preserve">EQUAÇÕES y = b + ax1  + cx2</t>
  </si>
  <si>
    <t xml:space="preserve">MELHORES IMAGENS MC</t>
  </si>
  <si>
    <t xml:space="preserve">correlação</t>
  </si>
  <si>
    <t xml:space="preserve">TIPO</t>
  </si>
  <si>
    <t xml:space="preserve">rms</t>
  </si>
  <si>
    <t xml:space="preserve">b</t>
  </si>
  <si>
    <t xml:space="preserve">erro b</t>
  </si>
  <si>
    <t xml:space="preserve">a</t>
  </si>
  <si>
    <t xml:space="preserve">erro a</t>
  </si>
  <si>
    <t xml:space="preserve">c</t>
  </si>
  <si>
    <t xml:space="preserve">erro c</t>
  </si>
  <si>
    <t xml:space="preserve">d </t>
  </si>
  <si>
    <t xml:space="preserve">erro d</t>
  </si>
  <si>
    <t xml:space="preserve">e</t>
  </si>
  <si>
    <t xml:space="preserve">erro e</t>
  </si>
  <si>
    <t xml:space="preserve">L11</t>
  </si>
  <si>
    <t xml:space="preserve">sigma</t>
  </si>
  <si>
    <t xml:space="preserve">R</t>
  </si>
  <si>
    <t xml:space="preserve">r</t>
  </si>
  <si>
    <t xml:space="preserve">O/H</t>
  </si>
  <si>
    <t xml:space="preserve">WHB</t>
  </si>
  <si>
    <t xml:space="preserve">Lvn – σHβ</t>
  </si>
  <si>
    <t xml:space="preserve">L full – σHβ</t>
  </si>
  <si>
    <t xml:space="preserve">L B.K – σHβ</t>
  </si>
  <si>
    <t xml:space="preserve">Lvn – σHβ - full Ref</t>
  </si>
  <si>
    <t xml:space="preserve">L full – σHβ – full Ref</t>
  </si>
  <si>
    <t xml:space="preserve">L B.K – σHβ - full Ref</t>
  </si>
  <si>
    <t xml:space="preserve">Lvn – σHβ – B.K Ref</t>
  </si>
  <si>
    <t xml:space="preserve">L full – σHβ – B.K Ref</t>
  </si>
  <si>
    <t xml:space="preserve">L B.K – σHβ – B.K Ref</t>
  </si>
  <si>
    <t xml:space="preserve">Lvn – σHβ – O/H</t>
  </si>
  <si>
    <t xml:space="preserve">L full – σHβ – O/H</t>
  </si>
  <si>
    <t xml:space="preserve">L B.K – σHβ – O/H</t>
  </si>
  <si>
    <t xml:space="preserve">Lvn – σHβ – Whβ</t>
  </si>
  <si>
    <t xml:space="preserve">L full – σHβ – Whβ</t>
  </si>
  <si>
    <t xml:space="preserve">L B.K – σHβ – Whβ</t>
  </si>
  <si>
    <t xml:space="preserve">Lvn –   σHβ – O/H – Whβ</t>
  </si>
  <si>
    <t xml:space="preserve">L full –  σHβ – O/H – Whβ</t>
  </si>
  <si>
    <t xml:space="preserve">L B.K –  σHβ – O/H – Whβ</t>
  </si>
  <si>
    <t xml:space="preserve">Lvn –   σHβ – Whβ – Ref</t>
  </si>
  <si>
    <t xml:space="preserve">L full – σHβ – Whβ – Ref</t>
  </si>
  <si>
    <t xml:space="preserve">L B.K – σHβ – Whβ – Ref</t>
  </si>
  <si>
    <t xml:space="preserve">Lvn –   σHβ – O/H – Whβ – Ref</t>
  </si>
  <si>
    <t xml:space="preserve">Lvn –   σHβ – Whβ – BK Ref</t>
  </si>
  <si>
    <t xml:space="preserve">L full –  σHβ – O/H – Whβ – Ref</t>
  </si>
  <si>
    <t xml:space="preserve">L full – σHβ – Whβ – BK Reff</t>
  </si>
  <si>
    <t xml:space="preserve">L B.K –  σHβ – O/H – Whβ – Ref</t>
  </si>
  <si>
    <t xml:space="preserve">L B.K –σHβ – Whβ – BK Ref</t>
  </si>
  <si>
    <t xml:space="preserve">SELEÇÃO PARA OS MELHORES MC</t>
  </si>
  <si>
    <t xml:space="preserve">Lvn – full Ref</t>
  </si>
  <si>
    <t xml:space="preserve">Lvn –   σHβ – O/H – Whβ – BK Ref</t>
  </si>
  <si>
    <t xml:space="preserve">Log(LHβ) 2011</t>
  </si>
  <si>
    <t xml:space="preserve">BK Log(LHβ) 2007</t>
  </si>
  <si>
    <t xml:space="preserve">Log(σH) 2011</t>
  </si>
  <si>
    <t xml:space="preserve">Log(RefB.K)</t>
  </si>
  <si>
    <t xml:space="preserve">Log(O/H) 2011</t>
  </si>
  <si>
    <t xml:space="preserve">Log(Whβ)</t>
  </si>
  <si>
    <t xml:space="preserve">L full – full Ref</t>
  </si>
  <si>
    <t xml:space="preserve">L full –  σHβ – O/H – Whβ – BK Ref</t>
  </si>
  <si>
    <t xml:space="preserve">L B.K – full Ref</t>
  </si>
  <si>
    <t xml:space="preserve">L B.K –  σHβ – O/H – Whβ – BK Ref</t>
  </si>
  <si>
    <t xml:space="preserve">Lvn –  B.K Ref</t>
  </si>
  <si>
    <t xml:space="preserve">L full – B.Kl Ref</t>
  </si>
  <si>
    <t xml:space="preserve">R- O/H</t>
  </si>
  <si>
    <t xml:space="preserve">L B.K – B.K Ref</t>
  </si>
  <si>
    <t xml:space="preserve">L11 – s – r</t>
  </si>
  <si>
    <t xml:space="preserve">L07 - s – r</t>
  </si>
  <si>
    <t xml:space="preserve">L07k - s – r</t>
  </si>
  <si>
    <t xml:space="preserve">Full Ref – σHβ</t>
  </si>
  <si>
    <t xml:space="preserve">Regression vinicius O/H</t>
  </si>
  <si>
    <t xml:space="preserve">Regression standard O/H</t>
  </si>
  <si>
    <t xml:space="preserve">Regression Full L – O/H</t>
  </si>
  <si>
    <t xml:space="preserve">Regression B.K L – O/H</t>
  </si>
  <si>
    <t xml:space="preserve">B.K Ref – σHβ</t>
  </si>
  <si>
    <t xml:space="preserve">Ref –   σHβ – O/H – Whβ </t>
  </si>
  <si>
    <t xml:space="preserve">B.K Ref –  σHβ – O/H – Whβ</t>
  </si>
  <si>
    <t xml:space="preserve">Ref – Whβ</t>
  </si>
  <si>
    <t xml:space="preserve">B.K Ref – Whβ</t>
  </si>
  <si>
    <t xml:space="preserve">B.K Ref - σHβ</t>
  </si>
  <si>
    <t xml:space="preserve">Ref –   σHβ – Whβ ntt </t>
  </si>
  <si>
    <t xml:space="preserve">B.K Ref –   σHβ – Whβ ntt </t>
  </si>
  <si>
    <t xml:space="preserve">Ref –  σHβ – O/H </t>
  </si>
  <si>
    <t xml:space="preserve">B.K Ref –  σHβ – O/H </t>
  </si>
  <si>
    <t xml:space="preserve">Regression vinicius L – Whb</t>
  </si>
  <si>
    <t xml:space="preserve">Regression standard L – Whb</t>
  </si>
  <si>
    <t xml:space="preserve">Regression Full L – Whb</t>
  </si>
  <si>
    <t xml:space="preserve">Regression B.K L – Whb</t>
  </si>
  <si>
    <t xml:space="preserve">w(HB)</t>
  </si>
  <si>
    <t xml:space="preserve">Sigma</t>
  </si>
  <si>
    <t xml:space="preserve">seeing</t>
  </si>
  <si>
    <t xml:space="preserve">\\</t>
  </si>
  <si>
    <t xml:space="preserve"> L-$\sigma$  &amp; (</t>
  </si>
  <si>
    <t xml:space="preserve">$\pm$</t>
  </si>
  <si>
    <t xml:space="preserve">) + (</t>
  </si>
  <si>
    <t xml:space="preserve">)log $\sigma$ &amp;</t>
  </si>
  <si>
    <t xml:space="preserve">L-$\sigma$-R$_{}$ &amp; (</t>
  </si>
  <si>
    <t xml:space="preserve">)log $\sigma$ + (</t>
  </si>
  <si>
    <t xml:space="preserve">)log R$_{50}$ &amp; </t>
  </si>
  <si>
    <t xml:space="preserve">L-$\sigma$-r$_{}$  &amp;  (</t>
  </si>
  <si>
    <r>
      <rPr>
        <sz val="10"/>
        <rFont val="Arial"/>
        <family val="2"/>
        <charset val="1"/>
      </rPr>
      <t xml:space="preserve">)log </t>
    </r>
    <r>
      <rPr>
        <sz val="10"/>
        <rFont val="Waree"/>
        <family val="0"/>
        <charset val="1"/>
      </rPr>
      <t xml:space="preserve">r</t>
    </r>
    <r>
      <rPr>
        <sz val="10"/>
        <rFont val="Arial"/>
        <family val="2"/>
        <charset val="1"/>
      </rPr>
      <t xml:space="preserve">$_{50}$ &amp; </t>
    </r>
  </si>
  <si>
    <t xml:space="preserve">L-$\sigma$-O/H &amp; (</t>
  </si>
  <si>
    <t xml:space="preserve">)log O/H &amp; </t>
  </si>
  <si>
    <t xml:space="preserve">L11 – s – O/H</t>
  </si>
  <si>
    <t xml:space="preserve">L07 - s – O/H</t>
  </si>
  <si>
    <t xml:space="preserve">L07k - s – O/H</t>
  </si>
  <si>
    <t xml:space="preserve">r – O/H</t>
  </si>
  <si>
    <t xml:space="preserve"> L-$\sigma$-W$_{H\beta}$ &amp; (</t>
  </si>
  <si>
    <t xml:space="preserve">)log W$_{H\beta}$ &amp; </t>
  </si>
  <si>
    <t xml:space="preserve">L-$\sigma$-O/H-W$_{H\beta}$  &amp; (</t>
  </si>
  <si>
    <t xml:space="preserve">)log O/H  + (</t>
  </si>
  <si>
    <t xml:space="preserve">L-$\sigma$-W$_{H\beta}$-R$_{}$  &amp; (</t>
  </si>
  <si>
    <t xml:space="preserve">)log W$_{H\beta}$  + (</t>
  </si>
  <si>
    <t xml:space="preserve">L-$\sigma$-W$_{H\beta}$-r$_{}$ &amp; (</t>
  </si>
  <si>
    <t xml:space="preserve">)log W$_{H\beta}$ + (</t>
  </si>
  <si>
    <t xml:space="preserve">$L_{}$-R$_{50}$ &amp; (</t>
  </si>
  <si>
    <t xml:space="preserve">) &amp;</t>
  </si>
  <si>
    <t xml:space="preserve">Correlations</t>
  </si>
  <si>
    <t xml:space="preserve">$L_{full}$-R$_{50}$ &amp; (</t>
  </si>
  <si>
    <t xml:space="preserve">$L_{B.K.}$-R$_{50}$ &amp; (</t>
  </si>
  <si>
    <t xml:space="preserve">$L_{}$-r$_{50}$  &amp; (</t>
  </si>
  <si>
    <t xml:space="preserve">$L_{full}$-r$_{50}$  &amp; (</t>
  </si>
  <si>
    <t xml:space="preserve">$L_{B.K.}$-r$_{50}$  &amp; (</t>
  </si>
  <si>
    <t xml:space="preserve">R$_{50}$-$\sigma$  &amp; (</t>
  </si>
  <si>
    <t xml:space="preserve">r$_{50}$-$\sigma$   &amp; (</t>
  </si>
  <si>
    <t xml:space="preserve">Vinicius L – σHβ – O/H – Whβ</t>
  </si>
  <si>
    <t xml:space="preserve">standard L – σHβ – O/H – Whβ</t>
  </si>
  <si>
    <t xml:space="preserve">Full L – σHβ – O/H – Whβ</t>
  </si>
  <si>
    <t xml:space="preserve">B.k L – σHβ – O/H – Whβ</t>
  </si>
  <si>
    <t xml:space="preserve">ALEATORIOS</t>
  </si>
  <si>
    <t xml:space="preserve">r1</t>
  </si>
  <si>
    <t xml:space="preserve">r2</t>
  </si>
  <si>
    <t xml:space="preserve">r3</t>
  </si>
  <si>
    <t xml:space="preserve">Log1</t>
  </si>
  <si>
    <t xml:space="preserve">Log2</t>
  </si>
  <si>
    <t xml:space="preserve">Log3</t>
  </si>
  <si>
    <t xml:space="preserve">\hline</t>
  </si>
  <si>
    <t xml:space="preserve">KTC $L_{H\beta}-\sigma$ &amp; ( </t>
  </si>
  <si>
    <t xml:space="preserve">$\pm$ </t>
  </si>
  <si>
    <t xml:space="preserve"> ) &amp; </t>
  </si>
  <si>
    <t xml:space="preserve"> \\</t>
  </si>
  <si>
    <t xml:space="preserve">\hline      </t>
  </si>
  <si>
    <t xml:space="preserve">NTT $L_{H\beta}-\sigma$ &amp; ( </t>
  </si>
  <si>
    <t xml:space="preserve"> $\pm$ </t>
  </si>
  <si>
    <t xml:space="preserve">NTT $L_{B.K.}-\sigma$ &amp; ( </t>
  </si>
  <si>
    <t xml:space="preserve">) &amp; </t>
  </si>
  <si>
    <t xml:space="preserve">L11 – s – WHB</t>
  </si>
  <si>
    <t xml:space="preserve">L07 - s –  WHB</t>
  </si>
  <si>
    <t xml:space="preserve">L07k - s –  WHB</t>
  </si>
  <si>
    <t xml:space="preserve">O/H – wHB</t>
  </si>
  <si>
    <t xml:space="preserve">Vinicius L – σHβ – O/H – Whβ – Ref</t>
  </si>
  <si>
    <t xml:space="preserve">standard L – σHβ – O/H – Whβ – Ref</t>
  </si>
  <si>
    <t xml:space="preserve">Full L – σHβ – O/H – Whβ – Ref</t>
  </si>
  <si>
    <t xml:space="preserve">B.k L - σHβ – O/H – Whβ – Ref</t>
  </si>
  <si>
    <t xml:space="preserve">TABELA  4 antiga</t>
  </si>
  <si>
    <t xml:space="preserve">R(‘’)</t>
  </si>
  <si>
    <t xml:space="preserve">elli_R</t>
  </si>
  <si>
    <t xml:space="preserve">r (‘’)</t>
  </si>
  <si>
    <t xml:space="preserve">elli_r</t>
  </si>
  <si>
    <t xml:space="preserve">DA</t>
  </si>
  <si>
    <t xml:space="preserve">1 &amp; Cam0840+1044 &amp; 1.64</t>
  </si>
  <si>
    <t xml:space="preserve">2&amp; CTS1011 &amp; 1.97</t>
  </si>
  <si>
    <t xml:space="preserve">3 &amp;CTS1013 &amp; 1.58</t>
  </si>
  <si>
    <t xml:space="preserve">4 &amp;CTS1016 &amp; 1.41</t>
  </si>
  <si>
    <t xml:space="preserve">5 &amp; CTS1017 &amp; 2.21</t>
  </si>
  <si>
    <t xml:space="preserve">6 &amp; CTS1020 &amp; 2.04</t>
  </si>
  <si>
    <t xml:space="preserve">7 &amp; CTS1022 &amp; 1.76</t>
  </si>
  <si>
    <t xml:space="preserve">8 &amp; CTS1034  &amp; 1.30</t>
  </si>
  <si>
    <t xml:space="preserve">9 &amp; CTS1035 &amp; 1.79</t>
  </si>
  <si>
    <t xml:space="preserve">10 &amp; Mrk 1271 &amp; 1.99</t>
  </si>
  <si>
    <t xml:space="preserve">11 &amp; IIZw40 &amp; 2.26</t>
  </si>
  <si>
    <t xml:space="preserve">12 &amp; IIZW70   &amp; 1.69</t>
  </si>
  <si>
    <t xml:space="preserve">13 &amp; Mrk1318 &amp; 1.83</t>
  </si>
  <si>
    <t xml:space="preserve">14 &amp; Mrk36 &amp; 1.79</t>
  </si>
  <si>
    <t xml:space="preserve">15 &amp; (SC98)13016-2236 &amp; 1.53</t>
  </si>
  <si>
    <t xml:space="preserve">16 &amp; (SC98)13191-2212 &amp; 1.34</t>
  </si>
  <si>
    <t xml:space="preserve">17 &amp; (SC98)13228-2547 &amp; 1.30</t>
  </si>
  <si>
    <t xml:space="preserve">18 &amp; Tol0505-387 &amp; 1.00</t>
  </si>
  <si>
    <t xml:space="preserve">19 &amp; Tol0528-383 &amp; 1.32</t>
  </si>
  <si>
    <t xml:space="preserve">20 &amp; Tol0610-387 &amp; 0.60</t>
  </si>
  <si>
    <t xml:space="preserve">21 &amp; Tol0633-415  &amp; 1.92</t>
  </si>
  <si>
    <t xml:space="preserve">22 &amp; Tol0645-376 &amp; 1.45</t>
  </si>
  <si>
    <t xml:space="preserve">Vinicius L – σHβ – O/H – Whβ – B.K Ref</t>
  </si>
  <si>
    <t xml:space="preserve">standard L – σHβ – O/H – Whβ – B.K Ref</t>
  </si>
  <si>
    <t xml:space="preserve">Full L – σHβ – O/H – Whβ – B.K Ref</t>
  </si>
  <si>
    <t xml:space="preserve">B.k L - σHβ – O/H – Whβ – B.K Ref</t>
  </si>
  <si>
    <t xml:space="preserve">23 &amp; Tol0957-278 &amp; 1.56</t>
  </si>
  <si>
    <t xml:space="preserve">24 &amp; Tol1004-296 &amp; 1.79</t>
  </si>
  <si>
    <t xml:space="preserve">25 &amp; Tol1025-285  &amp; 0.95</t>
  </si>
  <si>
    <t xml:space="preserve">26 &amp; Tol1147-283 &amp; 1.60</t>
  </si>
  <si>
    <t xml:space="preserve">27 &amp; Tol1223-359 &amp; 2.11</t>
  </si>
  <si>
    <t xml:space="preserve">28 &amp; Tol1345-326 &amp; 1.71</t>
  </si>
  <si>
    <t xml:space="preserve">29 &amp; Tol1924-416 &amp; 2.00</t>
  </si>
  <si>
    <t xml:space="preserve">30 &amp; Tol1937-423 &amp; 0.70</t>
  </si>
  <si>
    <t xml:space="preserve">31 &amp; Tol2019-405 &amp; 1.04</t>
  </si>
  <si>
    <t xml:space="preserve">32 &amp; Tol2041-394 &amp; $...$</t>
  </si>
  <si>
    <t xml:space="preserve">33 &amp; UM439 &amp; 1.69</t>
  </si>
  <si>
    <t xml:space="preserve">34 &amp; UM455 &amp; 1.46</t>
  </si>
  <si>
    <t xml:space="preserve">35 &amp; UM456 &amp; 1.64</t>
  </si>
  <si>
    <t xml:space="preserve">36 &amp; UM461 &amp; 2.19</t>
  </si>
  <si>
    <t xml:space="preserve">EXTRAS</t>
  </si>
  <si>
    <t xml:space="preserve">37 &amp; UM463 &amp; 1.87</t>
  </si>
  <si>
    <t xml:space="preserve">L11 – R</t>
  </si>
  <si>
    <t xml:space="preserve">L07 – R</t>
  </si>
  <si>
    <t xml:space="preserve">L07k – R</t>
  </si>
  <si>
    <t xml:space="preserve">R – s</t>
  </si>
  <si>
    <t xml:space="preserve">38 &amp; UM483 &amp; 1.28</t>
  </si>
  <si>
    <t xml:space="preserve">39 &amp; UM559 &amp; 2.73</t>
  </si>
  <si>
    <t xml:space="preserve">Tabela 3</t>
  </si>
  <si>
    <t xml:space="preserve">galaxy</t>
  </si>
  <si>
    <t xml:space="preserve">SMA R</t>
  </si>
  <si>
    <t xml:space="preserve">e_R</t>
  </si>
  <si>
    <t xml:space="preserve">SMA r</t>
  </si>
  <si>
    <t xml:space="preserve">e_r</t>
  </si>
  <si>
    <t xml:space="preserve">see</t>
  </si>
  <si>
    <t xml:space="preserve">z</t>
  </si>
  <si>
    <t xml:space="preserve">Da</t>
  </si>
  <si>
    <t xml:space="preserve">Cam0840+1044</t>
  </si>
  <si>
    <t xml:space="preserve">CTS1011</t>
  </si>
  <si>
    <t xml:space="preserve">CTS1013</t>
  </si>
  <si>
    <t xml:space="preserve">CTS1016</t>
  </si>
  <si>
    <t xml:space="preserve">CTS1017</t>
  </si>
  <si>
    <t xml:space="preserve">CTS1020</t>
  </si>
  <si>
    <t xml:space="preserve">CTS1022</t>
  </si>
  <si>
    <t xml:space="preserve">CTS1034</t>
  </si>
  <si>
    <t xml:space="preserve">CTS1035</t>
  </si>
  <si>
    <t xml:space="preserve">Mrk1271</t>
  </si>
  <si>
    <t xml:space="preserve">IIZw40</t>
  </si>
  <si>
    <t xml:space="preserve">IIZW70</t>
  </si>
  <si>
    <t xml:space="preserve">Mrk1318</t>
  </si>
  <si>
    <t xml:space="preserve">Mrk36</t>
  </si>
  <si>
    <t xml:space="preserve">(SC98)13016-2236</t>
  </si>
  <si>
    <t xml:space="preserve">(SC98)13191-2212</t>
  </si>
  <si>
    <t xml:space="preserve">(SC98)13228-2547</t>
  </si>
  <si>
    <t xml:space="preserve">Tol0505-387</t>
  </si>
  <si>
    <t xml:space="preserve">Tol0528-383</t>
  </si>
  <si>
    <t xml:space="preserve">Tol0610-387</t>
  </si>
  <si>
    <t xml:space="preserve">Tol0633-415</t>
  </si>
  <si>
    <t xml:space="preserve">Tol0645-376</t>
  </si>
  <si>
    <t xml:space="preserve">Tol0957-278</t>
  </si>
  <si>
    <t xml:space="preserve">Tol1004-296</t>
  </si>
  <si>
    <t xml:space="preserve">Tol1025-285</t>
  </si>
  <si>
    <t xml:space="preserve">Tol1147-283</t>
  </si>
  <si>
    <t xml:space="preserve">Tol1223-359</t>
  </si>
  <si>
    <t xml:space="preserve">Tol1345-326</t>
  </si>
  <si>
    <t xml:space="preserve">Tol1924-416</t>
  </si>
  <si>
    <t xml:space="preserve">Vinicius L – Full Ref</t>
  </si>
  <si>
    <t xml:space="preserve">standard L – Full Ref</t>
  </si>
  <si>
    <t xml:space="preserve">Full L – Full Ref</t>
  </si>
  <si>
    <t xml:space="preserve">B.K L – Full Ref</t>
  </si>
  <si>
    <t xml:space="preserve">Tol1937-423</t>
  </si>
  <si>
    <t xml:space="preserve">Tol2019-405</t>
  </si>
  <si>
    <t xml:space="preserve">Tol2041-394</t>
  </si>
  <si>
    <t xml:space="preserve">UM439</t>
  </si>
  <si>
    <t xml:space="preserve">UM455</t>
  </si>
  <si>
    <t xml:space="preserve">UM456</t>
  </si>
  <si>
    <t xml:space="preserve">UM461</t>
  </si>
  <si>
    <t xml:space="preserve">UM463</t>
  </si>
  <si>
    <t xml:space="preserve">UM483</t>
  </si>
  <si>
    <t xml:space="preserve">UM559</t>
  </si>
  <si>
    <t xml:space="preserve">Tabela 4 nova</t>
  </si>
  <si>
    <t xml:space="preserve">logWHB</t>
  </si>
  <si>
    <t xml:space="preserve">LogO/H</t>
  </si>
  <si>
    <t xml:space="preserve">log sigma</t>
  </si>
  <si>
    <t xml:space="preserve">log R</t>
  </si>
  <si>
    <t xml:space="preserve">log r</t>
  </si>
  <si>
    <t xml:space="preserve">L11 – r</t>
  </si>
  <si>
    <t xml:space="preserve">L07 – r</t>
  </si>
  <si>
    <t xml:space="preserve">L07k – r</t>
  </si>
  <si>
    <t xml:space="preserve">r – s</t>
  </si>
  <si>
    <t xml:space="preserve">Vinicius L – B.K Ref</t>
  </si>
  <si>
    <t xml:space="preserve">standard L – B.K Ref</t>
  </si>
  <si>
    <t xml:space="preserve">Full L – B.K Ref</t>
  </si>
  <si>
    <t xml:space="preserve">B.K L – B.K Ref</t>
  </si>
  <si>
    <t xml:space="preserve">Log(σH) – Full Ref</t>
  </si>
  <si>
    <t xml:space="preserve">Log(σH) – B.K Ref</t>
  </si>
  <si>
    <t xml:space="preserve">L11 – s – WHB - O/H </t>
  </si>
  <si>
    <t xml:space="preserve">L07 – s – WHB - O/H</t>
  </si>
  <si>
    <t xml:space="preserve">L07k – s – WHB - O/H</t>
  </si>
  <si>
    <t xml:space="preserve">R – s – WHB - O/H </t>
  </si>
  <si>
    <t xml:space="preserve">r – s – WHB - O/H</t>
  </si>
  <si>
    <t xml:space="preserve">R - WHB</t>
  </si>
  <si>
    <t xml:space="preserve">r - WHB</t>
  </si>
  <si>
    <t xml:space="preserve">R – s – WHB NTT</t>
  </si>
  <si>
    <t xml:space="preserve">r – s – WHB NTT</t>
  </si>
  <si>
    <t xml:space="preserve">R – s –  O/H </t>
  </si>
  <si>
    <t xml:space="preserve">r – s - O/H</t>
  </si>
  <si>
    <t xml:space="preserve">L11 - R – s – WHB </t>
  </si>
  <si>
    <t xml:space="preserve">L07 – R – s – WHB</t>
  </si>
  <si>
    <t xml:space="preserve">L07k – R – s – WHB</t>
  </si>
  <si>
    <t xml:space="preserve">O/H – s</t>
  </si>
  <si>
    <t xml:space="preserve">L11 – r – s – WHB </t>
  </si>
  <si>
    <t xml:space="preserve">L07 – r – s – WHB</t>
  </si>
  <si>
    <t xml:space="preserve">L07k – r – s – WHB</t>
  </si>
  <si>
    <t xml:space="preserve">WHB – s</t>
  </si>
  <si>
    <t xml:space="preserve">L11 – WHB</t>
  </si>
  <si>
    <t xml:space="preserve">L11 – O/H</t>
  </si>
  <si>
    <t xml:space="preserve">SLOAN PETROSIAN R50</t>
  </si>
  <si>
    <t xml:space="preserve">L</t>
  </si>
  <si>
    <t xml:space="preserve">sigm</t>
  </si>
  <si>
    <t xml:space="preserve">e0</t>
  </si>
  <si>
    <t xml:space="preserve">e erro 0</t>
  </si>
  <si>
    <t xml:space="preserve">e1</t>
  </si>
  <si>
    <t xml:space="preserve">e erro 1</t>
  </si>
  <si>
    <t xml:space="preserve">ellip. Erro</t>
  </si>
  <si>
    <t xml:space="preserve">Zhel</t>
  </si>
  <si>
    <t xml:space="preserve">Daang (Mpc)</t>
  </si>
  <si>
    <t xml:space="preserve">PetroRad_u</t>
  </si>
  <si>
    <t xml:space="preserve">PetroRadErr_u</t>
  </si>
  <si>
    <t xml:space="preserve">PetroRad_g</t>
  </si>
  <si>
    <t xml:space="preserve">PetroRadErr_g</t>
  </si>
  <si>
    <t xml:space="preserve">PetroRad_r</t>
  </si>
  <si>
    <t xml:space="preserve">PetroRadErr_r</t>
  </si>
  <si>
    <t xml:space="preserve">PetroRad_i</t>
  </si>
  <si>
    <t xml:space="preserve">PetroRadErr_i</t>
  </si>
  <si>
    <t xml:space="preserve">PetroRad_z</t>
  </si>
  <si>
    <t xml:space="preserve">PetroRadErr_z</t>
  </si>
  <si>
    <t xml:space="preserve">PSFwidth_u</t>
  </si>
  <si>
    <t xml:space="preserve">PSFwidth_g</t>
  </si>
  <si>
    <t xml:space="preserve">PSFwidth_r</t>
  </si>
  <si>
    <t xml:space="preserve">PSFwidth_i</t>
  </si>
  <si>
    <t xml:space="preserve">PSFwidth_z</t>
  </si>
  <si>
    <t xml:space="preserve">indef</t>
  </si>
  <si>
    <t xml:space="preserve">R1</t>
  </si>
  <si>
    <t xml:space="preserve">LOG1</t>
  </si>
  <si>
    <t xml:space="preserve">R2</t>
  </si>
  <si>
    <t xml:space="preserve">LOG2</t>
  </si>
  <si>
    <t xml:space="preserve">R3</t>
  </si>
  <si>
    <t xml:space="preserve">LOG3</t>
  </si>
  <si>
    <t xml:space="preserve">PetroR50_u</t>
  </si>
  <si>
    <t xml:space="preserve">PetroR50_g</t>
  </si>
  <si>
    <t xml:space="preserve">PetroR50_r</t>
  </si>
  <si>
    <t xml:space="preserve">R_arcsec</t>
  </si>
  <si>
    <t xml:space="preserve">r_arcsec</t>
  </si>
  <si>
    <t xml:space="preserve">II Zw 40</t>
  </si>
  <si>
    <t xml:space="preserve">II Zw 70</t>
  </si>
  <si>
    <t xml:space="preserve">Mrk 1318</t>
  </si>
  <si>
    <t xml:space="preserve">Mrk 36</t>
  </si>
  <si>
    <t xml:space="preserve">UM 439</t>
  </si>
  <si>
    <t xml:space="preserve">UM 455</t>
  </si>
  <si>
    <t xml:space="preserve">UM 456</t>
  </si>
  <si>
    <t xml:space="preserve">UM 461</t>
  </si>
  <si>
    <t xml:space="preserve">L-$\sigma$  &amp; (</t>
  </si>
  <si>
    <t xml:space="preserve">UM 463</t>
  </si>
  <si>
    <t xml:space="preserve">)log r$_{1}$ &amp;</t>
  </si>
  <si>
    <t xml:space="preserve">UM 483</t>
  </si>
  <si>
    <t xml:space="preserve">UM 559</t>
  </si>
  <si>
    <t xml:space="preserve">N-Tol0505-conti_MC</t>
  </si>
  <si>
    <t xml:space="preserve">Mrk 1271</t>
  </si>
  <si>
    <t xml:space="preserve">N-Tol0633-conti_MC</t>
  </si>
  <si>
    <t xml:space="preserve">N-Tol1004-conti + stars</t>
  </si>
  <si>
    <t xml:space="preserve">N-Tol1004-conti3 -2 stars</t>
  </si>
  <si>
    <t xml:space="preserve">N-Tol1223-conti + 2stars</t>
  </si>
  <si>
    <t xml:space="preserve">ç</t>
  </si>
  <si>
    <t xml:space="preserve">N-Tol1334-conti + star</t>
  </si>
  <si>
    <t xml:space="preserve">N-Tol1345-conti + star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</si>
</sst>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General"/>
    <numFmt numFmtId="167" formatCode="0.000"/>
    <numFmt numFmtId="168" formatCode="0.00E+00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FFFF3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name val="Waree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F7D1D5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BF0041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784B04"/>
        <bgColor rgb="FF996600"/>
      </patternFill>
    </fill>
    <fill>
      <patternFill patternType="solid">
        <fgColor rgb="FF3FAF46"/>
        <bgColor rgb="FF00A933"/>
      </patternFill>
    </fill>
    <fill>
      <patternFill patternType="solid">
        <fgColor rgb="FFFFFF00"/>
        <bgColor rgb="FFFFFF38"/>
      </patternFill>
    </fill>
    <fill>
      <patternFill patternType="solid">
        <fgColor rgb="FFACB20C"/>
        <bgColor rgb="FF81D41A"/>
      </patternFill>
    </fill>
    <fill>
      <patternFill patternType="solid">
        <fgColor rgb="FF81D41A"/>
        <bgColor rgb="FFACB20C"/>
      </patternFill>
    </fill>
    <fill>
      <patternFill patternType="solid">
        <fgColor rgb="FFB4C7DC"/>
        <bgColor rgb="FFB3B3B3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3FAF46"/>
      </patternFill>
    </fill>
    <fill>
      <patternFill patternType="solid">
        <fgColor rgb="FF800080"/>
        <bgColor rgb="FF660066"/>
      </patternFill>
    </fill>
    <fill>
      <patternFill patternType="solid">
        <fgColor rgb="FF666666"/>
        <bgColor rgb="FF808080"/>
      </patternFill>
    </fill>
    <fill>
      <patternFill patternType="solid">
        <fgColor rgb="FFBF0041"/>
        <bgColor rgb="FFCC0000"/>
      </patternFill>
    </fill>
    <fill>
      <patternFill patternType="solid">
        <fgColor rgb="FFFF8000"/>
        <bgColor rgb="FFEA7500"/>
      </patternFill>
    </fill>
    <fill>
      <patternFill patternType="solid">
        <fgColor rgb="FFEA7500"/>
        <bgColor rgb="FFFF8000"/>
      </patternFill>
    </fill>
    <fill>
      <patternFill patternType="solid">
        <fgColor rgb="FFF7D1D5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A933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38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7D1D5"/>
      <rgbColor rgb="FFB3B3B3"/>
      <rgbColor rgb="FFFF99CC"/>
      <rgbColor rgb="FFCC99FF"/>
      <rgbColor rgb="FFFFCCCC"/>
      <rgbColor rgb="FF3366FF"/>
      <rgbColor rgb="FF33CCCC"/>
      <rgbColor rgb="FF81D41A"/>
      <rgbColor rgb="FFACB20C"/>
      <rgbColor rgb="FFFF8000"/>
      <rgbColor rgb="FFEA7500"/>
      <rgbColor rgb="FF666666"/>
      <rgbColor rgb="FFBF819E"/>
      <rgbColor rgb="FF004586"/>
      <rgbColor rgb="FF3FAF46"/>
      <rgbColor rgb="FF0033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L-S-R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Sheet1!$CC$102</c:f>
              <c:strCache>
                <c:ptCount val="1"/>
                <c:pt idx="0">
                  <c:v>log (LHβ) (erg s-¹) KTC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Sheet1!$CB$103:$CB$141</c:f>
              <c:numCache>
                <c:formatCode>General</c:formatCode>
                <c:ptCount val="39"/>
                <c:pt idx="0">
                  <c:v>39.3903179296223</c:v>
                </c:pt>
                <c:pt idx="1">
                  <c:v>39.8042444132569</c:v>
                </c:pt>
                <c:pt idx="2">
                  <c:v>40.3352593523908</c:v>
                </c:pt>
                <c:pt idx="3">
                  <c:v>40.3421594182998</c:v>
                </c:pt>
                <c:pt idx="4">
                  <c:v>40.0517854032158</c:v>
                </c:pt>
                <c:pt idx="5">
                  <c:v>40.178010293638</c:v>
                </c:pt>
                <c:pt idx="6">
                  <c:v>39.6716618089648</c:v>
                </c:pt>
                <c:pt idx="7">
                  <c:v>40.1893406593487</c:v>
                </c:pt>
                <c:pt idx="8">
                  <c:v>40.1692760288157</c:v>
                </c:pt>
                <c:pt idx="9">
                  <c:v>39.5350545671859</c:v>
                </c:pt>
                <c:pt idx="10">
                  <c:v>39.999042911653</c:v>
                </c:pt>
                <c:pt idx="11">
                  <c:v>39.4805839302218</c:v>
                </c:pt>
                <c:pt idx="12">
                  <c:v>39.7023104513765</c:v>
                </c:pt>
                <c:pt idx="13">
                  <c:v>39.2901443047451</c:v>
                </c:pt>
                <c:pt idx="14">
                  <c:v>39.727464928755</c:v>
                </c:pt>
                <c:pt idx="15">
                  <c:v>40.2938638953151</c:v>
                </c:pt>
                <c:pt idx="16">
                  <c:v>39.9113411119962</c:v>
                </c:pt>
                <c:pt idx="17">
                  <c:v>40.0244682724871</c:v>
                </c:pt>
                <c:pt idx="18">
                  <c:v>39.6011760843304</c:v>
                </c:pt>
                <c:pt idx="19">
                  <c:v>39.393416869397</c:v>
                </c:pt>
                <c:pt idx="20">
                  <c:v>40.2437195176849</c:v>
                </c:pt>
                <c:pt idx="21">
                  <c:v>40.290640501036</c:v>
                </c:pt>
                <c:pt idx="22">
                  <c:v>39.9240301830329</c:v>
                </c:pt>
                <c:pt idx="23">
                  <c:v>40.252260239558</c:v>
                </c:pt>
                <c:pt idx="24">
                  <c:v>41.0377968045057</c:v>
                </c:pt>
                <c:pt idx="25">
                  <c:v>39.4603733271906</c:v>
                </c:pt>
                <c:pt idx="26">
                  <c:v>39.5042487810038</c:v>
                </c:pt>
                <c:pt idx="27">
                  <c:v>39.66408485675</c:v>
                </c:pt>
                <c:pt idx="28">
                  <c:v>40.2961474905794</c:v>
                </c:pt>
                <c:pt idx="29">
                  <c:v>39.9721309235623</c:v>
                </c:pt>
                <c:pt idx="30">
                  <c:v>39.9802652964273</c:v>
                </c:pt>
                <c:pt idx="31">
                  <c:v>40.0193068000145</c:v>
                </c:pt>
                <c:pt idx="32">
                  <c:v>39.6344642191847</c:v>
                </c:pt>
                <c:pt idx="33">
                  <c:v>39.8907196131763</c:v>
                </c:pt>
                <c:pt idx="34">
                  <c:v>39.622974452549</c:v>
                </c:pt>
                <c:pt idx="35">
                  <c:v>39.1244840833802</c:v>
                </c:pt>
                <c:pt idx="36">
                  <c:v>39.4879291963217</c:v>
                </c:pt>
                <c:pt idx="37">
                  <c:v>39.5802887046729</c:v>
                </c:pt>
                <c:pt idx="38">
                  <c:v>39.0783237231788</c:v>
                </c:pt>
              </c:numCache>
            </c:numRef>
          </c:xVal>
          <c:yVal>
            <c:numRef>
              <c:f>Sheet1!$CC$103:$CC$141</c:f>
              <c:numCache>
                <c:formatCode>General</c:formatCode>
                <c:ptCount val="39"/>
                <c:pt idx="0">
                  <c:v>39.4693811697741</c:v>
                </c:pt>
                <c:pt idx="1">
                  <c:v>40.1317447055601</c:v>
                </c:pt>
                <c:pt idx="2">
                  <c:v>39.9963150223595</c:v>
                </c:pt>
                <c:pt idx="3">
                  <c:v>40.3308782653967</c:v>
                </c:pt>
                <c:pt idx="4">
                  <c:v>40.4850090486329</c:v>
                </c:pt>
                <c:pt idx="5">
                  <c:v>40.5363222856562</c:v>
                </c:pt>
                <c:pt idx="6">
                  <c:v>39.9166540391504</c:v>
                </c:pt>
                <c:pt idx="7">
                  <c:v>39.9203081956583</c:v>
                </c:pt>
                <c:pt idx="8">
                  <c:v>40.0555420750015</c:v>
                </c:pt>
                <c:pt idx="9">
                  <c:v>39.6009701741581</c:v>
                </c:pt>
                <c:pt idx="10">
                  <c:v>39.7119114592515</c:v>
                </c:pt>
                <c:pt idx="11">
                  <c:v>39.8158956218551</c:v>
                </c:pt>
                <c:pt idx="12">
                  <c:v>39.9770046637507</c:v>
                </c:pt>
                <c:pt idx="13">
                  <c:v>39.0888685217564</c:v>
                </c:pt>
                <c:pt idx="14">
                  <c:v>39.3364926286811</c:v>
                </c:pt>
                <c:pt idx="15">
                  <c:v>40.3263420583806</c:v>
                </c:pt>
                <c:pt idx="16">
                  <c:v>39.7238406799932</c:v>
                </c:pt>
                <c:pt idx="17">
                  <c:v>40.069553025812</c:v>
                </c:pt>
                <c:pt idx="18">
                  <c:v>39.8138398098754</c:v>
                </c:pt>
                <c:pt idx="19">
                  <c:v>39.0981383321098</c:v>
                </c:pt>
                <c:pt idx="20">
                  <c:v>40.6295612869068</c:v>
                </c:pt>
                <c:pt idx="21">
                  <c:v>40.2970404904863</c:v>
                </c:pt>
                <c:pt idx="22">
                  <c:v>39.5808250944804</c:v>
                </c:pt>
                <c:pt idx="23">
                  <c:v>40.3643638589132</c:v>
                </c:pt>
                <c:pt idx="24">
                  <c:v>41.0032839602938</c:v>
                </c:pt>
                <c:pt idx="25">
                  <c:v>39.4879266153321</c:v>
                </c:pt>
                <c:pt idx="26">
                  <c:v>39.8907352023789</c:v>
                </c:pt>
                <c:pt idx="27">
                  <c:v>39.8855611883631</c:v>
                </c:pt>
                <c:pt idx="28">
                  <c:v>40.8602418490241</c:v>
                </c:pt>
                <c:pt idx="29">
                  <c:v>39.5307026003539</c:v>
                </c:pt>
                <c:pt idx="30">
                  <c:v>39.4259659076773</c:v>
                </c:pt>
                <c:pt idx="31">
                  <c:v>39.9477947317714</c:v>
                </c:pt>
                <c:pt idx="32">
                  <c:v>39.3876198532141</c:v>
                </c:pt>
                <c:pt idx="33">
                  <c:v>39.7992940202333</c:v>
                </c:pt>
                <c:pt idx="34">
                  <c:v>39.5414546476421</c:v>
                </c:pt>
                <c:pt idx="35">
                  <c:v>39.2951320767752</c:v>
                </c:pt>
                <c:pt idx="36">
                  <c:v>39.0423920343584</c:v>
                </c:pt>
                <c:pt idx="37">
                  <c:v>39.7584397069598</c:v>
                </c:pt>
                <c:pt idx="38">
                  <c:v>39.0217644408478</c:v>
                </c:pt>
              </c:numCache>
            </c:numRef>
          </c:yVal>
          <c:smooth val="0"/>
        </c:ser>
        <c:axId val="4343254"/>
        <c:axId val="44330605"/>
      </c:scatterChart>
      <c:valAx>
        <c:axId val="43432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L-SR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330605"/>
        <c:crosses val="autoZero"/>
        <c:crossBetween val="midCat"/>
      </c:valAx>
      <c:valAx>
        <c:axId val="443306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432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 - 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Sheet1!$CB$31</c:f>
              <c:strCache>
                <c:ptCount val="1"/>
                <c:pt idx="0">
                  <c:v>log (LHβ) (erg s-¹) KTC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Sheet1!$BZ$32:$BZ$70</c:f>
              <c:numCache>
                <c:formatCode>General</c:formatCode>
                <c:ptCount val="39"/>
                <c:pt idx="0">
                  <c:v>1.18752072083646</c:v>
                </c:pt>
                <c:pt idx="1">
                  <c:v>1.32633586092875</c:v>
                </c:pt>
                <c:pt idx="2">
                  <c:v>1.52762990087134</c:v>
                </c:pt>
                <c:pt idx="3">
                  <c:v>1.54530711646582</c:v>
                </c:pt>
                <c:pt idx="4">
                  <c:v>1.44247976906445</c:v>
                </c:pt>
                <c:pt idx="5">
                  <c:v>1.53781909507327</c:v>
                </c:pt>
                <c:pt idx="6">
                  <c:v>1.3541084391474</c:v>
                </c:pt>
                <c:pt idx="7">
                  <c:v>1.42488163663107</c:v>
                </c:pt>
                <c:pt idx="8">
                  <c:v>1.43775056282039</c:v>
                </c:pt>
                <c:pt idx="9">
                  <c:v>1.31386722036915</c:v>
                </c:pt>
                <c:pt idx="10">
                  <c:v>1.51719589794997</c:v>
                </c:pt>
                <c:pt idx="11">
                  <c:v>1.32221929473392</c:v>
                </c:pt>
                <c:pt idx="12">
                  <c:v>1.23299611039215</c:v>
                </c:pt>
                <c:pt idx="13">
                  <c:v>1.23299611039215</c:v>
                </c:pt>
                <c:pt idx="14">
                  <c:v>1.3541084391474</c:v>
                </c:pt>
                <c:pt idx="15">
                  <c:v>1.48572142648158</c:v>
                </c:pt>
                <c:pt idx="16">
                  <c:v>1.39967372148104</c:v>
                </c:pt>
                <c:pt idx="17">
                  <c:v>1.3384564936046</c:v>
                </c:pt>
                <c:pt idx="18">
                  <c:v>1.25527250510331</c:v>
                </c:pt>
                <c:pt idx="19">
                  <c:v>1.22010808804006</c:v>
                </c:pt>
                <c:pt idx="20">
                  <c:v>1.50514997831991</c:v>
                </c:pt>
                <c:pt idx="21">
                  <c:v>1.45788189673399</c:v>
                </c:pt>
                <c:pt idx="22">
                  <c:v>1.39269695325967</c:v>
                </c:pt>
                <c:pt idx="23">
                  <c:v>1.50379068305718</c:v>
                </c:pt>
                <c:pt idx="24">
                  <c:v>1.76937732607614</c:v>
                </c:pt>
                <c:pt idx="25">
                  <c:v>1.23044892137827</c:v>
                </c:pt>
                <c:pt idx="26">
                  <c:v>1.24303804868629</c:v>
                </c:pt>
                <c:pt idx="27">
                  <c:v>1.3096301674259</c:v>
                </c:pt>
                <c:pt idx="28">
                  <c:v>1.54900326202579</c:v>
                </c:pt>
                <c:pt idx="29">
                  <c:v>1.38021124171161</c:v>
                </c:pt>
                <c:pt idx="30">
                  <c:v>1.41161970596323</c:v>
                </c:pt>
                <c:pt idx="31">
                  <c:v>1.45484486000851</c:v>
                </c:pt>
                <c:pt idx="32">
                  <c:v>1.24797326636181</c:v>
                </c:pt>
                <c:pt idx="33">
                  <c:v>1.3541084391474</c:v>
                </c:pt>
                <c:pt idx="34">
                  <c:v>1.20682587603185</c:v>
                </c:pt>
                <c:pt idx="35">
                  <c:v>1.09691001300806</c:v>
                </c:pt>
                <c:pt idx="36">
                  <c:v>1.28330122870355</c:v>
                </c:pt>
                <c:pt idx="37">
                  <c:v>1.23552844690755</c:v>
                </c:pt>
                <c:pt idx="38">
                  <c:v>1.22788670461367</c:v>
                </c:pt>
              </c:numCache>
            </c:numRef>
          </c:xVal>
          <c:yVal>
            <c:numRef>
              <c:f>Sheet1!$CB$32:$CB$70</c:f>
              <c:numCache>
                <c:formatCode>General</c:formatCode>
                <c:ptCount val="39"/>
                <c:pt idx="0">
                  <c:v>39.4693811697741</c:v>
                </c:pt>
                <c:pt idx="1">
                  <c:v>40.1317447055601</c:v>
                </c:pt>
                <c:pt idx="2">
                  <c:v>39.9963150223595</c:v>
                </c:pt>
                <c:pt idx="3">
                  <c:v>40.3308782653967</c:v>
                </c:pt>
                <c:pt idx="4">
                  <c:v>40.4850090486329</c:v>
                </c:pt>
                <c:pt idx="5">
                  <c:v>40.5363222856562</c:v>
                </c:pt>
                <c:pt idx="6">
                  <c:v>39.9166540391504</c:v>
                </c:pt>
                <c:pt idx="7">
                  <c:v>39.9203081956583</c:v>
                </c:pt>
                <c:pt idx="8">
                  <c:v>40.0555420750015</c:v>
                </c:pt>
                <c:pt idx="9">
                  <c:v>39.6009701741581</c:v>
                </c:pt>
                <c:pt idx="10">
                  <c:v>39.7119114592515</c:v>
                </c:pt>
                <c:pt idx="11">
                  <c:v>39.8158956218551</c:v>
                </c:pt>
                <c:pt idx="12">
                  <c:v>39.9770046637507</c:v>
                </c:pt>
                <c:pt idx="13">
                  <c:v>39.0888685217564</c:v>
                </c:pt>
                <c:pt idx="14">
                  <c:v>39.3364926286811</c:v>
                </c:pt>
                <c:pt idx="15">
                  <c:v>40.3263420583806</c:v>
                </c:pt>
                <c:pt idx="16">
                  <c:v>39.7238406799932</c:v>
                </c:pt>
                <c:pt idx="17">
                  <c:v>40.069553025812</c:v>
                </c:pt>
                <c:pt idx="18">
                  <c:v>39.8138398098754</c:v>
                </c:pt>
                <c:pt idx="19">
                  <c:v>39.0981383321098</c:v>
                </c:pt>
                <c:pt idx="20">
                  <c:v>40.6295612869068</c:v>
                </c:pt>
                <c:pt idx="21">
                  <c:v>40.2970404904863</c:v>
                </c:pt>
                <c:pt idx="22">
                  <c:v>39.5808250944804</c:v>
                </c:pt>
                <c:pt idx="23">
                  <c:v>40.3643638589132</c:v>
                </c:pt>
                <c:pt idx="24">
                  <c:v>41.0032839602938</c:v>
                </c:pt>
                <c:pt idx="25">
                  <c:v>39.4879266153321</c:v>
                </c:pt>
                <c:pt idx="26">
                  <c:v>39.8907352023789</c:v>
                </c:pt>
                <c:pt idx="27">
                  <c:v>39.8855611883631</c:v>
                </c:pt>
                <c:pt idx="28">
                  <c:v>40.8602418490241</c:v>
                </c:pt>
                <c:pt idx="29">
                  <c:v>39.5307026003539</c:v>
                </c:pt>
                <c:pt idx="30">
                  <c:v>39.4259659076773</c:v>
                </c:pt>
                <c:pt idx="31">
                  <c:v>39.9477947317714</c:v>
                </c:pt>
                <c:pt idx="32">
                  <c:v>39.3876198532141</c:v>
                </c:pt>
                <c:pt idx="33">
                  <c:v>39.7992940202333</c:v>
                </c:pt>
                <c:pt idx="34">
                  <c:v>39.5414546476421</c:v>
                </c:pt>
                <c:pt idx="35">
                  <c:v>39.2951320767752</c:v>
                </c:pt>
                <c:pt idx="36">
                  <c:v>39.0423920343584</c:v>
                </c:pt>
                <c:pt idx="37">
                  <c:v>39.7584397069598</c:v>
                </c:pt>
                <c:pt idx="38">
                  <c:v>39.0217644408478</c:v>
                </c:pt>
              </c:numCache>
            </c:numRef>
          </c:yVal>
          <c:smooth val="0"/>
        </c:ser>
        <c:axId val="10811498"/>
        <c:axId val="39963419"/>
      </c:scatterChart>
      <c:valAx>
        <c:axId val="108114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63419"/>
        <c:crosses val="autoZero"/>
        <c:crossBetween val="midCat"/>
      </c:valAx>
      <c:valAx>
        <c:axId val="399634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8114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L-S-r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4"/>
            <c:spPr>
              <a:solidFill>
                <a:srgbClr val="004586"/>
              </a:solidFill>
              <a:ln w="28800">
                <a:noFill/>
              </a:ln>
            </c:spPr>
          </c:dPt>
          <c:dLbls>
            <c:numFmt formatCode="General" sourceLinked="1"/>
            <c:dLbl>
              <c:idx val="24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Sheet1!$CB$174:$CB$212</c:f>
              <c:numCache>
                <c:formatCode>General</c:formatCode>
                <c:ptCount val="39"/>
                <c:pt idx="0">
                  <c:v>39.5278055439578</c:v>
                </c:pt>
                <c:pt idx="1">
                  <c:v>39.8309626768496</c:v>
                </c:pt>
                <c:pt idx="2">
                  <c:v>40.3834591544529</c:v>
                </c:pt>
                <c:pt idx="3">
                  <c:v>40.4669745600656</c:v>
                </c:pt>
                <c:pt idx="4">
                  <c:v>40.2702902342772</c:v>
                </c:pt>
                <c:pt idx="5">
                  <c:v>40.3174567425537</c:v>
                </c:pt>
                <c:pt idx="6">
                  <c:v>39.8739163620049</c:v>
                </c:pt>
                <c:pt idx="7">
                  <c:v>40.1539603747889</c:v>
                </c:pt>
                <c:pt idx="8">
                  <c:v>40.1548387811384</c:v>
                </c:pt>
                <c:pt idx="9">
                  <c:v>39.5062303172208</c:v>
                </c:pt>
                <c:pt idx="10">
                  <c:v>39.7831582269243</c:v>
                </c:pt>
                <c:pt idx="11">
                  <c:v>39.5754098400698</c:v>
                </c:pt>
                <c:pt idx="12">
                  <c:v>39.4951734697686</c:v>
                </c:pt>
                <c:pt idx="13">
                  <c:v>39.307392656574</c:v>
                </c:pt>
                <c:pt idx="14">
                  <c:v>39.8122890408607</c:v>
                </c:pt>
                <c:pt idx="15">
                  <c:v>40.3226711638011</c:v>
                </c:pt>
                <c:pt idx="16">
                  <c:v>39.9578070781896</c:v>
                </c:pt>
                <c:pt idx="17">
                  <c:v>39.9283593042647</c:v>
                </c:pt>
                <c:pt idx="18">
                  <c:v>39.6127862818269</c:v>
                </c:pt>
                <c:pt idx="19">
                  <c:v>39.4581198250354</c:v>
                </c:pt>
                <c:pt idx="20">
                  <c:v>40.2929451076676</c:v>
                </c:pt>
                <c:pt idx="21">
                  <c:v>40.1440107591875</c:v>
                </c:pt>
                <c:pt idx="22">
                  <c:v>39.6820655148264</c:v>
                </c:pt>
                <c:pt idx="23">
                  <c:v>40.05330114697</c:v>
                </c:pt>
                <c:pt idx="24">
                  <c:v>40.970390935826</c:v>
                </c:pt>
                <c:pt idx="25">
                  <c:v>39.4735273202625</c:v>
                </c:pt>
                <c:pt idx="26">
                  <c:v>39.5734726158683</c:v>
                </c:pt>
                <c:pt idx="27">
                  <c:v>39.6893685510944</c:v>
                </c:pt>
                <c:pt idx="28">
                  <c:v>40.2576362701787</c:v>
                </c:pt>
                <c:pt idx="29">
                  <c:v>39.9007912606655</c:v>
                </c:pt>
                <c:pt idx="30">
                  <c:v>39.9980424663197</c:v>
                </c:pt>
                <c:pt idx="31">
                  <c:v>40.226447643</c:v>
                </c:pt>
                <c:pt idx="32">
                  <c:v>39.361718718425</c:v>
                </c:pt>
                <c:pt idx="33">
                  <c:v>39.8798987781997</c:v>
                </c:pt>
                <c:pt idx="34">
                  <c:v>39.4833540927995</c:v>
                </c:pt>
                <c:pt idx="35">
                  <c:v>39.0241641889618</c:v>
                </c:pt>
                <c:pt idx="36">
                  <c:v>39.4349525434234</c:v>
                </c:pt>
                <c:pt idx="37">
                  <c:v>39.5441947455801</c:v>
                </c:pt>
                <c:pt idx="38">
                  <c:v>39.4257670549438</c:v>
                </c:pt>
              </c:numCache>
            </c:numRef>
          </c:xVal>
          <c:yVal>
            <c:numRef>
              <c:f>Sheet1!$CC$174:$CC$212</c:f>
              <c:numCache>
                <c:formatCode>General</c:formatCode>
                <c:ptCount val="39"/>
                <c:pt idx="0">
                  <c:v>39.4693811697741</c:v>
                </c:pt>
                <c:pt idx="1">
                  <c:v>40.1317447055601</c:v>
                </c:pt>
                <c:pt idx="2">
                  <c:v>39.9963150223595</c:v>
                </c:pt>
                <c:pt idx="3">
                  <c:v>40.3308782653967</c:v>
                </c:pt>
                <c:pt idx="4">
                  <c:v>40.4850090486329</c:v>
                </c:pt>
                <c:pt idx="5">
                  <c:v>40.5363222856562</c:v>
                </c:pt>
                <c:pt idx="6">
                  <c:v>39.9166540391504</c:v>
                </c:pt>
                <c:pt idx="7">
                  <c:v>39.9203081956583</c:v>
                </c:pt>
                <c:pt idx="8">
                  <c:v>40.0555420750015</c:v>
                </c:pt>
                <c:pt idx="9">
                  <c:v>39.6009701741581</c:v>
                </c:pt>
                <c:pt idx="10">
                  <c:v>39.7119114592515</c:v>
                </c:pt>
                <c:pt idx="11">
                  <c:v>39.8158956218551</c:v>
                </c:pt>
                <c:pt idx="12">
                  <c:v>39.9770046637507</c:v>
                </c:pt>
                <c:pt idx="13">
                  <c:v>39.0888685217564</c:v>
                </c:pt>
                <c:pt idx="14">
                  <c:v>39.3364926286811</c:v>
                </c:pt>
                <c:pt idx="15">
                  <c:v>40.3263420583806</c:v>
                </c:pt>
                <c:pt idx="16">
                  <c:v>39.7238406799932</c:v>
                </c:pt>
                <c:pt idx="17">
                  <c:v>40.069553025812</c:v>
                </c:pt>
                <c:pt idx="18">
                  <c:v>39.8138398098754</c:v>
                </c:pt>
                <c:pt idx="19">
                  <c:v>39.0981383321098</c:v>
                </c:pt>
                <c:pt idx="20">
                  <c:v>40.6295612869068</c:v>
                </c:pt>
                <c:pt idx="21">
                  <c:v>40.2970404904863</c:v>
                </c:pt>
                <c:pt idx="22">
                  <c:v>39.5808250944804</c:v>
                </c:pt>
                <c:pt idx="23">
                  <c:v>40.3643638589132</c:v>
                </c:pt>
                <c:pt idx="24">
                  <c:v>41.0032839602938</c:v>
                </c:pt>
                <c:pt idx="25">
                  <c:v>39.4879266153321</c:v>
                </c:pt>
                <c:pt idx="26">
                  <c:v>39.8907352023789</c:v>
                </c:pt>
                <c:pt idx="27">
                  <c:v>39.8855611883631</c:v>
                </c:pt>
                <c:pt idx="28">
                  <c:v>40.8602418490241</c:v>
                </c:pt>
                <c:pt idx="29">
                  <c:v>39.5307026003539</c:v>
                </c:pt>
                <c:pt idx="30">
                  <c:v>39.4259659076773</c:v>
                </c:pt>
                <c:pt idx="31">
                  <c:v>39.9477947317714</c:v>
                </c:pt>
                <c:pt idx="32">
                  <c:v>39.3876198532141</c:v>
                </c:pt>
                <c:pt idx="33">
                  <c:v>39.7992940202333</c:v>
                </c:pt>
                <c:pt idx="34">
                  <c:v>39.5414546476421</c:v>
                </c:pt>
                <c:pt idx="35">
                  <c:v>39.2951320767752</c:v>
                </c:pt>
                <c:pt idx="36">
                  <c:v>39.0423920343584</c:v>
                </c:pt>
                <c:pt idx="37">
                  <c:v>39.7584397069598</c:v>
                </c:pt>
                <c:pt idx="38">
                  <c:v>39.0217644408478</c:v>
                </c:pt>
              </c:numCache>
            </c:numRef>
          </c:yVal>
          <c:smooth val="0"/>
        </c:ser>
        <c:axId val="84198705"/>
        <c:axId val="55621103"/>
      </c:scatterChart>
      <c:valAx>
        <c:axId val="841987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L-S-r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621103"/>
        <c:crosses val="autoZero"/>
        <c:crossBetween val="midCat"/>
      </c:valAx>
      <c:valAx>
        <c:axId val="556211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L11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1987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NTT x KTC_x005F_x005F_x005F_x005F_x005F_x005F_x005F_x005F_x005F_x005F_x005F_x005F_x005F_x005F_x005F_x005F_x005F_x0000__x005F_x005F_x005F_x005F_x005F_x005F_x005F_x005F_x005F_x005F_x005F_x005F_x005F_x005F_x005F_x005F_x005F_x0000__x005F_x005F_x005F_x005F_x005F_x005F_x005F_x005F_x005F_x005F_x005F_x005F_x005F_x005F_x005F_x005F_x005F_x0000_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Sheet1!$BG$2</c:f>
              <c:strCache>
                <c:ptCount val="1"/>
                <c:pt idx="0">
                  <c:v>log (LHβ) (erg s-¹) NTT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Sheet1!$BF$3:$BF$41</c:f>
              <c:numCache>
                <c:formatCode>General</c:formatCode>
                <c:ptCount val="39"/>
                <c:pt idx="0">
                  <c:v>39.4693811697741</c:v>
                </c:pt>
                <c:pt idx="1">
                  <c:v>40.1317447055601</c:v>
                </c:pt>
                <c:pt idx="2">
                  <c:v>39.9963150223595</c:v>
                </c:pt>
                <c:pt idx="3">
                  <c:v>40.3308782653967</c:v>
                </c:pt>
                <c:pt idx="4">
                  <c:v>40.4850090486329</c:v>
                </c:pt>
                <c:pt idx="5">
                  <c:v>40.5363222856562</c:v>
                </c:pt>
                <c:pt idx="6">
                  <c:v>39.9166540391504</c:v>
                </c:pt>
                <c:pt idx="7">
                  <c:v>39.9203081956583</c:v>
                </c:pt>
                <c:pt idx="8">
                  <c:v>40.0555420750015</c:v>
                </c:pt>
                <c:pt idx="9">
                  <c:v>39.6009701741581</c:v>
                </c:pt>
                <c:pt idx="10">
                  <c:v>39.7119114592515</c:v>
                </c:pt>
                <c:pt idx="11">
                  <c:v>39.8158956218551</c:v>
                </c:pt>
                <c:pt idx="12">
                  <c:v>39.9770046637507</c:v>
                </c:pt>
                <c:pt idx="13">
                  <c:v>39.0888685217564</c:v>
                </c:pt>
                <c:pt idx="14">
                  <c:v>39.3364926286811</c:v>
                </c:pt>
                <c:pt idx="15">
                  <c:v>40.3263420583806</c:v>
                </c:pt>
                <c:pt idx="16">
                  <c:v>39.7238406799932</c:v>
                </c:pt>
                <c:pt idx="17">
                  <c:v>40.069553025812</c:v>
                </c:pt>
                <c:pt idx="18">
                  <c:v>39.8138398098754</c:v>
                </c:pt>
                <c:pt idx="19">
                  <c:v>39.0981383321098</c:v>
                </c:pt>
                <c:pt idx="20">
                  <c:v>40.6295612869068</c:v>
                </c:pt>
                <c:pt idx="21">
                  <c:v>40.2970404904863</c:v>
                </c:pt>
                <c:pt idx="22">
                  <c:v>39.5808250944804</c:v>
                </c:pt>
                <c:pt idx="23">
                  <c:v>40.3643638589132</c:v>
                </c:pt>
                <c:pt idx="24">
                  <c:v>41.0032839602938</c:v>
                </c:pt>
                <c:pt idx="25">
                  <c:v>39.4879266153321</c:v>
                </c:pt>
                <c:pt idx="26">
                  <c:v>39.8907352023789</c:v>
                </c:pt>
                <c:pt idx="27">
                  <c:v>39.8855611883631</c:v>
                </c:pt>
                <c:pt idx="28">
                  <c:v>40.8602418490241</c:v>
                </c:pt>
                <c:pt idx="29">
                  <c:v>39.5307026003539</c:v>
                </c:pt>
                <c:pt idx="30">
                  <c:v>39.4259659076773</c:v>
                </c:pt>
                <c:pt idx="31">
                  <c:v>39.9477947317714</c:v>
                </c:pt>
                <c:pt idx="32">
                  <c:v>39.3876198532141</c:v>
                </c:pt>
                <c:pt idx="33">
                  <c:v>39.7992940202333</c:v>
                </c:pt>
                <c:pt idx="34">
                  <c:v>39.5414546476421</c:v>
                </c:pt>
                <c:pt idx="35">
                  <c:v>39.2951320767752</c:v>
                </c:pt>
                <c:pt idx="36">
                  <c:v>39.0423920343584</c:v>
                </c:pt>
                <c:pt idx="37">
                  <c:v>39.7584397069598</c:v>
                </c:pt>
                <c:pt idx="38">
                  <c:v>39.0217644408478</c:v>
                </c:pt>
              </c:numCache>
            </c:numRef>
          </c:xVal>
          <c:yVal>
            <c:numRef>
              <c:f>Sheet1!$BG$3:$BG$41</c:f>
              <c:numCache>
                <c:formatCode>General</c:formatCode>
                <c:ptCount val="39"/>
                <c:pt idx="0">
                  <c:v>39.926839874903</c:v>
                </c:pt>
                <c:pt idx="1">
                  <c:v>40.6654832485069</c:v>
                </c:pt>
                <c:pt idx="2">
                  <c:v>40.4667860464016</c:v>
                </c:pt>
                <c:pt idx="3">
                  <c:v>40.6750396842358</c:v>
                </c:pt>
                <c:pt idx="4">
                  <c:v>40.9096967114523</c:v>
                </c:pt>
                <c:pt idx="5">
                  <c:v>40.8519069419647</c:v>
                </c:pt>
                <c:pt idx="6">
                  <c:v>40.3823661888664</c:v>
                </c:pt>
                <c:pt idx="7">
                  <c:v>39.8052047714277</c:v>
                </c:pt>
                <c:pt idx="8">
                  <c:v>40.1409607062428</c:v>
                </c:pt>
                <c:pt idx="9">
                  <c:v>39.9728485150304</c:v>
                </c:pt>
                <c:pt idx="10">
                  <c:v>40.3675165950432</c:v>
                </c:pt>
                <c:pt idx="11">
                  <c:v>40.2813702480347</c:v>
                </c:pt>
                <c:pt idx="12">
                  <c:v>40.5618565782759</c:v>
                </c:pt>
                <c:pt idx="13">
                  <c:v>39.807392282766</c:v>
                </c:pt>
                <c:pt idx="14">
                  <c:v>39.6234285182525</c:v>
                </c:pt>
                <c:pt idx="15">
                  <c:v>40.3264007404092</c:v>
                </c:pt>
                <c:pt idx="16">
                  <c:v>40.2529720067542</c:v>
                </c:pt>
                <c:pt idx="17">
                  <c:v>41.2641577153917</c:v>
                </c:pt>
                <c:pt idx="18">
                  <c:v>40.2861528339909</c:v>
                </c:pt>
                <c:pt idx="19">
                  <c:v>39.9333875133335</c:v>
                </c:pt>
                <c:pt idx="20">
                  <c:v>40.9807675767649</c:v>
                </c:pt>
                <c:pt idx="21">
                  <c:v>40.7309227353314</c:v>
                </c:pt>
                <c:pt idx="22">
                  <c:v>40.2880850465456</c:v>
                </c:pt>
                <c:pt idx="23">
                  <c:v>41.0286745143046</c:v>
                </c:pt>
                <c:pt idx="24">
                  <c:v>41.1844537060535</c:v>
                </c:pt>
                <c:pt idx="25">
                  <c:v>39.8774043417796</c:v>
                </c:pt>
                <c:pt idx="26">
                  <c:v>40.3666338830954</c:v>
                </c:pt>
                <c:pt idx="27">
                  <c:v>40.3210963526474</c:v>
                </c:pt>
                <c:pt idx="28">
                  <c:v>41.2889669095893</c:v>
                </c:pt>
                <c:pt idx="29">
                  <c:v>40.3112205857885</c:v>
                </c:pt>
                <c:pt idx="30">
                  <c:v>39.794334988839</c:v>
                </c:pt>
                <c:pt idx="31">
                  <c:v>40.1481123266225</c:v>
                </c:pt>
                <c:pt idx="32">
                  <c:v>39.9396196552323</c:v>
                </c:pt>
                <c:pt idx="33">
                  <c:v>40.5671950296227</c:v>
                </c:pt>
                <c:pt idx="34">
                  <c:v>39.9994654634455</c:v>
                </c:pt>
                <c:pt idx="35">
                  <c:v>39.8338814731209</c:v>
                </c:pt>
                <c:pt idx="36">
                  <c:v>39.4843141944881</c:v>
                </c:pt>
                <c:pt idx="37">
                  <c:v>40.1263375099171</c:v>
                </c:pt>
                <c:pt idx="38">
                  <c:v>39.7989606416723</c:v>
                </c:pt>
              </c:numCache>
            </c:numRef>
          </c:yVal>
          <c:smooth val="0"/>
        </c:ser>
        <c:axId val="90083374"/>
        <c:axId val="4113848"/>
      </c:scatterChart>
      <c:valAx>
        <c:axId val="900833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KTC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13848"/>
        <c:crosses val="autoZero"/>
        <c:crossBetween val="midCat"/>
      </c:valAx>
      <c:valAx>
        <c:axId val="41138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NTT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0833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NTT B.K x KTC</a:t>
            </a:r>
          </a:p>
        </c:rich>
      </c:tx>
      <c:layout>
        <c:manualLayout>
          <c:xMode val="edge"/>
          <c:yMode val="edge"/>
          <c:x val="0.392216878006122"/>
          <c:y val="0.0358649789029536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Sheet1!$BH$2</c:f>
              <c:strCache>
                <c:ptCount val="1"/>
                <c:pt idx="0">
                  <c:v>log(LHβ) B.K (erg s-¹) NTT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Sheet1!$BF$3:$BF$41</c:f>
              <c:numCache>
                <c:formatCode>General</c:formatCode>
                <c:ptCount val="39"/>
                <c:pt idx="0">
                  <c:v>39.4693811697741</c:v>
                </c:pt>
                <c:pt idx="1">
                  <c:v>40.1317447055601</c:v>
                </c:pt>
                <c:pt idx="2">
                  <c:v>39.9963150223595</c:v>
                </c:pt>
                <c:pt idx="3">
                  <c:v>40.3308782653967</c:v>
                </c:pt>
                <c:pt idx="4">
                  <c:v>40.4850090486329</c:v>
                </c:pt>
                <c:pt idx="5">
                  <c:v>40.5363222856562</c:v>
                </c:pt>
                <c:pt idx="6">
                  <c:v>39.9166540391504</c:v>
                </c:pt>
                <c:pt idx="7">
                  <c:v>39.9203081956583</c:v>
                </c:pt>
                <c:pt idx="8">
                  <c:v>40.0555420750015</c:v>
                </c:pt>
                <c:pt idx="9">
                  <c:v>39.6009701741581</c:v>
                </c:pt>
                <c:pt idx="10">
                  <c:v>39.7119114592515</c:v>
                </c:pt>
                <c:pt idx="11">
                  <c:v>39.8158956218551</c:v>
                </c:pt>
                <c:pt idx="12">
                  <c:v>39.9770046637507</c:v>
                </c:pt>
                <c:pt idx="13">
                  <c:v>39.0888685217564</c:v>
                </c:pt>
                <c:pt idx="14">
                  <c:v>39.3364926286811</c:v>
                </c:pt>
                <c:pt idx="15">
                  <c:v>40.3263420583806</c:v>
                </c:pt>
                <c:pt idx="16">
                  <c:v>39.7238406799932</c:v>
                </c:pt>
                <c:pt idx="17">
                  <c:v>40.069553025812</c:v>
                </c:pt>
                <c:pt idx="18">
                  <c:v>39.8138398098754</c:v>
                </c:pt>
                <c:pt idx="19">
                  <c:v>39.0981383321098</c:v>
                </c:pt>
                <c:pt idx="20">
                  <c:v>40.6295612869068</c:v>
                </c:pt>
                <c:pt idx="21">
                  <c:v>40.2970404904863</c:v>
                </c:pt>
                <c:pt idx="22">
                  <c:v>39.5808250944804</c:v>
                </c:pt>
                <c:pt idx="23">
                  <c:v>40.3643638589132</c:v>
                </c:pt>
                <c:pt idx="24">
                  <c:v>41.0032839602938</c:v>
                </c:pt>
                <c:pt idx="25">
                  <c:v>39.4879266153321</c:v>
                </c:pt>
                <c:pt idx="26">
                  <c:v>39.8907352023789</c:v>
                </c:pt>
                <c:pt idx="27">
                  <c:v>39.8855611883631</c:v>
                </c:pt>
                <c:pt idx="28">
                  <c:v>40.8602418490241</c:v>
                </c:pt>
                <c:pt idx="29">
                  <c:v>39.5307026003539</c:v>
                </c:pt>
                <c:pt idx="30">
                  <c:v>39.4259659076773</c:v>
                </c:pt>
                <c:pt idx="31">
                  <c:v>39.9477947317714</c:v>
                </c:pt>
                <c:pt idx="32">
                  <c:v>39.3876198532141</c:v>
                </c:pt>
                <c:pt idx="33">
                  <c:v>39.7992940202333</c:v>
                </c:pt>
                <c:pt idx="34">
                  <c:v>39.5414546476421</c:v>
                </c:pt>
                <c:pt idx="35">
                  <c:v>39.2951320767752</c:v>
                </c:pt>
                <c:pt idx="36">
                  <c:v>39.0423920343584</c:v>
                </c:pt>
                <c:pt idx="37">
                  <c:v>39.7584397069598</c:v>
                </c:pt>
                <c:pt idx="38">
                  <c:v>39.0217644408478</c:v>
                </c:pt>
              </c:numCache>
            </c:numRef>
          </c:xVal>
          <c:yVal>
            <c:numRef>
              <c:f>Sheet1!$BH$3:$BH$41</c:f>
              <c:numCache>
                <c:formatCode>General</c:formatCode>
                <c:ptCount val="39"/>
                <c:pt idx="0">
                  <c:v>39.926839874903</c:v>
                </c:pt>
                <c:pt idx="1">
                  <c:v>40.0250782651027</c:v>
                </c:pt>
                <c:pt idx="2">
                  <c:v>40.4667860464016</c:v>
                </c:pt>
                <c:pt idx="3">
                  <c:v>40.6750396842358</c:v>
                </c:pt>
                <c:pt idx="4">
                  <c:v>40.9096967114523</c:v>
                </c:pt>
                <c:pt idx="5">
                  <c:v>40.8519069419647</c:v>
                </c:pt>
                <c:pt idx="6">
                  <c:v>40.3823661888664</c:v>
                </c:pt>
                <c:pt idx="7">
                  <c:v>39.8052047714277</c:v>
                </c:pt>
                <c:pt idx="8">
                  <c:v>40.1409607062428</c:v>
                </c:pt>
                <c:pt idx="9">
                  <c:v>39.9728485150304</c:v>
                </c:pt>
                <c:pt idx="10">
                  <c:v>40.3675165950432</c:v>
                </c:pt>
                <c:pt idx="11">
                  <c:v>40.2813702480347</c:v>
                </c:pt>
                <c:pt idx="12">
                  <c:v>40.2717584423895</c:v>
                </c:pt>
                <c:pt idx="13">
                  <c:v>39.2678630647137</c:v>
                </c:pt>
                <c:pt idx="14">
                  <c:v>39.6234285182525</c:v>
                </c:pt>
                <c:pt idx="15">
                  <c:v>40.3264007404092</c:v>
                </c:pt>
                <c:pt idx="16">
                  <c:v>40.0756659371669</c:v>
                </c:pt>
                <c:pt idx="17">
                  <c:v>40.7238661685937</c:v>
                </c:pt>
                <c:pt idx="18">
                  <c:v>39.8999512285901</c:v>
                </c:pt>
                <c:pt idx="19">
                  <c:v>39.7399913960693</c:v>
                </c:pt>
                <c:pt idx="20">
                  <c:v>40.9807675767649</c:v>
                </c:pt>
                <c:pt idx="21">
                  <c:v>40.7309227353314</c:v>
                </c:pt>
                <c:pt idx="22">
                  <c:v>39.4996349548837</c:v>
                </c:pt>
                <c:pt idx="23">
                  <c:v>40.3849932800756</c:v>
                </c:pt>
                <c:pt idx="24">
                  <c:v>41.1844537060535</c:v>
                </c:pt>
                <c:pt idx="25">
                  <c:v>39.4378067534722</c:v>
                </c:pt>
                <c:pt idx="26">
                  <c:v>40.0674853105121</c:v>
                </c:pt>
                <c:pt idx="27">
                  <c:v>40.3210963526474</c:v>
                </c:pt>
                <c:pt idx="28">
                  <c:v>40.7432526092177</c:v>
                </c:pt>
                <c:pt idx="29">
                  <c:v>39.8411325938</c:v>
                </c:pt>
                <c:pt idx="30">
                  <c:v>39.794334988839</c:v>
                </c:pt>
                <c:pt idx="31">
                  <c:v>40.1481123266225</c:v>
                </c:pt>
                <c:pt idx="32">
                  <c:v>39.6143001977675</c:v>
                </c:pt>
                <c:pt idx="33">
                  <c:v>40.5671950296227</c:v>
                </c:pt>
                <c:pt idx="34">
                  <c:v>39.4317743737488</c:v>
                </c:pt>
                <c:pt idx="35">
                  <c:v>39.7495605874209</c:v>
                </c:pt>
                <c:pt idx="36">
                  <c:v>39.4843141944881</c:v>
                </c:pt>
                <c:pt idx="37">
                  <c:v>39.9044887603007</c:v>
                </c:pt>
                <c:pt idx="38">
                  <c:v>39.4018526150208</c:v>
                </c:pt>
              </c:numCache>
            </c:numRef>
          </c:yVal>
          <c:smooth val="0"/>
        </c:ser>
        <c:axId val="93705105"/>
        <c:axId val="43178991"/>
      </c:scatterChart>
      <c:valAx>
        <c:axId val="937051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KTC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178991"/>
        <c:crosses val="autoZero"/>
        <c:crossBetween val="midCat"/>
      </c:valAx>
      <c:valAx>
        <c:axId val="431789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NTT B.K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7051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<Relationship Id="rId3" Type="http://schemas.openxmlformats.org/officeDocument/2006/relationships/chart" Target="../charts/chart73.xml"/><Relationship Id="rId4" Type="http://schemas.openxmlformats.org/officeDocument/2006/relationships/chart" Target="../charts/chart74.xml"/><Relationship Id="rId5" Type="http://schemas.openxmlformats.org/officeDocument/2006/relationships/chart" Target="../charts/chart7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69</xdr:col>
      <xdr:colOff>457920</xdr:colOff>
      <xdr:row>94</xdr:row>
      <xdr:rowOff>147240</xdr:rowOff>
    </xdr:from>
    <xdr:to>
      <xdr:col>74</xdr:col>
      <xdr:colOff>440640</xdr:colOff>
      <xdr:row>111</xdr:row>
      <xdr:rowOff>164880</xdr:rowOff>
    </xdr:to>
    <xdr:graphicFrame>
      <xdr:nvGraphicFramePr>
        <xdr:cNvPr id="0" name=""/>
        <xdr:cNvGraphicFramePr/>
      </xdr:nvGraphicFramePr>
      <xdr:xfrm>
        <a:off x="80956800" y="15663240"/>
        <a:ext cx="5587200" cy="283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69</xdr:col>
      <xdr:colOff>291600</xdr:colOff>
      <xdr:row>112</xdr:row>
      <xdr:rowOff>164520</xdr:rowOff>
    </xdr:from>
    <xdr:to>
      <xdr:col>74</xdr:col>
      <xdr:colOff>401040</xdr:colOff>
      <xdr:row>131</xdr:row>
      <xdr:rowOff>38880</xdr:rowOff>
    </xdr:to>
    <xdr:graphicFrame>
      <xdr:nvGraphicFramePr>
        <xdr:cNvPr id="1" name=""/>
        <xdr:cNvGraphicFramePr/>
      </xdr:nvGraphicFramePr>
      <xdr:xfrm>
        <a:off x="80790480" y="18662400"/>
        <a:ext cx="5713920" cy="305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68</xdr:col>
      <xdr:colOff>642240</xdr:colOff>
      <xdr:row>70</xdr:row>
      <xdr:rowOff>155520</xdr:rowOff>
    </xdr:from>
    <xdr:to>
      <xdr:col>74</xdr:col>
      <xdr:colOff>1072800</xdr:colOff>
      <xdr:row>95</xdr:row>
      <xdr:rowOff>20520</xdr:rowOff>
    </xdr:to>
    <xdr:graphicFrame>
      <xdr:nvGraphicFramePr>
        <xdr:cNvPr id="2" name=""/>
        <xdr:cNvGraphicFramePr/>
      </xdr:nvGraphicFramePr>
      <xdr:xfrm>
        <a:off x="80328240" y="11773440"/>
        <a:ext cx="6847920" cy="392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49</xdr:col>
      <xdr:colOff>610200</xdr:colOff>
      <xdr:row>41</xdr:row>
      <xdr:rowOff>23040</xdr:rowOff>
    </xdr:from>
    <xdr:to>
      <xdr:col>54</xdr:col>
      <xdr:colOff>563760</xdr:colOff>
      <xdr:row>60</xdr:row>
      <xdr:rowOff>130320</xdr:rowOff>
    </xdr:to>
    <xdr:graphicFrame>
      <xdr:nvGraphicFramePr>
        <xdr:cNvPr id="3" name=""/>
        <xdr:cNvGraphicFramePr/>
      </xdr:nvGraphicFramePr>
      <xdr:xfrm>
        <a:off x="57527640" y="6875640"/>
        <a:ext cx="57502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49</xdr:col>
      <xdr:colOff>647640</xdr:colOff>
      <xdr:row>62</xdr:row>
      <xdr:rowOff>115200</xdr:rowOff>
    </xdr:from>
    <xdr:to>
      <xdr:col>54</xdr:col>
      <xdr:colOff>613800</xdr:colOff>
      <xdr:row>82</xdr:row>
      <xdr:rowOff>109080</xdr:rowOff>
    </xdr:to>
    <xdr:graphicFrame>
      <xdr:nvGraphicFramePr>
        <xdr:cNvPr id="4" name=""/>
        <xdr:cNvGraphicFramePr/>
      </xdr:nvGraphicFramePr>
      <xdr:xfrm>
        <a:off x="57565080" y="10432440"/>
        <a:ext cx="57628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991"/>
  <sheetViews>
    <sheetView showFormulas="false" showGridLines="true" showRowColHeaders="true" showZeros="true" rightToLeft="false" tabSelected="true" showOutlineSymbols="true" defaultGridColor="true" view="normal" topLeftCell="C1" colorId="64" zoomScale="79" zoomScaleNormal="79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28.4"/>
    <col collapsed="false" customWidth="false" hidden="false" outlineLevel="0" max="2" min="2" style="0" width="11.52"/>
    <col collapsed="false" customWidth="true" hidden="false" outlineLevel="0" max="3" min="3" style="0" width="21.63"/>
    <col collapsed="false" customWidth="false" hidden="false" outlineLevel="0" max="4" min="4" style="0" width="11.52"/>
    <col collapsed="false" customWidth="true" hidden="false" outlineLevel="0" max="5" min="5" style="0" width="14.76"/>
    <col collapsed="false" customWidth="true" hidden="false" outlineLevel="0" max="6" min="6" style="0" width="15.68"/>
    <col collapsed="false" customWidth="true" hidden="false" outlineLevel="0" max="7" min="7" style="0" width="16.26"/>
    <col collapsed="false" customWidth="true" hidden="false" outlineLevel="0" max="9" min="8" style="0" width="13.55"/>
    <col collapsed="false" customWidth="true" hidden="false" outlineLevel="0" max="10" min="10" style="0" width="24.04"/>
    <col collapsed="false" customWidth="true" hidden="false" outlineLevel="0" max="11" min="11" style="0" width="15.95"/>
    <col collapsed="false" customWidth="true" hidden="false" outlineLevel="0" max="12" min="12" style="0" width="13.63"/>
    <col collapsed="false" customWidth="true" hidden="false" outlineLevel="0" max="13" min="13" style="0" width="16.81"/>
    <col collapsed="false" customWidth="false" hidden="false" outlineLevel="0" max="14" min="14" style="0" width="11.52"/>
    <col collapsed="false" customWidth="true" hidden="false" outlineLevel="0" max="15" min="15" style="0" width="15.14"/>
    <col collapsed="false" customWidth="true" hidden="false" outlineLevel="0" max="16" min="16" style="0" width="28.64"/>
    <col collapsed="false" customWidth="true" hidden="false" outlineLevel="0" max="18" min="17" style="0" width="16.9"/>
    <col collapsed="false" customWidth="true" hidden="false" outlineLevel="0" max="19" min="19" style="0" width="15.95"/>
    <col collapsed="false" customWidth="true" hidden="false" outlineLevel="0" max="20" min="20" style="0" width="13.63"/>
    <col collapsed="false" customWidth="true" hidden="false" outlineLevel="0" max="21" min="21" style="0" width="18.39"/>
    <col collapsed="false" customWidth="true" hidden="false" outlineLevel="0" max="22" min="22" style="0" width="12.5"/>
    <col collapsed="false" customWidth="true" hidden="false" outlineLevel="0" max="23" min="23" style="0" width="17.23"/>
    <col collapsed="false" customWidth="true" hidden="false" outlineLevel="0" max="24" min="24" style="0" width="14.72"/>
    <col collapsed="false" customWidth="false" hidden="false" outlineLevel="0" max="25" min="25" style="0" width="11.52"/>
    <col collapsed="false" customWidth="true" hidden="false" outlineLevel="0" max="27" min="26" style="0" width="14.16"/>
    <col collapsed="false" customWidth="true" hidden="false" outlineLevel="0" max="28" min="28" style="0" width="13.63"/>
    <col collapsed="false" customWidth="false" hidden="false" outlineLevel="0" max="29" min="29" style="0" width="11.52"/>
    <col collapsed="false" customWidth="true" hidden="false" outlineLevel="0" max="30" min="30" style="0" width="14.03"/>
    <col collapsed="false" customWidth="true" hidden="false" outlineLevel="0" max="31" min="31" style="0" width="16.81"/>
    <col collapsed="false" customWidth="true" hidden="false" outlineLevel="0" max="32" min="32" style="0" width="13.47"/>
    <col collapsed="false" customWidth="true" hidden="false" outlineLevel="0" max="33" min="33" style="0" width="17.91"/>
    <col collapsed="false" customWidth="true" hidden="false" outlineLevel="0" max="34" min="34" style="0" width="17.64"/>
    <col collapsed="false" customWidth="true" hidden="false" outlineLevel="0" max="35" min="35" style="0" width="18.61"/>
    <col collapsed="false" customWidth="true" hidden="false" outlineLevel="0" max="36" min="36" style="0" width="12.64"/>
    <col collapsed="false" customWidth="true" hidden="false" outlineLevel="0" max="39" min="37" style="0" width="17.4"/>
    <col collapsed="false" customWidth="true" hidden="false" outlineLevel="0" max="41" min="40" style="0" width="17.74"/>
    <col collapsed="false" customWidth="true" hidden="false" outlineLevel="0" max="42" min="42" style="0" width="16.9"/>
    <col collapsed="false" customWidth="true" hidden="false" outlineLevel="0" max="43" min="43" style="0" width="17.59"/>
    <col collapsed="false" customWidth="true" hidden="false" outlineLevel="0" max="44" min="44" style="0" width="17.74"/>
    <col collapsed="false" customWidth="true" hidden="false" outlineLevel="0" max="46" min="45" style="0" width="18.92"/>
    <col collapsed="false" customWidth="true" hidden="false" outlineLevel="0" max="47" min="47" style="0" width="17.4"/>
    <col collapsed="false" customWidth="true" hidden="false" outlineLevel="0" max="48" min="48" style="0" width="19.41"/>
    <col collapsed="false" customWidth="true" hidden="false" outlineLevel="0" max="49" min="49" style="0" width="17.23"/>
    <col collapsed="false" customWidth="true" hidden="false" outlineLevel="0" max="50" min="50" style="0" width="17.4"/>
    <col collapsed="false" customWidth="true" hidden="false" outlineLevel="0" max="51" min="51" style="0" width="16.74"/>
    <col collapsed="false" customWidth="true" hidden="false" outlineLevel="0" max="52" min="52" style="0" width="16.9"/>
    <col collapsed="false" customWidth="true" hidden="false" outlineLevel="0" max="55" min="53" style="0" width="15.56"/>
    <col collapsed="false" customWidth="true" hidden="false" outlineLevel="0" max="56" min="56" style="1" width="13.73"/>
    <col collapsed="false" customWidth="true" hidden="false" outlineLevel="0" max="57" min="57" style="0" width="14.43"/>
    <col collapsed="false" customWidth="true" hidden="false" outlineLevel="0" max="58" min="58" style="0" width="21.5"/>
    <col collapsed="false" customWidth="true" hidden="false" outlineLevel="0" max="59" min="59" style="0" width="21.63"/>
    <col collapsed="false" customWidth="true" hidden="false" outlineLevel="0" max="60" min="60" style="0" width="19.77"/>
    <col collapsed="false" customWidth="true" hidden="false" outlineLevel="0" max="61" min="61" style="0" width="19.79"/>
    <col collapsed="false" customWidth="true" hidden="false" outlineLevel="0" max="62" min="62" style="0" width="18.46"/>
    <col collapsed="false" customWidth="true" hidden="false" outlineLevel="0" max="63" min="63" style="0" width="16.48"/>
    <col collapsed="false" customWidth="true" hidden="false" outlineLevel="0" max="64" min="64" style="0" width="15.56"/>
    <col collapsed="false" customWidth="true" hidden="false" outlineLevel="0" max="65" min="65" style="0" width="17.69"/>
    <col collapsed="false" customWidth="true" hidden="false" outlineLevel="0" max="66" min="66" style="0" width="14.16"/>
    <col collapsed="false" customWidth="true" hidden="false" outlineLevel="0" max="67" min="67" style="0" width="16.36"/>
    <col collapsed="false" customWidth="true" hidden="false" outlineLevel="0" max="68" min="68" style="0" width="15.42"/>
    <col collapsed="false" customWidth="false" hidden="false" outlineLevel="0" max="69" min="69" style="1" width="11.52"/>
    <col collapsed="false" customWidth="false" hidden="false" outlineLevel="0" max="70" min="70" style="0" width="11.52"/>
    <col collapsed="false" customWidth="true" hidden="false" outlineLevel="0" max="71" min="71" style="0" width="21.82"/>
    <col collapsed="false" customWidth="true" hidden="false" outlineLevel="0" max="72" min="72" style="0" width="13.75"/>
    <col collapsed="false" customWidth="true" hidden="false" outlineLevel="0" max="73" min="73" style="0" width="16.71"/>
    <col collapsed="false" customWidth="true" hidden="false" outlineLevel="0" max="74" min="74" style="0" width="15.62"/>
    <col collapsed="false" customWidth="true" hidden="false" outlineLevel="0" max="75" min="75" style="0" width="18.2"/>
    <col collapsed="false" customWidth="true" hidden="false" outlineLevel="0" max="76" min="76" style="0" width="17.09"/>
    <col collapsed="false" customWidth="true" hidden="false" outlineLevel="0" max="77" min="77" style="0" width="14.59"/>
    <col collapsed="false" customWidth="true" hidden="false" outlineLevel="0" max="78" min="78" style="0" width="22.09"/>
    <col collapsed="false" customWidth="true" hidden="false" outlineLevel="0" max="79" min="79" style="0" width="14.59"/>
    <col collapsed="false" customWidth="true" hidden="false" outlineLevel="0" max="80" min="80" style="0" width="19.04"/>
    <col collapsed="false" customWidth="true" hidden="false" outlineLevel="0" max="81" min="81" style="0" width="19.22"/>
    <col collapsed="false" customWidth="true" hidden="false" outlineLevel="0" max="82" min="82" style="0" width="15.95"/>
    <col collapsed="false" customWidth="false" hidden="false" outlineLevel="0" max="84" min="83" style="0" width="11.52"/>
    <col collapsed="false" customWidth="true" hidden="false" outlineLevel="0" max="85" min="85" style="0" width="22.62"/>
    <col collapsed="false" customWidth="true" hidden="false" outlineLevel="0" max="86" min="86" style="0" width="16.48"/>
    <col collapsed="false" customWidth="true" hidden="false" outlineLevel="0" max="87" min="87" style="0" width="15.41"/>
    <col collapsed="false" customWidth="true" hidden="false" outlineLevel="0" max="88" min="88" style="0" width="21.12"/>
    <col collapsed="false" customWidth="true" hidden="false" outlineLevel="0" max="89" min="89" style="0" width="20.01"/>
    <col collapsed="false" customWidth="false" hidden="false" outlineLevel="0" max="91" min="90" style="0" width="11.52"/>
    <col collapsed="false" customWidth="true" hidden="false" outlineLevel="0" max="92" min="92" style="0" width="20.74"/>
    <col collapsed="false" customWidth="true" hidden="false" outlineLevel="0" max="93" min="93" style="0" width="15.62"/>
    <col collapsed="false" customWidth="true" hidden="false" outlineLevel="0" max="94" min="94" style="0" width="14.54"/>
    <col collapsed="false" customWidth="true" hidden="false" outlineLevel="0" max="95" min="95" style="0" width="16.07"/>
    <col collapsed="false" customWidth="true" hidden="false" outlineLevel="0" max="96" min="96" style="0" width="13.89"/>
    <col collapsed="false" customWidth="true" hidden="false" outlineLevel="0" max="97" min="97" style="0" width="17.09"/>
    <col collapsed="false" customWidth="false" hidden="false" outlineLevel="0" max="98" min="98" style="0" width="11.52"/>
    <col collapsed="false" customWidth="true" hidden="false" outlineLevel="0" max="99" min="99" style="0" width="23.27"/>
    <col collapsed="false" customWidth="true" hidden="false" outlineLevel="0" max="100" min="100" style="0" width="16.54"/>
    <col collapsed="false" customWidth="true" hidden="false" outlineLevel="0" max="101" min="101" style="0" width="21.12"/>
    <col collapsed="false" customWidth="false" hidden="false" outlineLevel="0" max="104" min="102" style="0" width="11.52"/>
    <col collapsed="false" customWidth="true" hidden="false" outlineLevel="0" max="105" min="105" style="0" width="20.42"/>
    <col collapsed="false" customWidth="true" hidden="false" outlineLevel="0" max="106" min="106" style="2" width="17.59"/>
    <col collapsed="false" customWidth="true" hidden="false" outlineLevel="0" max="107" min="107" style="0" width="25.01"/>
    <col collapsed="false" customWidth="true" hidden="false" outlineLevel="0" max="108" min="108" style="0" width="17.74"/>
    <col collapsed="false" customWidth="true" hidden="false" outlineLevel="0" max="109" min="109" style="0" width="17.59"/>
    <col collapsed="false" customWidth="true" hidden="false" outlineLevel="0" max="110" min="110" style="0" width="14.96"/>
    <col collapsed="false" customWidth="true" hidden="false" outlineLevel="0" max="111" min="111" style="0" width="16.21"/>
    <col collapsed="false" customWidth="false" hidden="false" outlineLevel="0" max="113" min="112" style="0" width="11.52"/>
    <col collapsed="false" customWidth="true" hidden="false" outlineLevel="0" max="114" min="114" style="0" width="24.08"/>
    <col collapsed="false" customWidth="true" hidden="false" outlineLevel="0" max="115" min="115" style="0" width="15.88"/>
    <col collapsed="false" customWidth="true" hidden="false" outlineLevel="0" max="116" min="116" style="0" width="15.68"/>
    <col collapsed="false" customWidth="true" hidden="false" outlineLevel="0" max="117" min="117" style="0" width="12.98"/>
    <col collapsed="false" customWidth="false" hidden="false" outlineLevel="0" max="120" min="118" style="0" width="11.52"/>
    <col collapsed="false" customWidth="true" hidden="false" outlineLevel="0" max="121" min="121" style="0" width="20.83"/>
    <col collapsed="false" customWidth="true" hidden="false" outlineLevel="0" max="122" min="122" style="0" width="16.82"/>
    <col collapsed="false" customWidth="true" hidden="false" outlineLevel="0" max="123" min="123" style="0" width="16.13"/>
    <col collapsed="false" customWidth="true" hidden="false" outlineLevel="0" max="124" min="124" style="0" width="15.61"/>
    <col collapsed="false" customWidth="false" hidden="false" outlineLevel="0" max="127" min="125" style="0" width="11.52"/>
    <col collapsed="false" customWidth="true" hidden="false" outlineLevel="0" max="128" min="128" style="0" width="22.69"/>
    <col collapsed="false" customWidth="true" hidden="false" outlineLevel="0" max="129" min="129" style="0" width="18.52"/>
    <col collapsed="false" customWidth="true" hidden="false" outlineLevel="0" max="130" min="130" style="0" width="16.6"/>
    <col collapsed="false" customWidth="true" hidden="false" outlineLevel="0" max="131" min="131" style="0" width="14.2"/>
    <col collapsed="false" customWidth="true" hidden="false" outlineLevel="0" max="132" min="132" style="0" width="13.89"/>
    <col collapsed="false" customWidth="false" hidden="false" outlineLevel="0" max="1025" min="133" style="0" width="11.52"/>
  </cols>
  <sheetData>
    <row r="1" customFormat="false" ht="12.8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  <c r="R1" s="5" t="s">
        <v>2</v>
      </c>
      <c r="S1" s="5"/>
      <c r="T1" s="5"/>
      <c r="U1" s="5"/>
      <c r="V1" s="5"/>
      <c r="W1" s="5"/>
      <c r="X1" s="5"/>
      <c r="Y1" s="5"/>
      <c r="Z1" s="5"/>
      <c r="AA1" s="6" t="s">
        <v>3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 t="s">
        <v>4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8"/>
      <c r="BD1" s="9"/>
      <c r="BE1" s="10" t="s">
        <v>5</v>
      </c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  <c r="BS1" s="3" t="s">
        <v>6</v>
      </c>
      <c r="BT1" s="3"/>
      <c r="BU1" s="3"/>
      <c r="BV1" s="3"/>
      <c r="BW1" s="3"/>
      <c r="CJ1" s="13"/>
      <c r="CK1" s="13"/>
      <c r="CS1" s="13"/>
      <c r="DA1" s="13"/>
    </row>
    <row r="2" customFormat="false" ht="12.8" hidden="false" customHeight="false" outlineLevel="0" collapsed="false">
      <c r="A2" s="8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8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16</v>
      </c>
      <c r="Q2" s="0" t="s">
        <v>14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0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40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12" t="s">
        <v>60</v>
      </c>
      <c r="BK2" s="12" t="s">
        <v>61</v>
      </c>
      <c r="BL2" s="12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R2" s="12"/>
      <c r="BS2" s="14" t="s">
        <v>67</v>
      </c>
      <c r="BW2" s="13"/>
      <c r="BZ2" s="14" t="s">
        <v>68</v>
      </c>
      <c r="CC2" s="13"/>
      <c r="CG2" s="14" t="s">
        <v>69</v>
      </c>
      <c r="CJ2" s="13"/>
      <c r="CK2" s="13"/>
      <c r="CN2" s="14" t="s">
        <v>70</v>
      </c>
      <c r="CS2" s="13"/>
      <c r="CU2" s="14" t="s">
        <v>71</v>
      </c>
      <c r="DA2" s="13"/>
      <c r="DC2" s="14" t="s">
        <v>72</v>
      </c>
      <c r="DG2" s="13"/>
      <c r="DJ2" s="14" t="s">
        <v>73</v>
      </c>
      <c r="DM2" s="13"/>
      <c r="DQ2" s="14" t="s">
        <v>74</v>
      </c>
      <c r="DX2" s="14" t="s">
        <v>75</v>
      </c>
    </row>
    <row r="3" customFormat="false" ht="13.2" hidden="false" customHeight="false" outlineLevel="0" collapsed="false">
      <c r="A3" s="0" t="s">
        <v>76</v>
      </c>
      <c r="B3" s="8" t="n">
        <v>17.72</v>
      </c>
      <c r="C3" s="8" t="n">
        <v>114.72</v>
      </c>
      <c r="D3" s="8" t="n">
        <v>19.49</v>
      </c>
      <c r="E3" s="8" t="n">
        <v>132.61</v>
      </c>
      <c r="F3" s="8" t="n">
        <f aca="false">252.53/2</f>
        <v>126.265</v>
      </c>
      <c r="G3" s="8" t="n">
        <f aca="false">B3+(D3-B3)*((F3-C3)/(E3-C3))</f>
        <v>18.8622386808273</v>
      </c>
      <c r="H3" s="15" t="n">
        <f aca="false">0.5718</f>
        <v>0.5718</v>
      </c>
      <c r="I3" s="8" t="n">
        <v>6.3972</v>
      </c>
      <c r="J3" s="0" t="s">
        <v>77</v>
      </c>
      <c r="K3" s="8" t="n">
        <v>4.21</v>
      </c>
      <c r="L3" s="8" t="n">
        <v>20.404</v>
      </c>
      <c r="M3" s="8" t="n">
        <v>4.59</v>
      </c>
      <c r="N3" s="8" t="n">
        <v>25.263</v>
      </c>
      <c r="O3" s="8" t="n">
        <f aca="false">42.513/2</f>
        <v>21.2565</v>
      </c>
      <c r="P3" s="8" t="n">
        <f aca="false">K3+(M3-K3)*((O3-L3)/(N3-L3))</f>
        <v>4.27667009672772</v>
      </c>
      <c r="Q3" s="15" t="n">
        <v>0.05</v>
      </c>
      <c r="R3" s="8" t="n">
        <v>1.73</v>
      </c>
      <c r="S3" s="8" t="n">
        <v>0.03</v>
      </c>
      <c r="T3" s="8" t="n">
        <v>1.73</v>
      </c>
      <c r="U3" s="8" t="n">
        <v>0.03</v>
      </c>
      <c r="V3" s="8" t="n">
        <v>0.24</v>
      </c>
      <c r="W3" s="8" t="n">
        <v>2.1</v>
      </c>
      <c r="X3" s="8"/>
      <c r="Y3" s="8" t="n">
        <v>0.25</v>
      </c>
      <c r="Z3" s="8" t="n">
        <v>48</v>
      </c>
      <c r="AA3" s="8" t="n">
        <v>44</v>
      </c>
      <c r="AB3" s="8" t="n">
        <v>7.73</v>
      </c>
      <c r="AC3" s="8" t="n">
        <v>0.752</v>
      </c>
      <c r="AD3" s="8" t="n">
        <v>15.4</v>
      </c>
      <c r="AE3" s="8" t="n">
        <v>1.8</v>
      </c>
      <c r="AF3" s="8" t="n">
        <v>39.94</v>
      </c>
      <c r="AG3" s="8" t="n">
        <f aca="false">AF3-LOG(2.87)</f>
        <v>39.482118103266</v>
      </c>
      <c r="AH3" s="8" t="n">
        <v>39.96</v>
      </c>
      <c r="AI3" s="8" t="n">
        <v>39.96</v>
      </c>
      <c r="AJ3" s="8" t="n">
        <v>43</v>
      </c>
      <c r="AK3" s="16" t="n">
        <v>5.964892</v>
      </c>
      <c r="AL3" s="8" t="n">
        <v>0.4680983</v>
      </c>
      <c r="AM3" s="8"/>
      <c r="AN3" s="8" t="n">
        <f aca="false">G3*SQRT(1-H3)*0.161</f>
        <v>1.98720395836898</v>
      </c>
      <c r="AO3" s="0" t="n">
        <f aca="false">SQRT(G3^2*(1-H3)-I3^2)*0.161</f>
        <v>1.69946586243346</v>
      </c>
      <c r="AP3" s="8" t="n">
        <f aca="false">SQRT(G3^2*(1-H3)-I3^2)*(0.161*PI())/(180*3600)*(Sheet2!N3*10^6)</f>
        <v>373.230474900746</v>
      </c>
      <c r="AQ3" s="8" t="n">
        <f aca="false">LOG(AP3)</f>
        <v>2.57197709740266</v>
      </c>
      <c r="AR3" s="8"/>
      <c r="AS3" s="8" t="n">
        <f aca="false">P3*SQRT(1-Q3)*0.161</f>
        <v>0.67110956500573</v>
      </c>
      <c r="AT3" s="0" t="e">
        <f aca="false">SQRT(P3^2*(1-Q3)-I3^2)*0.161</f>
        <v>#VALUE!</v>
      </c>
      <c r="AU3" s="8" t="e">
        <f aca="false">SQRT(P3^2*(1-Q3)-I3^2)*(0.161*PI())/(180*3600)*(Sheet2!N3*10^6)</f>
        <v>#VALUE!</v>
      </c>
      <c r="AV3" s="8" t="e">
        <f aca="false">LOG(AU3)</f>
        <v>#VALUE!</v>
      </c>
      <c r="AW3" s="0" t="n">
        <f aca="false">LOG(AD3)</f>
        <v>1.18752072083646</v>
      </c>
      <c r="AX3" s="0" t="n">
        <f aca="false">LOG(4*$B$85)+2*LOG($B$81*Z3)+LOG(W3*10^(-14))+Y3*(1+$B$86) - LOG(2.87)</f>
        <v>39.4693811697741</v>
      </c>
      <c r="AY3" s="0" t="n">
        <f aca="false">LOG(4*$B$85)+2*LOG($B$81*Z3)+LOG(R3*10^(-14))+Y3</f>
        <v>39.926839874903</v>
      </c>
      <c r="AZ3" s="0" t="n">
        <f aca="false">LOG(4*$B$85)+2*LOG($B$81*Z3)+LOG(T3*10^(-14))+Y3</f>
        <v>39.926839874903</v>
      </c>
      <c r="BA3" s="0" t="n">
        <f aca="false">LOG(AA3)</f>
        <v>1.64345267648619</v>
      </c>
      <c r="BB3" s="0" t="n">
        <f aca="false">LOG(AJ3)</f>
        <v>1.63346845557959</v>
      </c>
      <c r="BC3" s="0" t="n">
        <f aca="false">I3*0.161</f>
        <v>1.0299492</v>
      </c>
      <c r="BD3" s="1" t="n">
        <f aca="false">LOG(4*$B$85)+2*LOG($B$81*Z3)+LOG(W3*10^(-14))+Y3*(1+$B$86)</f>
        <v>39.9272630665081</v>
      </c>
      <c r="BE3" s="8" t="n">
        <v>39.94</v>
      </c>
      <c r="BF3" s="8" t="n">
        <v>39.4693811697741</v>
      </c>
      <c r="BG3" s="8" t="n">
        <v>39.926839874903</v>
      </c>
      <c r="BH3" s="8" t="n">
        <v>39.926839874903</v>
      </c>
      <c r="BI3" s="8"/>
      <c r="BJ3" s="17" t="n">
        <v>2.62956092768934</v>
      </c>
      <c r="BK3" s="17"/>
      <c r="BL3" s="17" t="n">
        <v>2.05463340928398</v>
      </c>
      <c r="BM3" s="8" t="n">
        <v>1.18752072083646</v>
      </c>
      <c r="BN3" s="8" t="n">
        <v>7.73</v>
      </c>
      <c r="BO3" s="8" t="n">
        <v>1.64345267648619</v>
      </c>
      <c r="BP3" s="8" t="n">
        <v>1.63346845557959</v>
      </c>
      <c r="BR3" s="17"/>
      <c r="BS3" s="18" t="s">
        <v>78</v>
      </c>
      <c r="BT3" s="18" t="s">
        <v>79</v>
      </c>
      <c r="BZ3" s="0" t="s">
        <v>78</v>
      </c>
      <c r="CA3" s="0" t="s">
        <v>79</v>
      </c>
      <c r="CG3" s="0" t="s">
        <v>78</v>
      </c>
      <c r="CH3" s="0" t="s">
        <v>79</v>
      </c>
      <c r="CN3" s="0" t="s">
        <v>78</v>
      </c>
      <c r="CO3" s="0" t="s">
        <v>79</v>
      </c>
      <c r="CU3" s="0" t="s">
        <v>78</v>
      </c>
      <c r="CV3" s="0" t="s">
        <v>79</v>
      </c>
      <c r="DC3" s="0" t="s">
        <v>78</v>
      </c>
      <c r="DD3" s="0" t="s">
        <v>79</v>
      </c>
      <c r="DJ3" s="0" t="s">
        <v>78</v>
      </c>
      <c r="DK3" s="0" t="s">
        <v>79</v>
      </c>
      <c r="DQ3" s="0" t="s">
        <v>78</v>
      </c>
      <c r="DR3" s="0" t="s">
        <v>79</v>
      </c>
      <c r="DX3" s="0" t="s">
        <v>78</v>
      </c>
      <c r="DY3" s="0" t="s">
        <v>79</v>
      </c>
    </row>
    <row r="4" customFormat="false" ht="13.2" hidden="false" customHeight="false" outlineLevel="0" collapsed="false">
      <c r="A4" s="0" t="s">
        <v>80</v>
      </c>
      <c r="B4" s="8" t="n">
        <v>17.26</v>
      </c>
      <c r="C4" s="8" t="n">
        <v>161.8</v>
      </c>
      <c r="D4" s="8" t="n">
        <v>18.99</v>
      </c>
      <c r="E4" s="8" t="n">
        <v>184.52</v>
      </c>
      <c r="F4" s="8" t="n">
        <f aca="false">360.24/2</f>
        <v>180.12</v>
      </c>
      <c r="G4" s="8" t="n">
        <f aca="false">B4+(D4-B4)*((F4-C4)/(E4-C4))</f>
        <v>18.6549647887324</v>
      </c>
      <c r="H4" s="15" t="n">
        <v>0.4</v>
      </c>
      <c r="I4" s="19" t="n">
        <v>6.152</v>
      </c>
      <c r="J4" s="0" t="s">
        <v>81</v>
      </c>
      <c r="K4" s="8" t="n">
        <v>3.68</v>
      </c>
      <c r="L4" s="8" t="n">
        <v>24.459</v>
      </c>
      <c r="M4" s="8" t="n">
        <v>3.97</v>
      </c>
      <c r="N4" s="8" t="n">
        <v>26.298</v>
      </c>
      <c r="O4" s="8" t="n">
        <f aca="false">52.46/2</f>
        <v>26.23</v>
      </c>
      <c r="P4" s="8" t="n">
        <f aca="false">K4+(M4-K4)*((O4-L4)/(N4-L4))</f>
        <v>3.95927678085916</v>
      </c>
      <c r="Q4" s="15" t="n">
        <v>0.05</v>
      </c>
      <c r="R4" s="8" t="n">
        <v>5.68</v>
      </c>
      <c r="S4" s="8" t="n">
        <v>0.06</v>
      </c>
      <c r="T4" s="8" t="n">
        <v>1.3</v>
      </c>
      <c r="U4" s="8" t="n">
        <v>0.04</v>
      </c>
      <c r="V4" s="8" t="n">
        <v>0.6</v>
      </c>
      <c r="W4" s="8" t="n">
        <v>6.2</v>
      </c>
      <c r="X4" s="8"/>
      <c r="Y4" s="8" t="n">
        <v>0.34</v>
      </c>
      <c r="Z4" s="8" t="n">
        <v>55.9</v>
      </c>
      <c r="AA4" s="8" t="n">
        <v>93</v>
      </c>
      <c r="AB4" s="8" t="n">
        <v>8.18</v>
      </c>
      <c r="AC4" s="8" t="n">
        <v>0.921</v>
      </c>
      <c r="AD4" s="8" t="n">
        <v>21.2</v>
      </c>
      <c r="AE4" s="8" t="n">
        <v>0.7</v>
      </c>
      <c r="AF4" s="8" t="n">
        <v>40.59</v>
      </c>
      <c r="AG4" s="8" t="n">
        <f aca="false">AF4-LOG(2.87)</f>
        <v>40.132118103266</v>
      </c>
      <c r="AH4" s="8" t="n">
        <v>40.85</v>
      </c>
      <c r="AI4" s="8" t="n">
        <v>40.21</v>
      </c>
      <c r="AJ4" s="8" t="n">
        <v>84</v>
      </c>
      <c r="AK4" s="8"/>
      <c r="AL4" s="8"/>
      <c r="AM4" s="8"/>
      <c r="AN4" s="8" t="n">
        <f aca="false">G4*SQRT(1-H4)*0.161</f>
        <v>2.32646184801725</v>
      </c>
      <c r="AO4" s="0" t="n">
        <f aca="false">SQRT(G4^2*(1-H4)-I4^2)*0.161</f>
        <v>2.10508668408117</v>
      </c>
      <c r="AP4" s="8" t="n">
        <f aca="false">SQRT(G4^2*(1-H4)-I4^2)*(0.161*PI())/(180*3600)*(Sheet2!N4*10^6)</f>
        <v>556.974812037138</v>
      </c>
      <c r="AQ4" s="8" t="n">
        <f aca="false">LOG(AP4)</f>
        <v>2.74583555560349</v>
      </c>
      <c r="AR4" s="8"/>
      <c r="AS4" s="8" t="n">
        <f aca="false">P4*SQRT(1-Q4)*0.161</f>
        <v>0.621303130249106</v>
      </c>
      <c r="AT4" s="0" t="e">
        <f aca="false">SQRT(P4^2*(1-Q4)-I4^2)*0.161</f>
        <v>#VALUE!</v>
      </c>
      <c r="AU4" s="8" t="e">
        <f aca="false">SQRT(P4^2*(1-Q4)-I4^2)*(0.161*PI())/(180*3600)*(Sheet2!N4*10^6)</f>
        <v>#VALUE!</v>
      </c>
      <c r="AV4" s="8" t="e">
        <f aca="false">LOG(AU4)</f>
        <v>#VALUE!</v>
      </c>
      <c r="AW4" s="0" t="n">
        <f aca="false">LOG(AD4)</f>
        <v>1.32633586092875</v>
      </c>
      <c r="AX4" s="0" t="n">
        <f aca="false">LOG(4*$B$85)+2*LOG($B$81*Z4)+LOG(W4*10^(-14))+Y4*(1+$B$86) - LOG(2.87)</f>
        <v>40.1317447055601</v>
      </c>
      <c r="AY4" s="0" t="n">
        <f aca="false">LOG(4*$B$85)+2*LOG($B$81*Z4)+LOG(R4*10^(-14))+Y4</f>
        <v>40.6654832485069</v>
      </c>
      <c r="AZ4" s="0" t="n">
        <f aca="false">LOG(4*$B$85)+2*LOG($B$81*Z4)+LOG(T4*10^(-14))+Y4</f>
        <v>40.0250782651027</v>
      </c>
      <c r="BA4" s="0" t="n">
        <f aca="false">LOG(AA4)</f>
        <v>1.96848294855394</v>
      </c>
      <c r="BB4" s="0" t="n">
        <f aca="false">LOG(AJ4)</f>
        <v>1.92427928606188</v>
      </c>
      <c r="BC4" s="0" t="n">
        <f aca="false">I4*0.161</f>
        <v>0.990472</v>
      </c>
      <c r="BD4" s="1" t="n">
        <f aca="false">LOG(4*$B$85)+2*LOG($B$81*Z4)+LOG(W4*10^(-14))+Y4*(1+$B$86)</f>
        <v>40.5896266022941</v>
      </c>
      <c r="BE4" s="8" t="n">
        <v>40.59</v>
      </c>
      <c r="BF4" s="8" t="n">
        <v>40.1317447055601</v>
      </c>
      <c r="BG4" s="8" t="n">
        <v>40.6654832485069</v>
      </c>
      <c r="BH4" s="8" t="n">
        <v>40.0250782651027</v>
      </c>
      <c r="BI4" s="8"/>
      <c r="BJ4" s="16" t="n">
        <v>2.78221676211721</v>
      </c>
      <c r="BK4" s="16"/>
      <c r="BL4" s="16" t="n">
        <v>2.08700408042741</v>
      </c>
      <c r="BM4" s="8" t="n">
        <v>1.32633586092875</v>
      </c>
      <c r="BN4" s="8" t="n">
        <v>8.18</v>
      </c>
      <c r="BO4" s="8" t="n">
        <v>1.96848294855394</v>
      </c>
      <c r="BP4" s="8" t="n">
        <v>1.92427928606188</v>
      </c>
      <c r="BR4" s="20"/>
    </row>
    <row r="5" customFormat="false" ht="13.2" hidden="false" customHeight="false" outlineLevel="0" collapsed="false">
      <c r="A5" s="0" t="s">
        <v>82</v>
      </c>
      <c r="B5" s="8" t="n">
        <v>10.67</v>
      </c>
      <c r="C5" s="8" t="n">
        <v>53.902</v>
      </c>
      <c r="D5" s="8" t="n">
        <v>11.74</v>
      </c>
      <c r="E5" s="8" t="n">
        <v>60.132</v>
      </c>
      <c r="F5" s="8" t="n">
        <v>54.71</v>
      </c>
      <c r="G5" s="8" t="n">
        <f aca="false">B5+(D5-B5)*((F5-C5)/(E5-C5))</f>
        <v>10.8087736757624</v>
      </c>
      <c r="H5" s="15" t="n">
        <v>0.3</v>
      </c>
      <c r="I5" s="8" t="n">
        <f aca="false">(7.53+7.07+6.51+7.8)/(4*2.355)</f>
        <v>3.06900212314225</v>
      </c>
      <c r="J5" s="0" t="s">
        <v>83</v>
      </c>
      <c r="K5" s="8" t="n">
        <v>3.86</v>
      </c>
      <c r="L5" s="8" t="n">
        <v>9.4725</v>
      </c>
      <c r="M5" s="8" t="n">
        <v>4.21</v>
      </c>
      <c r="N5" s="8" t="n">
        <v>11.861</v>
      </c>
      <c r="O5" s="8" t="n">
        <f aca="false">22.595/2</f>
        <v>11.2975</v>
      </c>
      <c r="P5" s="8" t="n">
        <f aca="false">K5+(M5-K5)*((O5-L5)/(N5-L5))</f>
        <v>4.12742725559975</v>
      </c>
      <c r="Q5" s="15" t="n">
        <v>0.32</v>
      </c>
      <c r="R5" s="8" t="n">
        <v>1.75</v>
      </c>
      <c r="S5" s="8" t="n">
        <v>0.03</v>
      </c>
      <c r="T5" s="8" t="n">
        <v>1.75</v>
      </c>
      <c r="U5" s="8" t="n">
        <v>0.03</v>
      </c>
      <c r="V5" s="8" t="n">
        <v>0.28</v>
      </c>
      <c r="W5" s="8" t="n">
        <v>1.7</v>
      </c>
      <c r="X5" s="8"/>
      <c r="Y5" s="8" t="n">
        <v>0</v>
      </c>
      <c r="Z5" s="8" t="n">
        <v>118.5</v>
      </c>
      <c r="AA5" s="8" t="n">
        <v>38</v>
      </c>
      <c r="AB5" s="8" t="n">
        <v>8.08</v>
      </c>
      <c r="AC5" s="8" t="n">
        <v>1.39</v>
      </c>
      <c r="AD5" s="8" t="n">
        <v>33.7</v>
      </c>
      <c r="AE5" s="8" t="n">
        <v>2.9</v>
      </c>
      <c r="AF5" s="8" t="n">
        <v>40.45</v>
      </c>
      <c r="AG5" s="8" t="n">
        <f aca="false">AF5-LOG(2.87)</f>
        <v>39.992118103266</v>
      </c>
      <c r="AH5" s="8" t="n">
        <v>40.69</v>
      </c>
      <c r="AI5" s="8" t="n">
        <v>40.69</v>
      </c>
      <c r="AJ5" s="8" t="n">
        <v>126</v>
      </c>
      <c r="AK5" s="8"/>
      <c r="AL5" s="8"/>
      <c r="AM5" s="8"/>
      <c r="AN5" s="8" t="n">
        <f aca="false">G5*SQRT(1-H5)*0.161</f>
        <v>1.45596628812863</v>
      </c>
      <c r="AO5" s="0" t="n">
        <f aca="false">SQRT(G5^2*(1-H5)-I5^2)*0.161</f>
        <v>1.36955970679903</v>
      </c>
      <c r="AP5" s="8" t="n">
        <f aca="false">SQRT(G5^2*(1-H5)-I5^2)*(0.161*PI())/(180*3600)*(Sheet2!N5*10^6)</f>
        <v>746.164867250694</v>
      </c>
      <c r="AQ5" s="8" t="n">
        <f aca="false">LOG(AP5)</f>
        <v>2.87283479667699</v>
      </c>
      <c r="AR5" s="8"/>
      <c r="AS5" s="8" t="n">
        <f aca="false">P5*SQRT(1-Q5)*0.161</f>
        <v>0.54797375688789</v>
      </c>
      <c r="AT5" s="0" t="n">
        <f aca="false">SQRT(P5^2*(1-Q5)-I5^2)*0.161</f>
        <v>0.23692023247963</v>
      </c>
      <c r="AU5" s="8" t="n">
        <f aca="false">SQRT(P5^2*(1-Q5)-I5^2)*(0.161*PI())/(180*3600)*(Sheet2!N5*10^6)</f>
        <v>129.079114214264</v>
      </c>
      <c r="AV5" s="8" t="n">
        <f aca="false">LOG(AU5)</f>
        <v>2.11085597646244</v>
      </c>
      <c r="AW5" s="0" t="n">
        <f aca="false">LOG(AD5)</f>
        <v>1.52762990087134</v>
      </c>
      <c r="AX5" s="0" t="n">
        <f aca="false">LOG(4*$B$85)+2*LOG($B$81*Z5)+LOG(W5*10^(-14))+Y5*(1+$B$86) - LOG(2.87)</f>
        <v>39.9963150223595</v>
      </c>
      <c r="AY5" s="0" t="n">
        <f aca="false">LOG(4*$B$85)+2*LOG($B$81*Z5)+LOG(R5*10^(-14))+Y5</f>
        <v>40.4667860464016</v>
      </c>
      <c r="AZ5" s="0" t="n">
        <f aca="false">LOG(4*$B$85)+2*LOG($B$81*Z5)+LOG(T5*10^(-14))+Y5</f>
        <v>40.4667860464016</v>
      </c>
      <c r="BA5" s="0" t="n">
        <f aca="false">LOG(AA5)</f>
        <v>1.57978359661681</v>
      </c>
      <c r="BB5" s="0" t="n">
        <f aca="false">LOG(AJ5)</f>
        <v>2.10037054511756</v>
      </c>
      <c r="BC5" s="0" t="n">
        <f aca="false">I5*0.161</f>
        <v>0.494109341825902</v>
      </c>
      <c r="BD5" s="1" t="n">
        <f aca="false">LOG(4*$B$85)+2*LOG($B$81*Z5)+LOG(W5*10^(-14))+Y5*(1+$B$86)</f>
        <v>40.4541969190935</v>
      </c>
      <c r="BE5" s="8" t="n">
        <v>40.45</v>
      </c>
      <c r="BF5" s="8" t="n">
        <v>39.9963150223595</v>
      </c>
      <c r="BG5" s="8" t="n">
        <v>40.4667860464016</v>
      </c>
      <c r="BH5" s="8" t="n">
        <v>40.4667860464016</v>
      </c>
      <c r="BI5" s="8"/>
      <c r="BJ5" s="16" t="n">
        <v>2.87283479667699</v>
      </c>
      <c r="BK5" s="16"/>
      <c r="BL5" s="16" t="n">
        <v>2.3176102420111</v>
      </c>
      <c r="BM5" s="8" t="n">
        <v>1.52762990087134</v>
      </c>
      <c r="BN5" s="8" t="n">
        <v>8.08</v>
      </c>
      <c r="BO5" s="8" t="n">
        <v>1.57978359661681</v>
      </c>
      <c r="BP5" s="8" t="n">
        <v>2.10037054511756</v>
      </c>
      <c r="BR5" s="20"/>
      <c r="BS5" s="8" t="s">
        <v>84</v>
      </c>
      <c r="BT5" s="8"/>
      <c r="BZ5" s="0" t="s">
        <v>84</v>
      </c>
      <c r="CG5" s="0" t="s">
        <v>84</v>
      </c>
      <c r="CN5" s="0" t="s">
        <v>84</v>
      </c>
      <c r="CU5" s="0" t="s">
        <v>84</v>
      </c>
      <c r="DC5" s="0" t="s">
        <v>84</v>
      </c>
      <c r="DJ5" s="0" t="s">
        <v>84</v>
      </c>
      <c r="DQ5" s="0" t="s">
        <v>84</v>
      </c>
      <c r="DX5" s="0" t="s">
        <v>84</v>
      </c>
    </row>
    <row r="6" customFormat="false" ht="13.2" hidden="false" customHeight="false" outlineLevel="0" collapsed="false">
      <c r="A6" s="0" t="s">
        <v>85</v>
      </c>
      <c r="B6" s="8" t="n">
        <v>6.83</v>
      </c>
      <c r="C6" s="8" t="n">
        <v>143.42</v>
      </c>
      <c r="D6" s="8" t="n">
        <v>7.51</v>
      </c>
      <c r="E6" s="8" t="n">
        <v>159.49</v>
      </c>
      <c r="F6" s="8" t="n">
        <v>150.025</v>
      </c>
      <c r="G6" s="8" t="n">
        <f aca="false">B6+(D6-B6)*((F6-C6)/(E6-C6))</f>
        <v>7.10948973242066</v>
      </c>
      <c r="H6" s="15" t="n">
        <v>0.2711</v>
      </c>
      <c r="I6" s="8" t="n">
        <f aca="false">(4+4+4.06+4.15+4.08+3.77+3.89+3.92+4.3+4.36)/10/2.355</f>
        <v>1.72101910828025</v>
      </c>
      <c r="J6" s="0" t="s">
        <v>86</v>
      </c>
      <c r="K6" s="8" t="n">
        <v>3.54</v>
      </c>
      <c r="L6" s="8" t="n">
        <v>59.396</v>
      </c>
      <c r="M6" s="8" t="n">
        <v>3.86</v>
      </c>
      <c r="N6" s="8" t="n">
        <v>70.59</v>
      </c>
      <c r="O6" s="8" t="n">
        <f aca="false">129.83/2</f>
        <v>64.915</v>
      </c>
      <c r="P6" s="8" t="n">
        <f aca="false">K6+(M6-K6)*((O6-L6)/(N6-L6))</f>
        <v>3.69777023405396</v>
      </c>
      <c r="Q6" s="15" t="n">
        <v>0.375</v>
      </c>
      <c r="R6" s="8" t="n">
        <v>1.13</v>
      </c>
      <c r="S6" s="8" t="n">
        <v>0.03</v>
      </c>
      <c r="T6" s="8" t="n">
        <v>1.13</v>
      </c>
      <c r="U6" s="8" t="n">
        <v>0.03</v>
      </c>
      <c r="V6" s="8" t="n">
        <v>0.06</v>
      </c>
      <c r="W6" s="8" t="n">
        <v>1.7</v>
      </c>
      <c r="X6" s="8"/>
      <c r="Y6" s="8" t="n">
        <v>0.19</v>
      </c>
      <c r="Z6" s="8" t="n">
        <v>150.6</v>
      </c>
      <c r="AA6" s="8" t="n">
        <v>26</v>
      </c>
      <c r="AB6" s="8" t="n">
        <v>8.36</v>
      </c>
      <c r="AC6" s="8" t="n">
        <v>1.456</v>
      </c>
      <c r="AD6" s="8" t="n">
        <v>35.1</v>
      </c>
      <c r="AE6" s="8" t="n">
        <v>2.9</v>
      </c>
      <c r="AF6" s="8" t="n">
        <v>40.79</v>
      </c>
      <c r="AG6" s="8" t="n">
        <f aca="false">AF6-LOG(2.87)</f>
        <v>40.332118103266</v>
      </c>
      <c r="AH6" s="8" t="n">
        <v>40.53</v>
      </c>
      <c r="AI6" s="8" t="n">
        <v>40.53</v>
      </c>
      <c r="AJ6" s="8" t="n">
        <v>27</v>
      </c>
      <c r="AK6" s="8"/>
      <c r="AL6" s="8"/>
      <c r="AM6" s="8"/>
      <c r="AN6" s="8" t="n">
        <f aca="false">G6*SQRT(1-H6)*0.161</f>
        <v>0.977233356266786</v>
      </c>
      <c r="AO6" s="0" t="n">
        <f aca="false">SQRT(G6^2*(1-H6)-I6^2)*0.161</f>
        <v>0.937128298146871</v>
      </c>
      <c r="AP6" s="8" t="n">
        <f aca="false">SQRT(G6^2*(1-H6)-I6^2)*(0.161*PI())/(180*3600)*(Sheet2!N6*10^6)</f>
        <v>639.348868637261</v>
      </c>
      <c r="AQ6" s="8" t="n">
        <f aca="false">LOG(AP6)</f>
        <v>2.8057379010057</v>
      </c>
      <c r="AR6" s="8"/>
      <c r="AS6" s="8" t="n">
        <f aca="false">P6*SQRT(1-Q6)*0.161</f>
        <v>0.470658392194273</v>
      </c>
      <c r="AT6" s="0" t="n">
        <f aca="false">SQRT(P6^2*(1-Q6)-I6^2)*0.161</f>
        <v>0.38045201633071</v>
      </c>
      <c r="AU6" s="8" t="n">
        <f aca="false">SQRT(P6^2*(1-Q6)-I6^2)*(0.161*PI())/(180*3600)*(Sheet2!N6*10^6)</f>
        <v>259.560581718431</v>
      </c>
      <c r="AV6" s="8" t="n">
        <f aca="false">LOG(AU6)</f>
        <v>2.41423873881397</v>
      </c>
      <c r="AW6" s="0" t="n">
        <f aca="false">LOG(AD6)</f>
        <v>1.54530711646582</v>
      </c>
      <c r="AX6" s="0" t="n">
        <f aca="false">LOG(4*$B$85)+2*LOG($B$81*Z6)+LOG(W6*10^(-14))+Y6*(1+$B$86) - LOG(2.87)</f>
        <v>40.3308782653967</v>
      </c>
      <c r="AY6" s="0" t="n">
        <f aca="false">LOG(4*$B$85)+2*LOG($B$81*Z6)+LOG(R6*10^(-14))+Y6</f>
        <v>40.6750396842358</v>
      </c>
      <c r="AZ6" s="0" t="n">
        <f aca="false">LOG(4*$B$85)+2*LOG($B$81*Z6)+LOG(T6*10^(-14))+Y6</f>
        <v>40.6750396842358</v>
      </c>
      <c r="BA6" s="0" t="n">
        <f aca="false">LOG(AA6)</f>
        <v>1.41497334797082</v>
      </c>
      <c r="BB6" s="0" t="n">
        <f aca="false">LOG(AJ6)</f>
        <v>1.43136376415899</v>
      </c>
      <c r="BC6" s="0" t="n">
        <f aca="false">I6*0.161</f>
        <v>0.277084076433121</v>
      </c>
      <c r="BD6" s="1" t="n">
        <f aca="false">LOG(4*$B$85)+2*LOG($B$81*Z6)+LOG(W6*10^(-14))+Y6*(1+$B$86)</f>
        <v>40.7887601621307</v>
      </c>
      <c r="BE6" s="8" t="n">
        <v>40.79</v>
      </c>
      <c r="BF6" s="8" t="n">
        <v>40.3308782653967</v>
      </c>
      <c r="BG6" s="8" t="n">
        <v>40.6750396842358</v>
      </c>
      <c r="BH6" s="8" t="n">
        <v>40.6750396842358</v>
      </c>
      <c r="BI6" s="8"/>
      <c r="BJ6" s="16" t="n">
        <v>2.8057379010057</v>
      </c>
      <c r="BK6" s="16"/>
      <c r="BL6" s="16" t="n">
        <v>2.39479758741265</v>
      </c>
      <c r="BM6" s="8" t="n">
        <v>1.54530711646582</v>
      </c>
      <c r="BN6" s="8" t="n">
        <v>8.36</v>
      </c>
      <c r="BO6" s="8" t="n">
        <v>1.41497334797082</v>
      </c>
      <c r="BP6" s="8" t="n">
        <v>1.43136376415899</v>
      </c>
      <c r="BR6" s="20"/>
      <c r="BS6" s="8" t="n">
        <f aca="false" t="array" ref="BS6:BT10">LINEST($BL$3:$BL$41 , $BJ$3:$BJ$41 , 1 , 1)</f>
        <v>0.604507645656607</v>
      </c>
      <c r="BT6" s="8" t="n">
        <v>0.36029729236584</v>
      </c>
      <c r="BZ6" s="0" t="n">
        <f aca="false" t="array" ref="BZ6:CA10">LINEST($BF$3:$BF$41 , $BM$3:$BM$41 , 1 , 1)</f>
        <v>2.78520569316395</v>
      </c>
      <c r="CA6" s="0" t="n">
        <v>36.0424923949622</v>
      </c>
      <c r="CG6" s="0" t="n">
        <f aca="false" t="array" ref="CG6:CH10">LINEST($BG$3:$BG$41 , $BM$3:$BM$41 , 1 , 1)</f>
        <v>2.15849506640567</v>
      </c>
      <c r="CH6" s="0" t="n">
        <v>37.3714983021947</v>
      </c>
      <c r="CN6" s="0" t="n">
        <f aca="false" t="array" ref="CN6:CO10">LINEST($BH$3:$BH$41 , $BM$3:$BM$41 , 1 , 1)</f>
        <v>2.64736214359656</v>
      </c>
      <c r="CO6" s="0" t="n">
        <v>36.5095761753446</v>
      </c>
      <c r="CU6" s="0" t="n">
        <f aca="false" t="array" ref="CU6:CV10">LINEST($BG$3:$BG$41 , $BF$3:$BF$41 , 1 , 1)</f>
        <v>0.831315003823534</v>
      </c>
      <c r="CV6" s="0" t="n">
        <v>7.19435262366235</v>
      </c>
      <c r="DC6" s="0" t="e">
        <f aca="false" t="array" ref="DC6:DD10">LINEST($BE$138:$BE$153 , $BM$138:$BM$153 , 1 , 1)</f>
        <v>#VALUE!</v>
      </c>
      <c r="DD6" s="0" t="e">
        <v>#VALUE!</v>
      </c>
      <c r="DJ6" s="0" t="n">
        <f aca="false" t="array" ref="DJ6:DK10">LINEST($BF$138:$BF$153 , $BJ$138:$BJ$153 , 1 , 1)</f>
        <v>2.19524514300896</v>
      </c>
      <c r="DK6" s="0" t="n">
        <v>36.9111136951957</v>
      </c>
      <c r="DQ6" s="0" t="n">
        <f aca="false" t="array" ref="DQ6:DR10">LINEST($BG$138:$BG$153 , $BJ$138:$BJ$153 , 1 , 1)</f>
        <v>1.83632115173379</v>
      </c>
      <c r="DR6" s="0" t="n">
        <v>37.9036640668957</v>
      </c>
      <c r="DX6" s="0" t="n">
        <f aca="false" t="array" ref="DX6:DY10">LINEST($BH$138:$BH$153 , $BJ$138:$BJ$153 , 1 , 1)</f>
        <v>2.27634305075698</v>
      </c>
      <c r="DY6" s="0" t="n">
        <v>37.0296320438455</v>
      </c>
    </row>
    <row r="7" customFormat="false" ht="13.2" hidden="false" customHeight="false" outlineLevel="0" collapsed="false">
      <c r="A7" s="0" t="s">
        <v>87</v>
      </c>
      <c r="B7" s="8" t="n">
        <v>5.6</v>
      </c>
      <c r="C7" s="8" t="n">
        <v>34.345</v>
      </c>
      <c r="D7" s="8" t="n">
        <v>6.16</v>
      </c>
      <c r="E7" s="8" t="n">
        <v>37.593</v>
      </c>
      <c r="F7" s="8" t="n">
        <f aca="false">72.49/2</f>
        <v>36.245</v>
      </c>
      <c r="G7" s="8" t="n">
        <f aca="false">B7+(D7-B7)*((F7-C7)/(E7-C7))</f>
        <v>5.92758620689655</v>
      </c>
      <c r="H7" s="15" t="n">
        <v>0.25</v>
      </c>
      <c r="I7" s="8" t="n">
        <f aca="false">(5.22+4.86+4.56+4.77)/4/2.355</f>
        <v>2.06050955414013</v>
      </c>
      <c r="J7" s="0" t="s">
        <v>88</v>
      </c>
      <c r="K7" s="8" t="n">
        <v>2.98</v>
      </c>
      <c r="L7" s="8" t="n">
        <v>15.893</v>
      </c>
      <c r="M7" s="8" t="n">
        <v>3.25</v>
      </c>
      <c r="N7" s="8" t="n">
        <v>19.77</v>
      </c>
      <c r="O7" s="8" t="n">
        <f aca="false">37.585/2</f>
        <v>18.7925</v>
      </c>
      <c r="P7" s="8" t="n">
        <f aca="false">K7+(M7-K7)*((O7-L7)/(N7-L7))</f>
        <v>3.18192545782822</v>
      </c>
      <c r="Q7" s="15" t="n">
        <v>0.05</v>
      </c>
      <c r="R7" s="8" t="n">
        <v>1.72</v>
      </c>
      <c r="S7" s="8" t="n">
        <v>0.03</v>
      </c>
      <c r="T7" s="8" t="n">
        <v>1.72</v>
      </c>
      <c r="U7" s="8" t="n">
        <v>0.03</v>
      </c>
      <c r="V7" s="8" t="n">
        <v>0.22</v>
      </c>
      <c r="W7" s="8" t="n">
        <v>2.2</v>
      </c>
      <c r="X7" s="8"/>
      <c r="Y7" s="8" t="n">
        <v>0.22</v>
      </c>
      <c r="Z7" s="8" t="n">
        <v>154.5</v>
      </c>
      <c r="AA7" s="8" t="n">
        <v>161</v>
      </c>
      <c r="AB7" s="8" t="n">
        <v>7.98</v>
      </c>
      <c r="AC7" s="8" t="n">
        <v>1.186</v>
      </c>
      <c r="AD7" s="8" t="n">
        <v>27.7</v>
      </c>
      <c r="AE7" s="8" t="n">
        <v>2.2</v>
      </c>
      <c r="AF7" s="8" t="n">
        <v>40.94</v>
      </c>
      <c r="AG7" s="8" t="n">
        <f aca="false">AF7-LOG(2.87)</f>
        <v>40.482118103266</v>
      </c>
      <c r="AH7" s="8" t="n">
        <v>40.87</v>
      </c>
      <c r="AI7" s="8" t="n">
        <v>40.87</v>
      </c>
      <c r="AJ7" s="8" t="n">
        <v>185</v>
      </c>
      <c r="AK7" s="8"/>
      <c r="AL7" s="8"/>
      <c r="AM7" s="8"/>
      <c r="AN7" s="8" t="n">
        <f aca="false">G7*SQRT(1-H7)*0.161</f>
        <v>0.826483878365439</v>
      </c>
      <c r="AO7" s="0" t="n">
        <f aca="false">SQRT(G7^2*(1-H7)-I7^2)*0.161</f>
        <v>0.756982708704697</v>
      </c>
      <c r="AP7" s="8" t="n">
        <f aca="false">SQRT(G7^2*(1-H7)-I7^2)*(0.161*PI())/(180*3600)*(Sheet2!N7*10^6)</f>
        <v>528.858432614178</v>
      </c>
      <c r="AQ7" s="8" t="n">
        <f aca="false">LOG(AP7)</f>
        <v>2.72333943354249</v>
      </c>
      <c r="AR7" s="8"/>
      <c r="AS7" s="8" t="n">
        <f aca="false">P7*SQRT(1-Q7)*0.161</f>
        <v>0.499318526233216</v>
      </c>
      <c r="AT7" s="0" t="n">
        <f aca="false">SQRT(P7^2*(1-Q7)-I7^2)*0.161</f>
        <v>0.373183883252791</v>
      </c>
      <c r="AU7" s="8" t="n">
        <f aca="false">SQRT(P7^2*(1-Q7)-I7^2)*(0.161*PI())/(180*3600)*(Sheet2!N7*10^6)</f>
        <v>260.721204466687</v>
      </c>
      <c r="AV7" s="8" t="n">
        <f aca="false">LOG(AU7)</f>
        <v>2.41617635379349</v>
      </c>
      <c r="AW7" s="0" t="n">
        <f aca="false">LOG(AD7)</f>
        <v>1.44247976906445</v>
      </c>
      <c r="AX7" s="0" t="n">
        <f aca="false">LOG(4*$B$85)+2*LOG($B$81*Z7)+LOG(W7*10^(-14))+Y7*(1+$B$86) - LOG(2.87)</f>
        <v>40.4850090486329</v>
      </c>
      <c r="AY7" s="0" t="n">
        <f aca="false">LOG(4*$B$85)+2*LOG($B$81*Z7)+LOG(R7*10^(-14))+Y7</f>
        <v>40.9096967114523</v>
      </c>
      <c r="AZ7" s="0" t="n">
        <f aca="false">LOG(4*$B$85)+2*LOG($B$81*Z7)+LOG(T7*10^(-14))+Y7</f>
        <v>40.9096967114523</v>
      </c>
      <c r="BA7" s="0" t="n">
        <f aca="false">LOG(AA7)</f>
        <v>2.20682587603185</v>
      </c>
      <c r="BB7" s="0" t="n">
        <f aca="false">LOG(AJ7)</f>
        <v>2.26717172840301</v>
      </c>
      <c r="BC7" s="0" t="n">
        <f aca="false">I7*0.161</f>
        <v>0.33174203821656</v>
      </c>
      <c r="BD7" s="1" t="n">
        <f aca="false">LOG(4*$B$85)+2*LOG($B$81*Z7)+LOG(W7*10^(-14))+Y7*(1+$B$86)</f>
        <v>40.9428909453669</v>
      </c>
      <c r="BE7" s="8" t="n">
        <v>40.94</v>
      </c>
      <c r="BF7" s="8" t="n">
        <v>40.4850090486329</v>
      </c>
      <c r="BG7" s="8" t="n">
        <v>40.9096967114523</v>
      </c>
      <c r="BH7" s="8" t="n">
        <v>40.9096967114523</v>
      </c>
      <c r="BI7" s="8"/>
      <c r="BJ7" s="16" t="n">
        <v>2.72333943354249</v>
      </c>
      <c r="BK7" s="16"/>
      <c r="BL7" s="16" t="n">
        <v>2.41617635379349</v>
      </c>
      <c r="BM7" s="8" t="n">
        <v>1.44247976906445</v>
      </c>
      <c r="BN7" s="8" t="n">
        <v>7.98</v>
      </c>
      <c r="BO7" s="8" t="n">
        <v>2.20682587603185</v>
      </c>
      <c r="BP7" s="8" t="n">
        <v>2.26717172840301</v>
      </c>
      <c r="BR7" s="20"/>
      <c r="BS7" s="8" t="n">
        <v>0.129184260347888</v>
      </c>
      <c r="BT7" s="8" t="n">
        <v>0.34858570166973</v>
      </c>
      <c r="BZ7" s="0" t="n">
        <v>0.379921730218534</v>
      </c>
      <c r="CA7" s="0" t="n">
        <v>0.521855169017054</v>
      </c>
      <c r="CG7" s="0" t="n">
        <v>0.439029259364949</v>
      </c>
      <c r="CH7" s="0" t="n">
        <v>0.603044443437184</v>
      </c>
      <c r="CN7" s="0" t="n">
        <v>0.416787285708364</v>
      </c>
      <c r="CO7" s="0" t="n">
        <v>0.572493179851514</v>
      </c>
      <c r="CU7" s="0" t="n">
        <v>0.0751773522739968</v>
      </c>
      <c r="CV7" s="0" t="n">
        <v>2.99604714504498</v>
      </c>
      <c r="DC7" s="0" t="e">
        <v>#VALUE!</v>
      </c>
      <c r="DD7" s="0" t="e">
        <v>#VALUE!</v>
      </c>
      <c r="DJ7" s="0" t="n">
        <v>0.673518715554313</v>
      </c>
      <c r="DK7" s="0" t="n">
        <v>0.94130850099503</v>
      </c>
      <c r="DQ7" s="0" t="n">
        <v>0.551429469783108</v>
      </c>
      <c r="DR7" s="0" t="n">
        <v>0.770676798756551</v>
      </c>
      <c r="DX7" s="0" t="n">
        <v>0.650617758880905</v>
      </c>
      <c r="DY7" s="0" t="n">
        <v>0.909302166650102</v>
      </c>
    </row>
    <row r="8" customFormat="false" ht="13.2" hidden="false" customHeight="false" outlineLevel="0" collapsed="false">
      <c r="A8" s="0" t="s">
        <v>89</v>
      </c>
      <c r="B8" s="8" t="n">
        <v>10.53</v>
      </c>
      <c r="C8" s="8" t="n">
        <v>253.29</v>
      </c>
      <c r="D8" s="8" t="n">
        <v>11.58</v>
      </c>
      <c r="E8" s="8" t="n">
        <v>276.63</v>
      </c>
      <c r="F8" s="8" t="n">
        <v>266.815</v>
      </c>
      <c r="G8" s="8" t="n">
        <f aca="false">B8+(D8-B8)*((F8-C8)/(E8-C8))</f>
        <v>11.1384511568123</v>
      </c>
      <c r="H8" s="15" t="n">
        <v>0.49</v>
      </c>
      <c r="I8" s="8" t="n">
        <f aca="false">(4.67+4.65+4.5+4.37+5.06)/5/2.355</f>
        <v>1.97452229299363</v>
      </c>
      <c r="J8" s="0" t="s">
        <v>90</v>
      </c>
      <c r="K8" s="8" t="n">
        <v>4.55</v>
      </c>
      <c r="L8" s="8" t="n">
        <v>93.356</v>
      </c>
      <c r="M8" s="8" t="n">
        <v>5</v>
      </c>
      <c r="N8" s="8" t="n">
        <v>103.16</v>
      </c>
      <c r="O8" s="8" t="n">
        <f aca="false">193.97/2</f>
        <v>96.985</v>
      </c>
      <c r="P8" s="8" t="n">
        <f aca="false">K8+(M8-K8)*((O8-L8)/(N8-L8))</f>
        <v>4.71656976744186</v>
      </c>
      <c r="Q8" s="15" t="n">
        <v>0.3</v>
      </c>
      <c r="R8" s="8" t="n">
        <v>8.38</v>
      </c>
      <c r="S8" s="8" t="n">
        <v>0.7</v>
      </c>
      <c r="T8" s="8" t="n">
        <v>8.38</v>
      </c>
      <c r="U8" s="8" t="n">
        <v>0.7</v>
      </c>
      <c r="V8" s="8" t="n">
        <v>0.3</v>
      </c>
      <c r="W8" s="8" t="n">
        <v>15</v>
      </c>
      <c r="X8" s="8"/>
      <c r="Y8" s="8" t="n">
        <v>0.33</v>
      </c>
      <c r="Z8" s="8" t="n">
        <v>57.7</v>
      </c>
      <c r="AA8" s="8" t="n">
        <v>109</v>
      </c>
      <c r="AB8" s="8" t="n">
        <v>8.25</v>
      </c>
      <c r="AC8" s="8" t="n">
        <v>1.393</v>
      </c>
      <c r="AD8" s="8" t="n">
        <v>34.5</v>
      </c>
      <c r="AE8" s="8" t="n">
        <v>0.4</v>
      </c>
      <c r="AF8" s="8" t="n">
        <v>40.98</v>
      </c>
      <c r="AG8" s="8" t="n">
        <f aca="false">AF8-LOG(2.87)</f>
        <v>40.522118103266</v>
      </c>
      <c r="AH8" s="8" t="n">
        <v>40.73</v>
      </c>
      <c r="AI8" s="8" t="n">
        <v>40.73</v>
      </c>
      <c r="AJ8" s="8" t="n">
        <v>86</v>
      </c>
      <c r="AK8" s="8"/>
      <c r="AL8" s="8"/>
      <c r="AM8" s="8"/>
      <c r="AN8" s="8" t="n">
        <f aca="false">G8*SQRT(1-H8)*0.161</f>
        <v>1.28066567303325</v>
      </c>
      <c r="AO8" s="0" t="n">
        <f aca="false">SQRT(G8^2*(1-H8)-I8^2)*0.161</f>
        <v>1.24058267398288</v>
      </c>
      <c r="AP8" s="8" t="n">
        <f aca="false">SQRT(G8^2*(1-H8)-I8^2)*(0.161*PI())/(180*3600)*(Sheet2!N8*10^6)</f>
        <v>338.534929528324</v>
      </c>
      <c r="AQ8" s="8" t="n">
        <f aca="false">LOG(AP8)</f>
        <v>2.52960348518892</v>
      </c>
      <c r="AR8" s="8"/>
      <c r="AS8" s="8" t="n">
        <f aca="false">P8*SQRT(1-Q8)*0.161</f>
        <v>0.635332627271214</v>
      </c>
      <c r="AT8" s="0" t="n">
        <f aca="false">SQRT(P8^2*(1-Q8)-I8^2)*0.161</f>
        <v>0.550080314296149</v>
      </c>
      <c r="AU8" s="8" t="n">
        <f aca="false">SQRT(P8^2*(1-Q8)-I8^2)*(0.161*PI())/(180*3600)*(Sheet2!N8*10^6)</f>
        <v>150.108013226804</v>
      </c>
      <c r="AV8" s="8" t="n">
        <f aca="false">LOG(AU8)</f>
        <v>2.17640387683549</v>
      </c>
      <c r="AW8" s="0" t="n">
        <f aca="false">LOG(AD8)</f>
        <v>1.53781909507327</v>
      </c>
      <c r="AX8" s="0" t="n">
        <f aca="false">LOG(4*$B$85)+2*LOG($B$81*Z8)+LOG(W8*10^(-14))+Y8*(1+$B$86) - LOG(2.87)</f>
        <v>40.5363222856562</v>
      </c>
      <c r="AY8" s="0" t="n">
        <f aca="false">LOG(4*$B$85)+2*LOG($B$81*Z8)+LOG(R8*10^(-14))+Y8</f>
        <v>40.8519069419647</v>
      </c>
      <c r="AZ8" s="0" t="n">
        <f aca="false">LOG(4*$B$85)+2*LOG($B$81*Z8)+LOG(T8*10^(-14))+Y8</f>
        <v>40.8519069419647</v>
      </c>
      <c r="BA8" s="0" t="n">
        <f aca="false">LOG(AA8)</f>
        <v>2.03742649794062</v>
      </c>
      <c r="BB8" s="0" t="n">
        <f aca="false">LOG(AJ8)</f>
        <v>1.93449845124357</v>
      </c>
      <c r="BC8" s="0" t="n">
        <f aca="false">I8*0.161</f>
        <v>0.317898089171975</v>
      </c>
      <c r="BD8" s="1" t="n">
        <f aca="false">LOG(4*$B$85)+2*LOG($B$81*Z8)+LOG(W8*10^(-14))+Y8*(1+$B$86)</f>
        <v>40.9942041823902</v>
      </c>
      <c r="BE8" s="8" t="n">
        <v>40.98</v>
      </c>
      <c r="BF8" s="8" t="n">
        <v>40.5363222856562</v>
      </c>
      <c r="BG8" s="8" t="n">
        <v>40.8519069419647</v>
      </c>
      <c r="BH8" s="8" t="n">
        <v>40.8519069419647</v>
      </c>
      <c r="BI8" s="8"/>
      <c r="BJ8" s="16" t="n">
        <v>2.52960348518892</v>
      </c>
      <c r="BK8" s="16"/>
      <c r="BL8" s="16" t="n">
        <v>2.17640387683549</v>
      </c>
      <c r="BM8" s="8" t="n">
        <v>1.53781909507327</v>
      </c>
      <c r="BN8" s="8" t="n">
        <v>8.25</v>
      </c>
      <c r="BO8" s="8" t="n">
        <v>2.03742649794062</v>
      </c>
      <c r="BP8" s="8" t="n">
        <v>1.93449845124357</v>
      </c>
      <c r="BR8" s="20"/>
      <c r="BS8" s="8" t="n">
        <v>0.371784518276731</v>
      </c>
      <c r="BT8" s="8" t="n">
        <v>0.223212335185529</v>
      </c>
      <c r="BZ8" s="0" t="n">
        <v>0.59225748213699</v>
      </c>
      <c r="CA8" s="0" t="n">
        <v>0.316473047140192</v>
      </c>
      <c r="CG8" s="0" t="n">
        <v>0.395149540630276</v>
      </c>
      <c r="CH8" s="0" t="n">
        <v>0.365709346014526</v>
      </c>
      <c r="CN8" s="0" t="n">
        <v>0.521628526575906</v>
      </c>
      <c r="CO8" s="0" t="n">
        <v>0.347181884651727</v>
      </c>
      <c r="CU8" s="0" t="n">
        <v>0.767705392010782</v>
      </c>
      <c r="CV8" s="0" t="n">
        <v>0.226637419360183</v>
      </c>
      <c r="DC8" s="0" t="e">
        <v>#VALUE!</v>
      </c>
      <c r="DD8" s="0" t="e">
        <v>#VALUE!</v>
      </c>
      <c r="DJ8" s="0" t="n">
        <v>0.43143693459796</v>
      </c>
      <c r="DK8" s="0" t="n">
        <v>0.338433660031872</v>
      </c>
      <c r="DQ8" s="0" t="n">
        <v>0.442000694492769</v>
      </c>
      <c r="DR8" s="0" t="n">
        <v>0.277085535113215</v>
      </c>
      <c r="DX8" s="0" t="n">
        <v>0.466487585884608</v>
      </c>
      <c r="DY8" s="0" t="n">
        <v>0.326926252136259</v>
      </c>
    </row>
    <row r="9" customFormat="false" ht="13.2" hidden="false" customHeight="false" outlineLevel="0" collapsed="false">
      <c r="A9" s="0" t="s">
        <v>91</v>
      </c>
      <c r="B9" s="8" t="n">
        <v>5.64</v>
      </c>
      <c r="C9" s="8" t="n">
        <v>181.31</v>
      </c>
      <c r="D9" s="8" t="n">
        <v>6.21</v>
      </c>
      <c r="E9" s="8" t="n">
        <v>191.63</v>
      </c>
      <c r="F9" s="8" t="n">
        <v>181.98</v>
      </c>
      <c r="G9" s="8" t="n">
        <f aca="false">B9+(D9-B9)*((F9-C9)/(E9-C9))</f>
        <v>5.67700581395349</v>
      </c>
      <c r="H9" s="15" t="n">
        <v>0.004</v>
      </c>
      <c r="I9" s="8" t="n">
        <f aca="false">(4.74+4.67+4.8+4.49+4.55+3.94)/6/2.355</f>
        <v>1.9242745930644</v>
      </c>
      <c r="J9" s="0" t="s">
        <v>92</v>
      </c>
      <c r="K9" s="8" t="n">
        <v>3.11</v>
      </c>
      <c r="L9" s="8" t="n">
        <v>81.526</v>
      </c>
      <c r="M9" s="8" t="n">
        <v>3.33</v>
      </c>
      <c r="N9" s="8" t="n">
        <v>103.94</v>
      </c>
      <c r="O9" s="8" t="n">
        <f aca="false">177.2/2</f>
        <v>88.6</v>
      </c>
      <c r="P9" s="8" t="n">
        <f aca="false">K9+(M9-K9)*((O9-L9)/(N9-L9))</f>
        <v>3.17943338984563</v>
      </c>
      <c r="Q9" s="15" t="n">
        <v>0.05</v>
      </c>
      <c r="R9" s="8" t="n">
        <v>1.9</v>
      </c>
      <c r="S9" s="8" t="n">
        <v>0.14</v>
      </c>
      <c r="T9" s="8" t="n">
        <v>1.9</v>
      </c>
      <c r="U9" s="8" t="n">
        <v>0.14</v>
      </c>
      <c r="V9" s="8" t="n">
        <v>0.1</v>
      </c>
      <c r="W9" s="8" t="n">
        <v>2.6</v>
      </c>
      <c r="X9" s="8"/>
      <c r="Y9" s="8" t="n">
        <v>0.43</v>
      </c>
      <c r="Z9" s="8" t="n">
        <v>62.9</v>
      </c>
      <c r="AA9" s="8" t="n">
        <v>57</v>
      </c>
      <c r="AB9" s="8" t="n">
        <v>8.09</v>
      </c>
      <c r="AC9" s="8" t="n">
        <v>0.974</v>
      </c>
      <c r="AD9" s="8" t="n">
        <v>22.6</v>
      </c>
      <c r="AE9" s="8" t="n">
        <v>1.8</v>
      </c>
      <c r="AF9" s="8" t="n">
        <v>40.37</v>
      </c>
      <c r="AG9" s="8" t="n">
        <f aca="false">AF9-LOG(2.87)</f>
        <v>39.912118103266</v>
      </c>
      <c r="AH9" s="8" t="n">
        <v>39.97</v>
      </c>
      <c r="AI9" s="8" t="n">
        <v>39.97</v>
      </c>
      <c r="AJ9" s="8" t="n">
        <v>51</v>
      </c>
      <c r="AK9" s="8"/>
      <c r="AL9" s="8"/>
      <c r="AM9" s="8"/>
      <c r="AN9" s="8" t="n">
        <f aca="false">G9*SQRT(1-H9)*0.161</f>
        <v>0.912168108513389</v>
      </c>
      <c r="AO9" s="0" t="n">
        <f aca="false">SQRT(G9^2*(1-H9)-I9^2)*0.161</f>
        <v>0.857944946675254</v>
      </c>
      <c r="AP9" s="8" t="n">
        <f aca="false">SQRT(G9^2*(1-H9)-I9^2)*(0.161*PI())/(180*3600)*(Sheet2!N9*10^6)</f>
        <v>254.609502557965</v>
      </c>
      <c r="AQ9" s="8" t="n">
        <f aca="false">LOG(AP9)</f>
        <v>2.40587460839648</v>
      </c>
      <c r="AR9" s="8"/>
      <c r="AS9" s="8" t="n">
        <f aca="false">P9*SQRT(1-Q9)*0.161</f>
        <v>0.498927462479892</v>
      </c>
      <c r="AT9" s="0" t="n">
        <f aca="false">SQRT(P9^2*(1-Q9)-I9^2)*0.161</f>
        <v>0.391085011414824</v>
      </c>
      <c r="AU9" s="8" t="n">
        <f aca="false">SQRT(P9^2*(1-Q9)-I9^2)*(0.161*PI())/(180*3600)*(Sheet2!N9*10^6)</f>
        <v>116.061013704991</v>
      </c>
      <c r="AV9" s="8" t="n">
        <f aca="false">LOG(AU9)</f>
        <v>2.06468635947822</v>
      </c>
      <c r="AW9" s="0" t="n">
        <f aca="false">LOG(AD9)</f>
        <v>1.3541084391474</v>
      </c>
      <c r="AX9" s="0" t="n">
        <f aca="false">LOG(4*$B$85)+2*LOG($B$81*Z9)+LOG(W9*10^(-14))+Y9*(1+$B$86) - LOG(2.87)</f>
        <v>39.9166540391504</v>
      </c>
      <c r="AY9" s="0" t="n">
        <f aca="false">LOG(4*$B$85)+2*LOG($B$81*Z9)+LOG(R9*10^(-14))+Y9</f>
        <v>40.3823661888664</v>
      </c>
      <c r="AZ9" s="0" t="n">
        <f aca="false">LOG(4*$B$85)+2*LOG($B$81*Z9)+LOG(T9*10^(-14))+Y9</f>
        <v>40.3823661888664</v>
      </c>
      <c r="BA9" s="0" t="n">
        <f aca="false">LOG(AA9)</f>
        <v>1.75587485567249</v>
      </c>
      <c r="BB9" s="0" t="n">
        <f aca="false">LOG(AJ9)</f>
        <v>1.70757017609794</v>
      </c>
      <c r="BC9" s="0" t="n">
        <f aca="false">I9*0.161</f>
        <v>0.309808209483369</v>
      </c>
      <c r="BD9" s="1" t="n">
        <f aca="false">LOG(4*$B$85)+2*LOG($B$81*Z9)+LOG(W9*10^(-14))+Y9*(1+$B$86)</f>
        <v>40.3745359358844</v>
      </c>
      <c r="BE9" s="8" t="n">
        <v>40.37</v>
      </c>
      <c r="BF9" s="8" t="n">
        <v>39.9166540391504</v>
      </c>
      <c r="BG9" s="8" t="n">
        <v>40.3823661888664</v>
      </c>
      <c r="BH9" s="8" t="n">
        <v>40.3823661888664</v>
      </c>
      <c r="BI9" s="8"/>
      <c r="BJ9" s="16" t="n">
        <v>2.40587460839648</v>
      </c>
      <c r="BK9" s="16"/>
      <c r="BL9" s="16" t="n">
        <v>2.06468635947822</v>
      </c>
      <c r="BM9" s="8" t="n">
        <v>1.3541084391474</v>
      </c>
      <c r="BN9" s="8" t="n">
        <v>8.09</v>
      </c>
      <c r="BO9" s="8" t="n">
        <v>1.75587485567249</v>
      </c>
      <c r="BP9" s="8" t="n">
        <v>1.70757017609794</v>
      </c>
      <c r="BR9" s="20"/>
      <c r="BS9" s="8" t="n">
        <v>21.8969884958974</v>
      </c>
      <c r="BT9" s="8" t="n">
        <v>37</v>
      </c>
      <c r="BZ9" s="0" t="n">
        <v>53.7435412767794</v>
      </c>
      <c r="CA9" s="0" t="n">
        <v>37</v>
      </c>
      <c r="CG9" s="0" t="n">
        <v>24.1721449935829</v>
      </c>
      <c r="CH9" s="0" t="n">
        <v>37</v>
      </c>
      <c r="CN9" s="0" t="n">
        <v>40.3457491834973</v>
      </c>
      <c r="CO9" s="0" t="n">
        <v>37</v>
      </c>
      <c r="CU9" s="0" t="n">
        <v>122.280494369965</v>
      </c>
      <c r="CV9" s="0" t="n">
        <v>37</v>
      </c>
      <c r="DC9" s="0" t="e">
        <v>#VALUE!</v>
      </c>
      <c r="DD9" s="0" t="e">
        <v>#VALUE!</v>
      </c>
      <c r="DJ9" s="0" t="n">
        <v>10.6234777668866</v>
      </c>
      <c r="DK9" s="0" t="n">
        <v>14</v>
      </c>
      <c r="DQ9" s="0" t="n">
        <v>11.0896369615976</v>
      </c>
      <c r="DR9" s="0" t="n">
        <v>14</v>
      </c>
      <c r="DX9" s="0" t="n">
        <v>12.2411888263428</v>
      </c>
      <c r="DY9" s="0" t="n">
        <v>14</v>
      </c>
    </row>
    <row r="10" customFormat="false" ht="13.2" hidden="false" customHeight="false" outlineLevel="0" collapsed="false">
      <c r="A10" s="0" t="s">
        <v>93</v>
      </c>
      <c r="B10" s="8" t="n">
        <v>17.26</v>
      </c>
      <c r="C10" s="8" t="n">
        <v>172.02</v>
      </c>
      <c r="D10" s="8" t="n">
        <v>18.99</v>
      </c>
      <c r="E10" s="8" t="n">
        <v>194.85</v>
      </c>
      <c r="F10" s="8" t="n">
        <f aca="false">370.33/2</f>
        <v>185.165</v>
      </c>
      <c r="G10" s="8" t="n">
        <f aca="false">B10+(D10-B10)*((F10-C10)/(E10-C10))</f>
        <v>18.2560950503723</v>
      </c>
      <c r="H10" s="15" t="n">
        <v>0.2332</v>
      </c>
      <c r="I10" s="8" t="n">
        <f aca="false">(9.66+9.45+9.48)/3/2.355</f>
        <v>4.04670912951168</v>
      </c>
      <c r="J10" s="0" t="s">
        <v>94</v>
      </c>
      <c r="K10" s="8" t="n">
        <v>5.45</v>
      </c>
      <c r="L10" s="8" t="n">
        <v>23.695</v>
      </c>
      <c r="M10" s="8" t="n">
        <v>5.94</v>
      </c>
      <c r="N10" s="8" t="n">
        <v>32.373</v>
      </c>
      <c r="O10" s="8" t="n">
        <f aca="false">60.434/2</f>
        <v>30.217</v>
      </c>
      <c r="P10" s="8" t="n">
        <f aca="false">K10+(M10-K10)*((O10-L10)/(N10-L10))</f>
        <v>5.818262272413</v>
      </c>
      <c r="Q10" s="15" t="n">
        <v>0.3195</v>
      </c>
      <c r="R10" s="8" t="n">
        <v>0.28</v>
      </c>
      <c r="S10" s="8" t="n">
        <v>0.02</v>
      </c>
      <c r="T10" s="8" t="n">
        <v>0.28</v>
      </c>
      <c r="U10" s="8" t="n">
        <v>0.02</v>
      </c>
      <c r="V10" s="8" t="n">
        <v>0.15</v>
      </c>
      <c r="W10" s="8" t="n">
        <v>1.3</v>
      </c>
      <c r="X10" s="8"/>
      <c r="Y10" s="8" t="n">
        <v>0.28</v>
      </c>
      <c r="Z10" s="8" t="n">
        <v>100.2</v>
      </c>
      <c r="AA10" s="8" t="n">
        <v>20</v>
      </c>
      <c r="AB10" s="8" t="n">
        <v>7.96</v>
      </c>
      <c r="AC10" s="8" t="s">
        <v>95</v>
      </c>
      <c r="AD10" s="8" t="n">
        <v>26.6</v>
      </c>
      <c r="AE10" s="8" t="n">
        <v>1.8</v>
      </c>
      <c r="AF10" s="8" t="n">
        <v>40.38</v>
      </c>
      <c r="AG10" s="8" t="n">
        <f aca="false">AF10-LOG(2.87)</f>
        <v>39.922118103266</v>
      </c>
      <c r="AH10" s="8" t="n">
        <v>39.62</v>
      </c>
      <c r="AI10" s="8" t="n">
        <v>39.62</v>
      </c>
      <c r="AJ10" s="8" t="n">
        <v>6</v>
      </c>
      <c r="AK10" s="8"/>
      <c r="AL10" s="8"/>
      <c r="AM10" s="8"/>
      <c r="AN10" s="8" t="n">
        <f aca="false">G10*SQRT(1-H10)*0.161</f>
        <v>2.5738001175032</v>
      </c>
      <c r="AO10" s="0" t="n">
        <f aca="false">SQRT(G10^2*(1-H10)-I10^2)*0.161</f>
        <v>2.48997359687534</v>
      </c>
      <c r="AP10" s="8" t="n">
        <f aca="false">SQRT(G10^2*(1-H10)-I10^2)*(0.161*PI())/(180*3600)*(Sheet2!N10*10^6)</f>
        <v>1155.98976894521</v>
      </c>
      <c r="AQ10" s="8" t="n">
        <f aca="false">LOG(AP10)</f>
        <v>3.06295399039048</v>
      </c>
      <c r="AR10" s="8"/>
      <c r="AS10" s="8" t="n">
        <f aca="false">P10*SQRT(1-Q10)*0.161</f>
        <v>0.77273971790606</v>
      </c>
      <c r="AT10" s="0" t="n">
        <f aca="false">SQRT(P10^2*(1-Q10)-I10^2)*0.161</f>
        <v>0.415509494363684</v>
      </c>
      <c r="AU10" s="8" t="n">
        <f aca="false">SQRT(P10^2*(1-Q10)-I10^2)*(0.161*PI())/(180*3600)*(Sheet2!N10*10^6)</f>
        <v>192.90354122099</v>
      </c>
      <c r="AV10" s="8" t="n">
        <f aca="false">LOG(AU10)</f>
        <v>2.28534020026503</v>
      </c>
      <c r="AW10" s="0" t="n">
        <f aca="false">LOG(AD10)</f>
        <v>1.42488163663107</v>
      </c>
      <c r="AX10" s="0" t="n">
        <f aca="false">LOG(4*$B$85)+2*LOG($B$81*Z10)+LOG(W10*10^(-14))+Y10*(1+$B$86) - LOG(2.87)</f>
        <v>39.9203081956583</v>
      </c>
      <c r="AY10" s="0" t="n">
        <f aca="false">LOG(4*$B$85)+2*LOG($B$81*Z10)+LOG(R10*10^(-14))+Y10</f>
        <v>39.8052047714277</v>
      </c>
      <c r="AZ10" s="0" t="n">
        <f aca="false">LOG(4*$B$85)+2*LOG($B$81*Z10)+LOG(T10*10^(-14))+Y10</f>
        <v>39.8052047714277</v>
      </c>
      <c r="BA10" s="0" t="n">
        <f aca="false">LOG(AA10)</f>
        <v>1.30102999566398</v>
      </c>
      <c r="BB10" s="0" t="n">
        <f aca="false">LOG(AJ10)</f>
        <v>0.778151250383644</v>
      </c>
      <c r="BC10" s="0" t="n">
        <f aca="false">I10*0.161</f>
        <v>0.65152016985138</v>
      </c>
      <c r="BD10" s="1" t="n">
        <f aca="false">LOG(4*$B$85)+2*LOG($B$81*Z10)+LOG(W10*10^(-14))+Y10*(1+$B$86)</f>
        <v>40.3781900923923</v>
      </c>
      <c r="BE10" s="8" t="n">
        <v>40.38</v>
      </c>
      <c r="BF10" s="8" t="n">
        <v>39.9203081956583</v>
      </c>
      <c r="BG10" s="8" t="n">
        <v>39.8052047714277</v>
      </c>
      <c r="BH10" s="8" t="n">
        <v>39.8052047714277</v>
      </c>
      <c r="BI10" s="8"/>
      <c r="BJ10" s="16" t="n">
        <v>3.06295399039048</v>
      </c>
      <c r="BK10" s="16"/>
      <c r="BL10" s="16" t="n">
        <v>2.28534020026503</v>
      </c>
      <c r="BM10" s="8" t="n">
        <v>1.42488163663107</v>
      </c>
      <c r="BN10" s="8" t="n">
        <v>7.96</v>
      </c>
      <c r="BO10" s="8" t="n">
        <v>1.30102999566398</v>
      </c>
      <c r="BP10" s="8" t="n">
        <v>0.778151250383644</v>
      </c>
      <c r="BR10" s="20"/>
      <c r="BS10" s="8" t="n">
        <v>1.09099000566236</v>
      </c>
      <c r="BT10" s="8" t="n">
        <v>1.84347862342214</v>
      </c>
      <c r="BZ10" s="0" t="n">
        <v>5.38269456453463</v>
      </c>
      <c r="CA10" s="0" t="n">
        <v>3.70574201394933</v>
      </c>
      <c r="CG10" s="0" t="n">
        <v>3.23286306225206</v>
      </c>
      <c r="CH10" s="0" t="n">
        <v>4.94850305320778</v>
      </c>
      <c r="CN10" s="0" t="n">
        <v>4.86308540929689</v>
      </c>
      <c r="CO10" s="0" t="n">
        <v>4.45980465812204</v>
      </c>
      <c r="CU10" s="0" t="n">
        <v>6.28087888085282</v>
      </c>
      <c r="CV10" s="0" t="n">
        <v>1.90048723460701</v>
      </c>
      <c r="DC10" s="0" t="e">
        <v>#VALUE!</v>
      </c>
      <c r="DD10" s="0" t="e">
        <v>#VALUE!</v>
      </c>
      <c r="DJ10" s="0" t="n">
        <v>1.2167849087922</v>
      </c>
      <c r="DK10" s="0" t="n">
        <v>1.60352279139596</v>
      </c>
      <c r="DQ10" s="0" t="n">
        <v>0.851422334118612</v>
      </c>
      <c r="DR10" s="0" t="n">
        <v>1.07486951276567</v>
      </c>
      <c r="DX10" s="0" t="n">
        <v>1.30834774055101</v>
      </c>
      <c r="DY10" s="0" t="n">
        <v>1.49633084070205</v>
      </c>
    </row>
    <row r="11" customFormat="false" ht="13.2" hidden="false" customHeight="false" outlineLevel="0" collapsed="false">
      <c r="A11" s="0" t="s">
        <v>96</v>
      </c>
      <c r="B11" s="8" t="n">
        <v>10.88</v>
      </c>
      <c r="C11" s="8" t="n">
        <v>71.156</v>
      </c>
      <c r="D11" s="8" t="n">
        <v>11.75</v>
      </c>
      <c r="E11" s="8" t="n">
        <v>77.692</v>
      </c>
      <c r="F11" s="8" t="n">
        <f aca="false">148.22/2</f>
        <v>74.11</v>
      </c>
      <c r="G11" s="8" t="n">
        <f aca="false">B11+(D11-B11)*((F11-C11)/(E11-C11))</f>
        <v>11.2732037943696</v>
      </c>
      <c r="H11" s="15" t="n">
        <v>0.0998</v>
      </c>
      <c r="I11" s="8" t="n">
        <f aca="false">(7.8+7.76+7.66+7.36+7.7+7.73)/6/2.355</f>
        <v>3.25619249823071</v>
      </c>
      <c r="J11" s="21" t="s">
        <v>97</v>
      </c>
      <c r="K11" s="8" t="n">
        <v>4.63</v>
      </c>
      <c r="L11" s="8" t="n">
        <v>15.129</v>
      </c>
      <c r="M11" s="8" t="n">
        <v>5</v>
      </c>
      <c r="N11" s="8" t="n">
        <v>19.584</v>
      </c>
      <c r="O11" s="8" t="n">
        <f aca="false">34.395/2</f>
        <v>17.1975</v>
      </c>
      <c r="P11" s="8" t="n">
        <f aca="false">K11+(M11-K11)*((O11-L11)/(N11-L11))</f>
        <v>4.80179461279461</v>
      </c>
      <c r="Q11" s="15" t="n">
        <v>0.3787</v>
      </c>
      <c r="R11" s="8" t="n">
        <v>0.58</v>
      </c>
      <c r="S11" s="8" t="n">
        <v>0.03</v>
      </c>
      <c r="T11" s="8" t="n">
        <v>0.58</v>
      </c>
      <c r="U11" s="8" t="n">
        <v>0.03</v>
      </c>
      <c r="V11" s="8" t="n">
        <v>0.01</v>
      </c>
      <c r="W11" s="8" t="n">
        <v>1.5</v>
      </c>
      <c r="X11" s="8"/>
      <c r="Y11" s="8" t="n">
        <v>0.12</v>
      </c>
      <c r="Z11" s="8" t="n">
        <v>123.2</v>
      </c>
      <c r="AA11" s="8" t="n">
        <v>62</v>
      </c>
      <c r="AB11" s="8" t="n">
        <v>8.01</v>
      </c>
      <c r="AC11" s="8" t="n">
        <v>1.164</v>
      </c>
      <c r="AD11" s="8" t="n">
        <v>27.4</v>
      </c>
      <c r="AE11" s="8" t="n">
        <v>2.9</v>
      </c>
      <c r="AF11" s="8" t="n">
        <v>40.53</v>
      </c>
      <c r="AG11" s="8" t="n">
        <f aca="false">AF11-LOG(2.87)</f>
        <v>40.072118103266</v>
      </c>
      <c r="AH11" s="8" t="n">
        <v>40.01</v>
      </c>
      <c r="AI11" s="8" t="n">
        <v>40.01</v>
      </c>
      <c r="AJ11" s="8" t="n">
        <v>30</v>
      </c>
      <c r="AK11" s="8"/>
      <c r="AL11" s="8"/>
      <c r="AM11" s="8"/>
      <c r="AN11" s="8" t="n">
        <f aca="false">G11*SQRT(1-H11)*0.161</f>
        <v>1.72203803066862</v>
      </c>
      <c r="AO11" s="0" t="n">
        <f aca="false">SQRT(G11^2*(1-H11)-I11^2)*0.161</f>
        <v>1.64029877468174</v>
      </c>
      <c r="AP11" s="8" t="n">
        <f aca="false">SQRT(G11^2*(1-H11)-I11^2)*(0.161*PI())/(180*3600)*(Sheet2!N11*10^6)</f>
        <v>926.225713711675</v>
      </c>
      <c r="AQ11" s="8" t="n">
        <f aca="false">LOG(AP11)</f>
        <v>2.96671683363053</v>
      </c>
      <c r="AR11" s="8"/>
      <c r="AS11" s="8" t="n">
        <f aca="false">P11*SQRT(1-Q11)*0.161</f>
        <v>0.609368685677178</v>
      </c>
      <c r="AT11" s="0" t="n">
        <f aca="false">SQRT(P11^2*(1-Q11)-I11^2)*0.161</f>
        <v>0.310636904178022</v>
      </c>
      <c r="AU11" s="8" t="n">
        <f aca="false">SQRT(P11^2*(1-Q11)-I11^2)*(0.161*PI())/(180*3600)*(Sheet2!N11*10^6)</f>
        <v>175.4070006748</v>
      </c>
      <c r="AV11" s="8" t="n">
        <f aca="false">LOG(AU11)</f>
        <v>2.24404692251784</v>
      </c>
      <c r="AW11" s="0" t="n">
        <f aca="false">LOG(AD11)</f>
        <v>1.43775056282039</v>
      </c>
      <c r="AX11" s="0" t="n">
        <f aca="false">LOG(4*$B$85)+2*LOG($B$81*Z11)+LOG(W11*10^(-14))+Y11*(1+$B$86) - LOG(2.87)</f>
        <v>40.0555420750015</v>
      </c>
      <c r="AY11" s="0" t="n">
        <f aca="false">LOG(4*$B$85)+2*LOG($B$81*Z11)+LOG(R11*10^(-14))+Y11</f>
        <v>40.1409607062428</v>
      </c>
      <c r="AZ11" s="0" t="n">
        <f aca="false">LOG(4*$B$85)+2*LOG($B$81*Z11)+LOG(T11*10^(-14))+Y11</f>
        <v>40.1409607062428</v>
      </c>
      <c r="BA11" s="0" t="n">
        <f aca="false">LOG(AA11)</f>
        <v>1.79239168949825</v>
      </c>
      <c r="BB11" s="0" t="n">
        <f aca="false">LOG(AJ11)</f>
        <v>1.47712125471966</v>
      </c>
      <c r="BC11" s="0" t="n">
        <f aca="false">I11*0.161</f>
        <v>0.524246992215145</v>
      </c>
      <c r="BD11" s="1" t="n">
        <f aca="false">LOG(4*$B$85)+2*LOG($B$81*Z11)+LOG(W11*10^(-14))+Y11*(1+$B$86)</f>
        <v>40.5134239717355</v>
      </c>
      <c r="BE11" s="8" t="n">
        <v>40.53</v>
      </c>
      <c r="BF11" s="8" t="n">
        <v>40.0555420750015</v>
      </c>
      <c r="BG11" s="8" t="n">
        <v>40.1409607062428</v>
      </c>
      <c r="BH11" s="8" t="n">
        <v>40.1409607062428</v>
      </c>
      <c r="BI11" s="8"/>
      <c r="BJ11" s="16" t="n">
        <v>2.96671683363053</v>
      </c>
      <c r="BK11" s="16"/>
      <c r="BL11" s="16" t="n">
        <v>2.24404692251784</v>
      </c>
      <c r="BM11" s="8" t="n">
        <v>1.43775056282039</v>
      </c>
      <c r="BN11" s="8" t="n">
        <v>8.01</v>
      </c>
      <c r="BO11" s="8" t="n">
        <v>1.79239168949825</v>
      </c>
      <c r="BP11" s="8" t="n">
        <v>1.47712125471966</v>
      </c>
      <c r="BR11" s="20"/>
      <c r="BS11" s="8"/>
      <c r="BT11" s="8"/>
    </row>
    <row r="12" customFormat="false" ht="13.2" hidden="false" customHeight="false" outlineLevel="0" collapsed="false">
      <c r="A12" s="0" t="s">
        <v>98</v>
      </c>
      <c r="B12" s="8" t="n">
        <v>17.72</v>
      </c>
      <c r="C12" s="8" t="n">
        <v>487.44</v>
      </c>
      <c r="D12" s="8" t="n">
        <v>19.49</v>
      </c>
      <c r="E12" s="8" t="n">
        <v>524.97</v>
      </c>
      <c r="F12" s="8" t="n">
        <v>489.955</v>
      </c>
      <c r="G12" s="8" t="n">
        <f aca="false">B12+(D12-B12)*((F12-C12)/(E12-C12))</f>
        <v>17.8386131095124</v>
      </c>
      <c r="H12" s="15" t="n">
        <v>0.259</v>
      </c>
      <c r="I12" s="8" t="n">
        <v>5.8288</v>
      </c>
      <c r="J12" s="0" t="s">
        <v>99</v>
      </c>
      <c r="K12" s="8" t="n">
        <v>3.54</v>
      </c>
      <c r="L12" s="8" t="n">
        <v>89.797</v>
      </c>
      <c r="M12" s="8" t="n">
        <v>3.86</v>
      </c>
      <c r="N12" s="8" t="n">
        <v>104.5</v>
      </c>
      <c r="O12" s="8" t="n">
        <f aca="false">206.62/2</f>
        <v>103.31</v>
      </c>
      <c r="P12" s="8" t="n">
        <f aca="false">K12+(M12-K12)*((O12-L12)/(N12-L12))</f>
        <v>3.83410052370265</v>
      </c>
      <c r="Q12" s="15" t="n">
        <v>0.05</v>
      </c>
      <c r="R12" s="8" t="n">
        <v>23.79</v>
      </c>
      <c r="S12" s="8" t="n">
        <v>0.68</v>
      </c>
      <c r="T12" s="8" t="n">
        <v>23.79</v>
      </c>
      <c r="U12" s="8" t="n">
        <v>0.68</v>
      </c>
      <c r="V12" s="8" t="n">
        <v>0.22</v>
      </c>
      <c r="W12" s="8" t="n">
        <v>29</v>
      </c>
      <c r="X12" s="8"/>
      <c r="Y12" s="8" t="n">
        <v>0</v>
      </c>
      <c r="Z12" s="8" t="n">
        <v>18.2</v>
      </c>
      <c r="AA12" s="8" t="n">
        <v>97</v>
      </c>
      <c r="AB12" s="8" t="n">
        <v>7.99</v>
      </c>
      <c r="AC12" s="8" t="n">
        <v>0.903</v>
      </c>
      <c r="AD12" s="8" t="n">
        <v>20.6</v>
      </c>
      <c r="AE12" s="8" t="n">
        <v>0.4</v>
      </c>
      <c r="AF12" s="8" t="n">
        <v>40.07</v>
      </c>
      <c r="AG12" s="8" t="n">
        <f aca="false">AF12-LOG(2.87)</f>
        <v>39.612118103266</v>
      </c>
      <c r="AH12" s="8" t="n">
        <v>39.99</v>
      </c>
      <c r="AI12" s="8" t="n">
        <v>39.99</v>
      </c>
      <c r="AJ12" s="8" t="n">
        <v>168</v>
      </c>
      <c r="AK12" s="8"/>
      <c r="AL12" s="8"/>
      <c r="AM12" s="8"/>
      <c r="AN12" s="8" t="n">
        <f aca="false">G12*SQRT(1-H12)*0.161</f>
        <v>2.47227095394793</v>
      </c>
      <c r="AO12" s="0" t="n">
        <f aca="false">SQRT(G12^2*(1-H12)-I12^2)*0.161</f>
        <v>2.28723851885639</v>
      </c>
      <c r="AP12" s="8" t="n">
        <f aca="false">SQRT(G12^2*(1-H12)-I12^2)*(0.161*PI())/(180*3600)*(Sheet2!N12*10^6)</f>
        <v>200.47157437367</v>
      </c>
      <c r="AQ12" s="8" t="n">
        <f aca="false">LOG(AP12)</f>
        <v>2.30205280105671</v>
      </c>
      <c r="AR12" s="8"/>
      <c r="AS12" s="8" t="n">
        <f aca="false">P12*SQRT(1-Q12)*0.161</f>
        <v>0.60166004775985</v>
      </c>
      <c r="AT12" s="0" t="e">
        <f aca="false">SQRT(P12^2*(1-Q12)-I12^2)*0.161</f>
        <v>#VALUE!</v>
      </c>
      <c r="AU12" s="8" t="e">
        <f aca="false">SQRT(P12^2*(1-Q12)-I12^2)*(0.161*PI())/(180*3600)*(Sheet2!N12*10^6)</f>
        <v>#VALUE!</v>
      </c>
      <c r="AV12" s="8" t="e">
        <f aca="false">LOG(AU12)</f>
        <v>#VALUE!</v>
      </c>
      <c r="AW12" s="0" t="n">
        <f aca="false">LOG(AD12)</f>
        <v>1.31386722036915</v>
      </c>
      <c r="AX12" s="0" t="n">
        <f aca="false">LOG(4*$B$85)+2*LOG($B$81*Z12)+LOG(W12*10^(-14))+Y12*(1+$B$86) - LOG(2.87)</f>
        <v>39.6009701741581</v>
      </c>
      <c r="AY12" s="0" t="n">
        <f aca="false">LOG(4*$B$85)+2*LOG($B$81*Z12)+LOG(R12*10^(-14))+Y12</f>
        <v>39.9728485150304</v>
      </c>
      <c r="AZ12" s="0" t="n">
        <f aca="false">LOG(4*$B$85)+2*LOG($B$81*Z12)+LOG(T12*10^(-14))+Y12</f>
        <v>39.9728485150304</v>
      </c>
      <c r="BA12" s="0" t="n">
        <f aca="false">LOG(AA12)</f>
        <v>1.98677173426624</v>
      </c>
      <c r="BB12" s="0" t="n">
        <f aca="false">LOG(AJ12)</f>
        <v>2.22530928172586</v>
      </c>
      <c r="BC12" s="0" t="n">
        <f aca="false">I12*0.161</f>
        <v>0.9384368</v>
      </c>
      <c r="BD12" s="1" t="n">
        <f aca="false">LOG(4*$B$85)+2*LOG($B$81*Z12)+LOG(W12*10^(-14))+Y12*(1+$B$86)</f>
        <v>40.0588520708921</v>
      </c>
      <c r="BE12" s="8" t="n">
        <v>40.07</v>
      </c>
      <c r="BF12" s="8" t="n">
        <v>39.6009701741581</v>
      </c>
      <c r="BG12" s="8" t="n">
        <v>39.9728485150304</v>
      </c>
      <c r="BH12" s="8" t="n">
        <v>39.9728485150304</v>
      </c>
      <c r="BI12" s="8"/>
      <c r="BJ12" s="16" t="n">
        <v>2.33023762449035</v>
      </c>
      <c r="BK12" s="16"/>
      <c r="BL12" s="16" t="n">
        <v>1.60008622473531</v>
      </c>
      <c r="BM12" s="8" t="n">
        <v>1.31386722036915</v>
      </c>
      <c r="BN12" s="8" t="n">
        <v>7.99</v>
      </c>
      <c r="BO12" s="8" t="n">
        <v>1.98677173426624</v>
      </c>
      <c r="BP12" s="8" t="n">
        <v>2.22530928172586</v>
      </c>
      <c r="BR12" s="20"/>
      <c r="BS12" s="8" t="s">
        <v>100</v>
      </c>
      <c r="BT12" s="8"/>
      <c r="BZ12" s="0" t="s">
        <v>100</v>
      </c>
      <c r="CG12" s="0" t="s">
        <v>100</v>
      </c>
      <c r="CN12" s="0" t="s">
        <v>100</v>
      </c>
      <c r="CO12" s="18"/>
      <c r="CP12" s="18"/>
      <c r="CQ12" s="18"/>
      <c r="CU12" s="0" t="s">
        <v>100</v>
      </c>
      <c r="DC12" s="0" t="s">
        <v>100</v>
      </c>
      <c r="DJ12" s="0" t="s">
        <v>100</v>
      </c>
      <c r="DQ12" s="0" t="s">
        <v>100</v>
      </c>
      <c r="DX12" s="0" t="s">
        <v>100</v>
      </c>
    </row>
    <row r="13" customFormat="false" ht="13.2" hidden="false" customHeight="false" outlineLevel="0" collapsed="false">
      <c r="A13" s="0" t="s">
        <v>101</v>
      </c>
      <c r="B13" s="8" t="n">
        <v>25.94</v>
      </c>
      <c r="C13" s="8" t="n">
        <v>606.03</v>
      </c>
      <c r="D13" s="8" t="n">
        <v>28.53</v>
      </c>
      <c r="E13" s="8" t="n">
        <v>640.91</v>
      </c>
      <c r="F13" s="8" t="n">
        <v>629.6</v>
      </c>
      <c r="G13" s="8" t="n">
        <f aca="false">B13+(D13-B13)*((F13-C13)/(E13-C13))</f>
        <v>27.6901806192661</v>
      </c>
      <c r="H13" s="15" t="n">
        <v>0.4119</v>
      </c>
      <c r="I13" s="8" t="n">
        <v>7.0309</v>
      </c>
      <c r="J13" s="0" t="s">
        <v>102</v>
      </c>
      <c r="K13" s="8" t="n">
        <v>3.81</v>
      </c>
      <c r="L13" s="8" t="n">
        <v>87.892</v>
      </c>
      <c r="M13" s="8" t="n">
        <v>4.08</v>
      </c>
      <c r="N13" s="8" t="n">
        <v>90.799</v>
      </c>
      <c r="O13" s="8" t="n">
        <f aca="false">179.6/2</f>
        <v>89.8</v>
      </c>
      <c r="P13" s="8" t="n">
        <f aca="false">K13+(M13-K13)*((O13-L13)/(N13-L13))</f>
        <v>3.98721362229102</v>
      </c>
      <c r="Q13" s="15" t="n">
        <v>0.05</v>
      </c>
      <c r="R13" s="8" t="n">
        <v>34.47</v>
      </c>
      <c r="S13" s="8" t="n">
        <v>0.63</v>
      </c>
      <c r="T13" s="8" t="n">
        <v>34.47</v>
      </c>
      <c r="U13" s="8" t="n">
        <v>0.63</v>
      </c>
      <c r="V13" s="8" t="n">
        <v>0.6</v>
      </c>
      <c r="W13" s="8" t="n">
        <v>35</v>
      </c>
      <c r="X13" s="8"/>
      <c r="Y13" s="8" t="n">
        <v>0.61</v>
      </c>
      <c r="Z13" s="8" t="n">
        <v>11.8</v>
      </c>
      <c r="AA13" s="8" t="n">
        <v>184</v>
      </c>
      <c r="AB13" s="8" t="n">
        <v>8.07</v>
      </c>
      <c r="AC13" s="8" t="n">
        <v>1.329</v>
      </c>
      <c r="AD13" s="8" t="n">
        <v>32.9</v>
      </c>
      <c r="AE13" s="8" t="n">
        <v>0.4</v>
      </c>
      <c r="AF13" s="8" t="n">
        <v>40.17</v>
      </c>
      <c r="AG13" s="8" t="n">
        <f aca="false">AF13-LOG(2.87)</f>
        <v>39.712118103266</v>
      </c>
      <c r="AH13" s="8" t="n">
        <v>40.29</v>
      </c>
      <c r="AI13" s="8" t="n">
        <v>40.29</v>
      </c>
      <c r="AJ13" s="8" t="n">
        <v>211</v>
      </c>
      <c r="AK13" s="8" t="n">
        <v>4.96</v>
      </c>
      <c r="AL13" s="8" t="n">
        <v>0.437</v>
      </c>
      <c r="AM13" s="8"/>
      <c r="AN13" s="8" t="n">
        <f aca="false">G13*SQRT(1-H13)*0.161</f>
        <v>3.41882801718779</v>
      </c>
      <c r="AO13" s="0" t="n">
        <f aca="false">SQRT(G13^2*(1-H13)-I13^2)*0.161</f>
        <v>3.22599098524441</v>
      </c>
      <c r="AP13" s="8" t="n">
        <f aca="false">SQRT(G13^2*(1-H13)-I13^2)*(0.161*PI())/(180*3600)*(Sheet2!N13*10^6)</f>
        <v>183.603920274586</v>
      </c>
      <c r="AQ13" s="8" t="n">
        <f aca="false">LOG(AP13)</f>
        <v>2.26388194993409</v>
      </c>
      <c r="AR13" s="8"/>
      <c r="AS13" s="8" t="n">
        <f aca="false">P13*SQRT(1-Q13)*0.161</f>
        <v>0.625687074083191</v>
      </c>
      <c r="AT13" s="0" t="e">
        <f aca="false">SQRT(P13^2*(1-Q13)-I13^2)*0.161</f>
        <v>#VALUE!</v>
      </c>
      <c r="AU13" s="8" t="e">
        <f aca="false">SQRT(P13^2*(1-Q13)-I13^2)*(0.161*PI())/(180*3600)*(Sheet2!N13*10^6)</f>
        <v>#VALUE!</v>
      </c>
      <c r="AV13" s="8" t="e">
        <f aca="false">LOG(AU13)</f>
        <v>#VALUE!</v>
      </c>
      <c r="AW13" s="0" t="n">
        <f aca="false">LOG(AD13)</f>
        <v>1.51719589794997</v>
      </c>
      <c r="AX13" s="0" t="n">
        <f aca="false">LOG(4*$B$85)+2*LOG($B$81*Z13)+LOG(W13*10^(-14))+Y13*(1+$B$86) - LOG(2.87)</f>
        <v>39.7119114592515</v>
      </c>
      <c r="AY13" s="0" t="n">
        <f aca="false">LOG(4*$B$85)+2*LOG($B$81*Z13)+LOG(R13*10^(-14))+Y13</f>
        <v>40.3675165950432</v>
      </c>
      <c r="AZ13" s="0" t="n">
        <f aca="false">LOG(4*$B$85)+2*LOG($B$81*Z13)+LOG(T13*10^(-14))+Y13</f>
        <v>40.3675165950432</v>
      </c>
      <c r="BA13" s="0" t="n">
        <f aca="false">LOG(AA13)</f>
        <v>2.26481782300954</v>
      </c>
      <c r="BB13" s="0" t="n">
        <f aca="false">LOG(AJ13)</f>
        <v>2.32428245529769</v>
      </c>
      <c r="BC13" s="0" t="n">
        <f aca="false">I13*0.161</f>
        <v>1.1319749</v>
      </c>
      <c r="BD13" s="1" t="n">
        <f aca="false">LOG(4*$B$85)+2*LOG($B$81*Z13)+LOG(W13*10^(-14))+Y13*(1+$B$86)</f>
        <v>40.1697933559855</v>
      </c>
      <c r="BE13" s="8" t="n">
        <v>40.17</v>
      </c>
      <c r="BF13" s="8" t="n">
        <v>39.7119114592515</v>
      </c>
      <c r="BG13" s="8" t="n">
        <v>40.3675165950432</v>
      </c>
      <c r="BH13" s="8" t="n">
        <v>40.3675165950432</v>
      </c>
      <c r="BI13" s="8"/>
      <c r="BJ13" s="16" t="n">
        <v>2.28501935429668</v>
      </c>
      <c r="BK13" s="16"/>
      <c r="BL13" s="16" t="n">
        <v>1.37561164684667</v>
      </c>
      <c r="BM13" s="8" t="n">
        <v>1.51719589794997</v>
      </c>
      <c r="BN13" s="8" t="n">
        <v>8.07</v>
      </c>
      <c r="BO13" s="8" t="n">
        <v>2.26481782300954</v>
      </c>
      <c r="BP13" s="8" t="n">
        <v>2.32428245529769</v>
      </c>
      <c r="BR13" s="20"/>
      <c r="BS13" s="8" t="s">
        <v>103</v>
      </c>
      <c r="BT13" s="8" t="n">
        <f aca="false">$BS$8</f>
        <v>0.371784518276731</v>
      </c>
      <c r="BZ13" s="0" t="s">
        <v>103</v>
      </c>
      <c r="CA13" s="0" t="n">
        <f aca="false">$BZ$8</f>
        <v>0.59225748213699</v>
      </c>
      <c r="CG13" s="0" t="s">
        <v>103</v>
      </c>
      <c r="CH13" s="0" t="n">
        <f aca="false">$CG$8</f>
        <v>0.395149540630276</v>
      </c>
      <c r="CN13" s="0" t="s">
        <v>103</v>
      </c>
      <c r="CO13" s="0" t="n">
        <f aca="false">$CN$8</f>
        <v>0.521628526575906</v>
      </c>
      <c r="CU13" s="0" t="s">
        <v>103</v>
      </c>
      <c r="CV13" s="0" t="n">
        <f aca="false">$CU$8</f>
        <v>0.767705392010782</v>
      </c>
      <c r="DC13" s="0" t="s">
        <v>103</v>
      </c>
      <c r="DD13" s="0" t="e">
        <f aca="false">$DC$8</f>
        <v>#VALUE!</v>
      </c>
      <c r="DJ13" s="0" t="s">
        <v>103</v>
      </c>
      <c r="DK13" s="0" t="n">
        <f aca="false">$DJ$8</f>
        <v>0.43143693459796</v>
      </c>
      <c r="DQ13" s="0" t="s">
        <v>103</v>
      </c>
      <c r="DR13" s="0" t="n">
        <f aca="false">$DQ$8</f>
        <v>0.442000694492769</v>
      </c>
      <c r="DX13" s="0" t="s">
        <v>103</v>
      </c>
      <c r="DY13" s="0" t="n">
        <f aca="false">$DX$8</f>
        <v>0.466487585884608</v>
      </c>
    </row>
    <row r="14" customFormat="false" ht="13.2" hidden="false" customHeight="false" outlineLevel="0" collapsed="false">
      <c r="A14" s="0" t="s">
        <v>104</v>
      </c>
      <c r="B14" s="8" t="n">
        <v>16.27</v>
      </c>
      <c r="C14" s="8" t="n">
        <v>1384.4</v>
      </c>
      <c r="D14" s="8" t="n">
        <v>17.89</v>
      </c>
      <c r="E14" s="8" t="n">
        <v>1531.3</v>
      </c>
      <c r="F14" s="8" t="n">
        <v>1473.85</v>
      </c>
      <c r="G14" s="8" t="n">
        <f aca="false">B14+(D14-B14)*((F14-C14)/(E14-C14))</f>
        <v>17.2564465622873</v>
      </c>
      <c r="H14" s="15" t="n">
        <v>0.5827</v>
      </c>
      <c r="I14" s="8" t="n">
        <v>9.63</v>
      </c>
      <c r="J14" s="0" t="s">
        <v>105</v>
      </c>
      <c r="K14" s="8" t="n">
        <v>5.62</v>
      </c>
      <c r="L14" s="8" t="n">
        <v>206.14</v>
      </c>
      <c r="M14" s="8" t="n">
        <v>5.96</v>
      </c>
      <c r="N14" s="8" t="n">
        <v>223.59</v>
      </c>
      <c r="O14" s="8" t="n">
        <f aca="false">440.02/2</f>
        <v>220.01</v>
      </c>
      <c r="P14" s="8" t="n">
        <f aca="false">K14+(M14-K14)*((O14-L14)/(N14-L14))</f>
        <v>5.89024641833811</v>
      </c>
      <c r="Q14" s="15" t="n">
        <v>0.234</v>
      </c>
      <c r="R14" s="8" t="n">
        <v>21.8</v>
      </c>
      <c r="S14" s="8" t="n">
        <v>1.08</v>
      </c>
      <c r="T14" s="8" t="n">
        <v>21.8</v>
      </c>
      <c r="U14" s="8" t="n">
        <v>1.08</v>
      </c>
      <c r="V14" s="8" t="n">
        <v>0.4</v>
      </c>
      <c r="W14" s="8" t="n">
        <v>27</v>
      </c>
      <c r="X14" s="8"/>
      <c r="Y14" s="8" t="n">
        <v>0.3</v>
      </c>
      <c r="Z14" s="8" t="n">
        <v>19.2</v>
      </c>
      <c r="AA14" s="8" t="n">
        <v>49</v>
      </c>
      <c r="AB14" s="8" t="n">
        <v>8.07</v>
      </c>
      <c r="AC14" s="8" t="n">
        <v>0.901</v>
      </c>
      <c r="AD14" s="8" t="n">
        <v>21</v>
      </c>
      <c r="AE14" s="8" t="n">
        <v>1.2</v>
      </c>
      <c r="AF14" s="8" t="n">
        <v>40.27</v>
      </c>
      <c r="AG14" s="8" t="n">
        <f aca="false">AF14-LOG(2.87)</f>
        <v>39.812118103266</v>
      </c>
      <c r="AH14" s="8" t="n">
        <v>40.25</v>
      </c>
      <c r="AI14" s="8" t="n">
        <v>40.25</v>
      </c>
      <c r="AJ14" s="8" t="n">
        <v>55</v>
      </c>
      <c r="AK14" s="8" t="n">
        <v>21.11648</v>
      </c>
      <c r="AL14" s="22" t="n">
        <v>0.4928347</v>
      </c>
      <c r="AM14" s="8"/>
      <c r="AN14" s="8" t="n">
        <f aca="false">G14*SQRT(1-H14)*0.161</f>
        <v>1.7947395747854</v>
      </c>
      <c r="AO14" s="0" t="n">
        <f aca="false">SQRT(G14^2*(1-H14)-I14^2)*0.161</f>
        <v>0.904022652592776</v>
      </c>
      <c r="AP14" s="8" t="n">
        <f aca="false">SQRT(G14^2*(1-H14)-I14^2)*(0.161*PI())/(180*3600)*(Sheet2!N14*10^6)</f>
        <v>83.4710884595773</v>
      </c>
      <c r="AQ14" s="8" t="n">
        <f aca="false">LOG(AP14)</f>
        <v>1.92153607672044</v>
      </c>
      <c r="AR14" s="8"/>
      <c r="AS14" s="8" t="n">
        <f aca="false">P14*SQRT(1-Q14)*0.161</f>
        <v>0.82999165280762</v>
      </c>
      <c r="AT14" s="0" t="e">
        <f aca="false">SQRT(P14^2*(1-Q14)-I14^2)*0.161</f>
        <v>#VALUE!</v>
      </c>
      <c r="AU14" s="8" t="e">
        <f aca="false">SQRT(P14^2*(1-Q14)-I14^2)*(0.161*PI())/(180*3600)*(Sheet2!N14*10^6)</f>
        <v>#VALUE!</v>
      </c>
      <c r="AV14" s="8" t="e">
        <f aca="false">LOG(AU14)</f>
        <v>#VALUE!</v>
      </c>
      <c r="AW14" s="0" t="n">
        <f aca="false">LOG(AD14)</f>
        <v>1.32221929473392</v>
      </c>
      <c r="AX14" s="0" t="n">
        <f aca="false">LOG(4*$B$85)+2*LOG($B$81*Z14)+LOG(W14*10^(-14))+Y14*(1+$B$86) - LOG(2.87)</f>
        <v>39.8158956218551</v>
      </c>
      <c r="AY14" s="0" t="n">
        <f aca="false">LOG(4*$B$85)+2*LOG($B$81*Z14)+LOG(R14*10^(-14))+Y14</f>
        <v>40.2813702480347</v>
      </c>
      <c r="AZ14" s="0" t="n">
        <f aca="false">LOG(4*$B$85)+2*LOG($B$81*Z14)+LOG(T14*10^(-14))+Y14</f>
        <v>40.2813702480347</v>
      </c>
      <c r="BA14" s="0" t="n">
        <f aca="false">LOG(AA14)</f>
        <v>1.69019608002851</v>
      </c>
      <c r="BB14" s="0" t="n">
        <f aca="false">LOG(AJ14)</f>
        <v>1.74036268949424</v>
      </c>
      <c r="BC14" s="0" t="n">
        <f aca="false">I14*0.161</f>
        <v>1.55043</v>
      </c>
      <c r="BD14" s="1" t="n">
        <f aca="false">LOG(4*$B$85)+2*LOG($B$81*Z14)+LOG(W14*10^(-14))+Y14*(1+$B$86)</f>
        <v>40.2737775185891</v>
      </c>
      <c r="BE14" s="8" t="n">
        <v>40.27</v>
      </c>
      <c r="BF14" s="8" t="n">
        <v>39.8158956218551</v>
      </c>
      <c r="BG14" s="8" t="n">
        <v>40.2813702480347</v>
      </c>
      <c r="BH14" s="8" t="n">
        <v>40.2813702480347</v>
      </c>
      <c r="BI14" s="8"/>
      <c r="BJ14" s="16" t="n">
        <v>2.18948247828467</v>
      </c>
      <c r="BK14" s="16"/>
      <c r="BL14" s="16" t="n">
        <v>1.68490801536986</v>
      </c>
      <c r="BM14" s="8" t="n">
        <v>1.32221929473392</v>
      </c>
      <c r="BN14" s="8" t="n">
        <v>8.07</v>
      </c>
      <c r="BO14" s="8" t="n">
        <v>1.69019608002851</v>
      </c>
      <c r="BP14" s="8" t="n">
        <v>1.74036268949424</v>
      </c>
      <c r="BR14" s="20"/>
      <c r="BS14" s="8" t="s">
        <v>106</v>
      </c>
      <c r="BT14" s="8" t="n">
        <f aca="false">$BT$8</f>
        <v>0.223212335185529</v>
      </c>
      <c r="BZ14" s="0" t="s">
        <v>106</v>
      </c>
      <c r="CA14" s="0" t="n">
        <f aca="false">$CA$8</f>
        <v>0.316473047140192</v>
      </c>
      <c r="CG14" s="0" t="s">
        <v>106</v>
      </c>
      <c r="CH14" s="0" t="n">
        <f aca="false">$CH$8</f>
        <v>0.365709346014526</v>
      </c>
      <c r="CN14" s="0" t="s">
        <v>106</v>
      </c>
      <c r="CO14" s="0" t="n">
        <f aca="false">$CO$8</f>
        <v>0.347181884651727</v>
      </c>
      <c r="CU14" s="0" t="s">
        <v>106</v>
      </c>
      <c r="CV14" s="0" t="n">
        <f aca="false">$CV$8</f>
        <v>0.226637419360183</v>
      </c>
      <c r="DC14" s="0" t="s">
        <v>106</v>
      </c>
      <c r="DD14" s="0" t="e">
        <f aca="false">$DD$8</f>
        <v>#VALUE!</v>
      </c>
      <c r="DJ14" s="0" t="s">
        <v>106</v>
      </c>
      <c r="DK14" s="0" t="n">
        <f aca="false">$DK$8</f>
        <v>0.338433660031872</v>
      </c>
      <c r="DQ14" s="0" t="s">
        <v>106</v>
      </c>
      <c r="DR14" s="0" t="n">
        <f aca="false">$DR$8</f>
        <v>0.277085535113215</v>
      </c>
      <c r="DX14" s="0" t="s">
        <v>106</v>
      </c>
      <c r="DY14" s="0" t="n">
        <f aca="false">$DY$8</f>
        <v>0.326926252136259</v>
      </c>
    </row>
    <row r="15" customFormat="false" ht="13.2" hidden="false" customHeight="false" outlineLevel="0" collapsed="false">
      <c r="A15" s="0" t="s">
        <v>107</v>
      </c>
      <c r="B15" s="8" t="n">
        <v>55.6</v>
      </c>
      <c r="C15" s="8" t="n">
        <v>2993.5</v>
      </c>
      <c r="D15" s="8" t="n">
        <v>61.16</v>
      </c>
      <c r="E15" s="8" t="n">
        <v>3213.3</v>
      </c>
      <c r="F15" s="8" t="n">
        <v>3031</v>
      </c>
      <c r="G15" s="8" t="n">
        <f aca="false">B15+(D15-B15)*((F15-C15)/(E15-C15))</f>
        <v>56.5485896269336</v>
      </c>
      <c r="H15" s="15" t="n">
        <v>0.1897</v>
      </c>
      <c r="I15" s="8" t="n">
        <f aca="false">(4.48+4.57+4.42+4.52)/4</f>
        <v>4.4975</v>
      </c>
      <c r="J15" s="0" t="s">
        <v>108</v>
      </c>
      <c r="K15" s="8" t="n">
        <v>4.08</v>
      </c>
      <c r="L15" s="8" t="n">
        <v>77.321</v>
      </c>
      <c r="M15" s="8" t="n">
        <v>4.37</v>
      </c>
      <c r="N15" s="8" t="n">
        <v>91.736</v>
      </c>
      <c r="O15" s="8" t="n">
        <f aca="false">155.83/2</f>
        <v>77.915</v>
      </c>
      <c r="P15" s="8" t="n">
        <f aca="false">K15+(M15-K15)*((O15-L15)/(N15-L15))</f>
        <v>4.09195005202914</v>
      </c>
      <c r="Q15" s="15" t="n">
        <v>0.05</v>
      </c>
      <c r="R15" s="8" t="n">
        <v>23.93</v>
      </c>
      <c r="S15" s="8" t="n">
        <v>1.43</v>
      </c>
      <c r="T15" s="8" t="n">
        <v>12.27</v>
      </c>
      <c r="U15" s="8" t="n">
        <v>0.78</v>
      </c>
      <c r="V15" s="8" t="n">
        <v>0.27</v>
      </c>
      <c r="W15" s="8" t="n">
        <v>22</v>
      </c>
      <c r="X15" s="8"/>
      <c r="Y15" s="8" t="n">
        <v>0.27</v>
      </c>
      <c r="Z15" s="8" t="n">
        <v>26.2</v>
      </c>
      <c r="AA15" s="8" t="n">
        <v>68</v>
      </c>
      <c r="AB15" s="8" t="n">
        <v>8.27</v>
      </c>
      <c r="AC15" s="8" t="n">
        <v>0.756</v>
      </c>
      <c r="AD15" s="8" t="n">
        <v>17.1</v>
      </c>
      <c r="AE15" s="8" t="n">
        <v>1.2</v>
      </c>
      <c r="AF15" s="8" t="n">
        <v>40.44</v>
      </c>
      <c r="AG15" s="8" t="n">
        <f aca="false">AF15-LOG(2.87)</f>
        <v>39.982118103266</v>
      </c>
      <c r="AH15" s="8" t="n">
        <v>40.37</v>
      </c>
      <c r="AI15" s="8" t="n">
        <v>40.08</v>
      </c>
      <c r="AJ15" s="8" t="n">
        <v>25</v>
      </c>
      <c r="AK15" s="8" t="n">
        <v>1.473564</v>
      </c>
      <c r="AL15" s="8" t="n">
        <v>0.08828162</v>
      </c>
      <c r="AM15" s="8"/>
      <c r="AN15" s="8" t="n">
        <f aca="false">G15*SQRT(1-H15)*0.161</f>
        <v>8.19540788362487</v>
      </c>
      <c r="AO15" s="0" t="n">
        <f aca="false">SQRT(G15^2*(1-H15)-I15^2)*0.161</f>
        <v>8.16335673540453</v>
      </c>
      <c r="AP15" s="8" t="n">
        <f aca="false">SQRT(G15^2*(1-H15)-I15^2)*(0.161*PI())/(180*3600)*(Sheet2!N15*10^6)</f>
        <v>1026.54558621526</v>
      </c>
      <c r="AQ15" s="8" t="n">
        <f aca="false">LOG(AP15)</f>
        <v>3.01137824002141</v>
      </c>
      <c r="AR15" s="8"/>
      <c r="AS15" s="8" t="n">
        <f aca="false">P15*SQRT(1-Q15)*0.161</f>
        <v>0.642122669584369</v>
      </c>
      <c r="AT15" s="0" t="e">
        <f aca="false">SQRT(P15^2*(1-Q15)-I15^2)*0.161</f>
        <v>#VALUE!</v>
      </c>
      <c r="AU15" s="8" t="e">
        <f aca="false">SQRT(P15^2*(1-Q15)-I15^2)*(0.161*PI())/(180*3600)*(Sheet2!N15*10^6)</f>
        <v>#VALUE!</v>
      </c>
      <c r="AV15" s="8" t="e">
        <f aca="false">LOG(AU15)</f>
        <v>#VALUE!</v>
      </c>
      <c r="AW15" s="0" t="n">
        <f aca="false">LOG(AD15)</f>
        <v>1.23299611039215</v>
      </c>
      <c r="AX15" s="0" t="n">
        <f aca="false">LOG(4*$B$85)+2*LOG($B$81*Z15)+LOG(W15*10^(-14))+Y15*(1+$B$86) - LOG(2.87)</f>
        <v>39.9770046637507</v>
      </c>
      <c r="AY15" s="0" t="n">
        <f aca="false">LOG(4*$B$85)+2*LOG($B$81*Z15)+LOG(R15*10^(-14))+Y15</f>
        <v>40.5618565782759</v>
      </c>
      <c r="AZ15" s="0" t="n">
        <f aca="false">LOG(4*$B$85)+2*LOG($B$81*Z15)+LOG(T15*10^(-14))+Y15</f>
        <v>40.2717584423895</v>
      </c>
      <c r="BA15" s="0" t="n">
        <f aca="false">LOG(AA15)</f>
        <v>1.83250891270624</v>
      </c>
      <c r="BB15" s="0" t="n">
        <f aca="false">LOG(AJ15)</f>
        <v>1.39794000867204</v>
      </c>
      <c r="BC15" s="0" t="n">
        <f aca="false">I15*0.161</f>
        <v>0.7240975</v>
      </c>
      <c r="BD15" s="1" t="n">
        <f aca="false">LOG(4*$B$85)+2*LOG($B$81*Z15)+LOG(W15*10^(-14))+Y15*(1+$B$86)</f>
        <v>40.4348865604847</v>
      </c>
      <c r="BE15" s="8" t="n">
        <v>40.44</v>
      </c>
      <c r="BF15" s="8" t="n">
        <v>39.9770046637507</v>
      </c>
      <c r="BG15" s="8" t="n">
        <v>40.5618565782759</v>
      </c>
      <c r="BH15" s="8" t="n">
        <v>40.2717584423895</v>
      </c>
      <c r="BI15" s="8"/>
      <c r="BJ15" s="16" t="n">
        <v>3.01277417174865</v>
      </c>
      <c r="BK15" s="16"/>
      <c r="BL15" s="16" t="n">
        <v>1.85057428008802</v>
      </c>
      <c r="BM15" s="8" t="n">
        <v>1.23299611039215</v>
      </c>
      <c r="BN15" s="8" t="n">
        <v>8.27</v>
      </c>
      <c r="BO15" s="8" t="n">
        <v>1.83250891270624</v>
      </c>
      <c r="BP15" s="8" t="n">
        <v>1.39794000867204</v>
      </c>
      <c r="BR15" s="20"/>
      <c r="BS15" s="8" t="s">
        <v>109</v>
      </c>
      <c r="BT15" s="8" t="n">
        <f aca="false">1</f>
        <v>1</v>
      </c>
      <c r="BZ15" s="0" t="s">
        <v>109</v>
      </c>
      <c r="CA15" s="0" t="n">
        <f aca="false">1</f>
        <v>1</v>
      </c>
      <c r="CG15" s="0" t="s">
        <v>109</v>
      </c>
      <c r="CH15" s="0" t="n">
        <f aca="false">1</f>
        <v>1</v>
      </c>
      <c r="CN15" s="0" t="s">
        <v>109</v>
      </c>
      <c r="CO15" s="0" t="n">
        <f aca="false">1</f>
        <v>1</v>
      </c>
      <c r="CU15" s="0" t="s">
        <v>109</v>
      </c>
      <c r="CV15" s="0" t="n">
        <f aca="false">1</f>
        <v>1</v>
      </c>
      <c r="DC15" s="0" t="s">
        <v>109</v>
      </c>
      <c r="DD15" s="0" t="n">
        <f aca="false">1</f>
        <v>1</v>
      </c>
      <c r="DJ15" s="0" t="s">
        <v>109</v>
      </c>
      <c r="DK15" s="0" t="n">
        <f aca="false">1</f>
        <v>1</v>
      </c>
      <c r="DQ15" s="0" t="s">
        <v>109</v>
      </c>
      <c r="DR15" s="0" t="n">
        <f aca="false">1</f>
        <v>1</v>
      </c>
      <c r="DX15" s="0" t="s">
        <v>109</v>
      </c>
      <c r="DY15" s="0" t="n">
        <f aca="false">1</f>
        <v>1</v>
      </c>
    </row>
    <row r="16" customFormat="false" ht="13.2" hidden="false" customHeight="false" outlineLevel="0" collapsed="false">
      <c r="A16" s="0" t="s">
        <v>110</v>
      </c>
      <c r="B16" s="8" t="n">
        <v>21.06</v>
      </c>
      <c r="C16" s="8" t="n">
        <v>718.42</v>
      </c>
      <c r="D16" s="8" t="n">
        <v>23.16</v>
      </c>
      <c r="E16" s="8" t="n">
        <v>801.75</v>
      </c>
      <c r="F16" s="8" t="n">
        <f aca="false">1485.6/2</f>
        <v>742.8</v>
      </c>
      <c r="G16" s="8" t="n">
        <f aca="false">B16+(D16-B16)*((F16-C16)/(E16-C16))</f>
        <v>21.674400576023</v>
      </c>
      <c r="H16" s="15" t="n">
        <v>0.3866</v>
      </c>
      <c r="I16" s="8" t="n">
        <f aca="false">7/2.355</f>
        <v>2.9723991507431</v>
      </c>
      <c r="J16" s="0" t="s">
        <v>111</v>
      </c>
      <c r="K16" s="8" t="n">
        <v>5</v>
      </c>
      <c r="L16" s="8" t="n">
        <v>68.04</v>
      </c>
      <c r="M16" s="8" t="n">
        <v>5.4</v>
      </c>
      <c r="N16" s="8" t="n">
        <v>81.55</v>
      </c>
      <c r="O16" s="8" t="n">
        <f aca="false">157.02/2</f>
        <v>78.51</v>
      </c>
      <c r="P16" s="8" t="n">
        <f aca="false">K16+(M16-K16)*((O16-L16)/(N16-L16))</f>
        <v>5.3099925980755</v>
      </c>
      <c r="Q16" s="15" t="n">
        <v>0.272</v>
      </c>
      <c r="R16" s="8" t="n">
        <v>25.7</v>
      </c>
      <c r="S16" s="8" t="n">
        <v>0.98</v>
      </c>
      <c r="T16" s="8" t="n">
        <v>7.42</v>
      </c>
      <c r="U16" s="8" t="n">
        <v>0.12</v>
      </c>
      <c r="V16" s="8" t="n">
        <v>0.07</v>
      </c>
      <c r="W16" s="8" t="n">
        <v>15</v>
      </c>
      <c r="X16" s="8"/>
      <c r="Y16" s="8" t="n">
        <v>0.08</v>
      </c>
      <c r="Z16" s="8" t="n">
        <v>13.2</v>
      </c>
      <c r="AA16" s="8" t="n">
        <v>62</v>
      </c>
      <c r="AB16" s="8" t="n">
        <v>7.89</v>
      </c>
      <c r="AC16" s="8" t="n">
        <v>0.782</v>
      </c>
      <c r="AD16" s="8" t="n">
        <v>17.1</v>
      </c>
      <c r="AE16" s="8" t="n">
        <v>1.2</v>
      </c>
      <c r="AF16" s="8" t="n">
        <v>39.55</v>
      </c>
      <c r="AG16" s="8" t="n">
        <f aca="false">AF16-LOG(2.87)</f>
        <v>39.092118103266</v>
      </c>
      <c r="AH16" s="8" t="n">
        <v>39.45</v>
      </c>
      <c r="AI16" s="8" t="n">
        <v>38.91</v>
      </c>
      <c r="AJ16" s="8" t="n">
        <v>109</v>
      </c>
      <c r="AK16" s="8" t="n">
        <v>7.25</v>
      </c>
      <c r="AL16" s="8" t="n">
        <v>0.144</v>
      </c>
      <c r="AM16" s="8"/>
      <c r="AN16" s="8" t="n">
        <f aca="false">G16*SQRT(1-H16)*0.161</f>
        <v>2.73303288530501</v>
      </c>
      <c r="AO16" s="0" t="n">
        <f aca="false">SQRT(G16^2*(1-H16)-I16^2)*0.161</f>
        <v>2.69080892206117</v>
      </c>
      <c r="AP16" s="8" t="n">
        <f aca="false">SQRT(G16^2*(1-H16)-I16^2)*(0.161*PI())/(180*3600)*(Sheet2!N16*10^6)</f>
        <v>171.471598942554</v>
      </c>
      <c r="AQ16" s="8" t="n">
        <f aca="false">LOG(AP16)</f>
        <v>2.23419219759188</v>
      </c>
      <c r="AR16" s="8"/>
      <c r="AS16" s="8" t="n">
        <f aca="false">P16*SQRT(1-Q16)*0.161</f>
        <v>0.729433124637375</v>
      </c>
      <c r="AT16" s="0" t="n">
        <f aca="false">SQRT(P16^2*(1-Q16)-I16^2)*0.161</f>
        <v>0.550505754923274</v>
      </c>
      <c r="AU16" s="8" t="n">
        <f aca="false">SQRT(P16^2*(1-Q16)-I16^2)*(0.161*PI())/(180*3600)*(Sheet2!N16*10^6)</f>
        <v>35.080938393598</v>
      </c>
      <c r="AV16" s="8" t="n">
        <f aca="false">LOG(AU16)</f>
        <v>1.54507120196056</v>
      </c>
      <c r="AW16" s="0" t="n">
        <f aca="false">LOG(AD16)</f>
        <v>1.23299611039215</v>
      </c>
      <c r="AX16" s="0" t="n">
        <f aca="false">LOG(4*$B$85)+2*LOG($B$81*Z16)+LOG(W16*10^(-14))+Y16*(1+$B$86) - LOG(2.87)</f>
        <v>39.0888685217564</v>
      </c>
      <c r="AY16" s="0" t="n">
        <f aca="false">LOG(4*$B$85)+2*LOG($B$81*Z16)+LOG(R16*10^(-14))+Y16</f>
        <v>39.807392282766</v>
      </c>
      <c r="AZ16" s="0" t="n">
        <f aca="false">LOG(4*$B$85)+2*LOG($B$81*Z16)+LOG(T16*10^(-14))+Y16</f>
        <v>39.2678630647137</v>
      </c>
      <c r="BA16" s="0" t="n">
        <f aca="false">LOG(AA16)</f>
        <v>1.79239168949825</v>
      </c>
      <c r="BB16" s="0" t="n">
        <f aca="false">LOG(AJ16)</f>
        <v>2.03742649794062</v>
      </c>
      <c r="BC16" s="0" t="n">
        <f aca="false">I16*0.161</f>
        <v>0.478556263269639</v>
      </c>
      <c r="BD16" s="1" t="n">
        <f aca="false">LOG(4*$B$85)+2*LOG($B$81*Z16)+LOG(W16*10^(-14))+Y16*(1+$B$86)</f>
        <v>39.5467504184904</v>
      </c>
      <c r="BE16" s="8" t="n">
        <v>39.55</v>
      </c>
      <c r="BF16" s="8" t="n">
        <v>39.0888685217564</v>
      </c>
      <c r="BG16" s="8" t="n">
        <v>39.807392282766</v>
      </c>
      <c r="BH16" s="8" t="n">
        <v>39.2678630647137</v>
      </c>
      <c r="BI16" s="8"/>
      <c r="BJ16" s="16" t="n">
        <v>2.23419219759188</v>
      </c>
      <c r="BK16" s="16"/>
      <c r="BL16" s="16" t="n">
        <v>1.54507120196056</v>
      </c>
      <c r="BM16" s="8" t="n">
        <v>1.23299611039215</v>
      </c>
      <c r="BN16" s="8" t="n">
        <v>7.89</v>
      </c>
      <c r="BO16" s="8" t="n">
        <v>1.79239168949825</v>
      </c>
      <c r="BP16" s="8" t="n">
        <v>2.03742649794062</v>
      </c>
      <c r="BR16" s="20"/>
      <c r="BS16" s="8" t="s">
        <v>112</v>
      </c>
      <c r="BT16" s="8" t="n">
        <f aca="false">39</f>
        <v>39</v>
      </c>
      <c r="BZ16" s="0" t="s">
        <v>112</v>
      </c>
      <c r="CA16" s="0" t="n">
        <f aca="false">39</f>
        <v>39</v>
      </c>
      <c r="CG16" s="0" t="s">
        <v>112</v>
      </c>
      <c r="CH16" s="0" t="n">
        <f aca="false">39</f>
        <v>39</v>
      </c>
      <c r="CN16" s="0" t="s">
        <v>112</v>
      </c>
      <c r="CO16" s="0" t="n">
        <f aca="false">39</f>
        <v>39</v>
      </c>
      <c r="CU16" s="0" t="s">
        <v>112</v>
      </c>
      <c r="CV16" s="0" t="n">
        <f aca="false">39</f>
        <v>39</v>
      </c>
      <c r="DC16" s="0" t="s">
        <v>112</v>
      </c>
      <c r="DD16" s="0" t="n">
        <f aca="false">16</f>
        <v>16</v>
      </c>
      <c r="DJ16" s="0" t="s">
        <v>112</v>
      </c>
      <c r="DK16" s="0" t="n">
        <f aca="false">16</f>
        <v>16</v>
      </c>
      <c r="DQ16" s="0" t="s">
        <v>112</v>
      </c>
      <c r="DR16" s="0" t="n">
        <f aca="false">16</f>
        <v>16</v>
      </c>
      <c r="DX16" s="0" t="s">
        <v>112</v>
      </c>
      <c r="DY16" s="0" t="n">
        <f aca="false">16</f>
        <v>16</v>
      </c>
    </row>
    <row r="17" customFormat="false" ht="13.2" hidden="false" customHeight="false" outlineLevel="0" collapsed="false">
      <c r="A17" s="0" t="s">
        <v>113</v>
      </c>
      <c r="B17" s="8" t="n">
        <v>8.9</v>
      </c>
      <c r="C17" s="8" t="n">
        <v>118.12</v>
      </c>
      <c r="D17" s="8" t="n">
        <v>9.43</v>
      </c>
      <c r="E17" s="8" t="n">
        <v>124</v>
      </c>
      <c r="F17" s="8" t="n">
        <v>123.78</v>
      </c>
      <c r="G17" s="8" t="n">
        <f aca="false">B17+(D17-B17)*((F17-C17)/(E17-C17))</f>
        <v>9.41017006802721</v>
      </c>
      <c r="H17" s="15" t="n">
        <v>0.0637</v>
      </c>
      <c r="I17" s="8" t="n">
        <f aca="false">(5.92+5.98+5.73+5.57+5.82+5.86+5.68+5.53)/8/2.355</f>
        <v>2.4463906581741</v>
      </c>
      <c r="J17" s="0" t="s">
        <v>114</v>
      </c>
      <c r="K17" s="8" t="n">
        <v>3.54</v>
      </c>
      <c r="L17" s="8" t="n">
        <v>31.611</v>
      </c>
      <c r="M17" s="8" t="n">
        <v>3.86</v>
      </c>
      <c r="N17" s="8" t="n">
        <v>37.369</v>
      </c>
      <c r="O17" s="8" t="n">
        <f aca="false">64.707/2</f>
        <v>32.3535</v>
      </c>
      <c r="P17" s="8" t="n">
        <f aca="false">K17+(M17-K17)*((O17-L17)/(N17-L17))</f>
        <v>3.58126432789163</v>
      </c>
      <c r="Q17" s="15" t="n">
        <v>0.05</v>
      </c>
      <c r="R17" s="8" t="n">
        <v>1.09</v>
      </c>
      <c r="S17" s="8" t="n">
        <v>0.04</v>
      </c>
      <c r="T17" s="8" t="n">
        <v>1.09</v>
      </c>
      <c r="U17" s="8" t="n">
        <v>0.04</v>
      </c>
      <c r="V17" s="8" t="n">
        <v>0.14</v>
      </c>
      <c r="W17" s="8" t="n">
        <v>1.8</v>
      </c>
      <c r="X17" s="8"/>
      <c r="Y17" s="8" t="n">
        <v>0.14</v>
      </c>
      <c r="Z17" s="8" t="n">
        <v>48.4</v>
      </c>
      <c r="AA17" s="8" t="n">
        <v>34</v>
      </c>
      <c r="AB17" s="8" t="n">
        <v>8.27</v>
      </c>
      <c r="AC17" s="8" t="n">
        <v>0.975</v>
      </c>
      <c r="AD17" s="8" t="n">
        <v>22.6</v>
      </c>
      <c r="AE17" s="8" t="n">
        <v>2.9</v>
      </c>
      <c r="AF17" s="8" t="n">
        <v>39.8</v>
      </c>
      <c r="AG17" s="8" t="n">
        <f aca="false">AF17-LOG(2.87)</f>
        <v>39.342118103266</v>
      </c>
      <c r="AH17" s="8" t="n">
        <v>39.47</v>
      </c>
      <c r="AI17" s="8" t="n">
        <v>39.47</v>
      </c>
      <c r="AJ17" s="8" t="n">
        <v>23</v>
      </c>
      <c r="AK17" s="8"/>
      <c r="AL17" s="8"/>
      <c r="AM17" s="8"/>
      <c r="AN17" s="8" t="n">
        <f aca="false">G17*SQRT(1-H17)*0.161</f>
        <v>1.46598950138091</v>
      </c>
      <c r="AO17" s="0" t="n">
        <f aca="false">SQRT(G17^2*(1-H17)-I17^2)*0.161</f>
        <v>1.41208799688601</v>
      </c>
      <c r="AP17" s="8" t="n">
        <f aca="false">SQRT(G17^2*(1-H17)-I17^2)*(0.161*PI())/(180*3600)*(Sheet2!N17*10^6)</f>
        <v>324.553814926277</v>
      </c>
      <c r="AQ17" s="8" t="n">
        <f aca="false">LOG(AP17)</f>
        <v>2.51128671835605</v>
      </c>
      <c r="AR17" s="8"/>
      <c r="AS17" s="8" t="n">
        <f aca="false">P17*SQRT(1-Q17)*0.161</f>
        <v>0.561984135063599</v>
      </c>
      <c r="AT17" s="0" t="n">
        <f aca="false">SQRT(P17^2*(1-Q17)-I17^2)*0.161</f>
        <v>0.4008658888627</v>
      </c>
      <c r="AU17" s="8" t="n">
        <f aca="false">SQRT(P17^2*(1-Q17)-I17^2)*(0.161*PI())/(180*3600)*(Sheet2!N17*10^6)</f>
        <v>92.1348767152682</v>
      </c>
      <c r="AV17" s="8" t="n">
        <f aca="false">LOG(AU17)</f>
        <v>1.96442405905461</v>
      </c>
      <c r="AW17" s="0" t="n">
        <f aca="false">LOG(AD17)</f>
        <v>1.3541084391474</v>
      </c>
      <c r="AX17" s="0" t="n">
        <f aca="false">LOG(4*$B$85)+2*LOG($B$81*Z17)+LOG(W17*10^(-14))+Y17*(1+$B$86) - LOG(2.87)</f>
        <v>39.3364926286811</v>
      </c>
      <c r="AY17" s="0" t="n">
        <f aca="false">LOG(4*$B$85)+2*LOG($B$81*Z17)+LOG(R17*10^(-14))+Y17</f>
        <v>39.6234285182525</v>
      </c>
      <c r="AZ17" s="0" t="n">
        <f aca="false">LOG(4*$B$85)+2*LOG($B$81*Z17)+LOG(T17*10^(-14))+Y17</f>
        <v>39.6234285182525</v>
      </c>
      <c r="BA17" s="0" t="n">
        <f aca="false">LOG(AA17)</f>
        <v>1.53147891704226</v>
      </c>
      <c r="BB17" s="0" t="n">
        <f aca="false">LOG(AJ17)</f>
        <v>1.36172783601759</v>
      </c>
      <c r="BC17" s="0" t="n">
        <f aca="false">I17*0.161</f>
        <v>0.39386889596603</v>
      </c>
      <c r="BD17" s="1" t="n">
        <f aca="false">LOG(4*$B$85)+2*LOG($B$81*Z17)+LOG(W17*10^(-14))+Y17*(1+$B$86)</f>
        <v>39.7943745254151</v>
      </c>
      <c r="BE17" s="8" t="n">
        <v>39.8</v>
      </c>
      <c r="BF17" s="8" t="n">
        <v>39.3364926286811</v>
      </c>
      <c r="BG17" s="8" t="n">
        <v>39.6234285182525</v>
      </c>
      <c r="BH17" s="8" t="n">
        <v>39.6234285182525</v>
      </c>
      <c r="BI17" s="8"/>
      <c r="BJ17" s="16" t="n">
        <v>2.51128671835605</v>
      </c>
      <c r="BK17" s="16"/>
      <c r="BL17" s="16" t="n">
        <v>1.96442405905461</v>
      </c>
      <c r="BM17" s="8" t="n">
        <v>1.3541084391474</v>
      </c>
      <c r="BN17" s="8" t="n">
        <v>8.27</v>
      </c>
      <c r="BO17" s="8" t="n">
        <v>1.53147891704226</v>
      </c>
      <c r="BP17" s="8" t="n">
        <v>1.36172783601759</v>
      </c>
      <c r="BR17" s="20"/>
      <c r="BS17" s="8" t="s">
        <v>115</v>
      </c>
      <c r="BT17" s="8" t="n">
        <f aca="false">1 - (1 - $BS$8)*($BT$16 - 1)/($BT$16 - $BT$15 - 1)</f>
        <v>0.354805721473399</v>
      </c>
      <c r="BZ17" s="0" t="s">
        <v>115</v>
      </c>
      <c r="CA17" s="0" t="n">
        <f aca="false">1 - (1 - $BZ$8)*($CA$16 - 1)/($CA$16 - $CA$15 - 1)</f>
        <v>0.581237414086639</v>
      </c>
      <c r="CG17" s="0" t="s">
        <v>115</v>
      </c>
      <c r="CH17" s="0" t="n">
        <f aca="false">1 - (1 - $CG$8)*($CH$16 - 1)/($CH$16 - $CH$15 - 1)</f>
        <v>0.37880223091758</v>
      </c>
      <c r="CN17" s="0" t="s">
        <v>115</v>
      </c>
      <c r="CO17" s="0" t="n">
        <f aca="false">1 - (1 - $CN$8)*($CO$16 - 1)/($CO$16 - $CO$15 - 1)</f>
        <v>0.508699567834715</v>
      </c>
      <c r="CU17" s="0" t="s">
        <v>115</v>
      </c>
      <c r="CV17" s="0" t="n">
        <f aca="false">1 - (1 - $CU$8)*($CV$16 - 1)/($CV$16 - $CV$15 - 1)</f>
        <v>0.761427159362425</v>
      </c>
      <c r="DC17" s="0" t="s">
        <v>115</v>
      </c>
      <c r="DD17" s="0" t="e">
        <f aca="false">1 - (1 - $DC$8)*($DD$16 - 1)/($DD$16 - $DD$15 - 1)</f>
        <v>#VALUE!</v>
      </c>
      <c r="DJ17" s="0" t="s">
        <v>115</v>
      </c>
      <c r="DK17" s="0" t="n">
        <f aca="false">1 - (1 - $DJ$8)*($DK$16 - 1)/($DK$16 - $DK$15 - 1)</f>
        <v>0.390825287069243</v>
      </c>
      <c r="DQ17" s="0" t="s">
        <v>115</v>
      </c>
      <c r="DR17" s="0" t="n">
        <f aca="false">1 - (1 - $DQ$8)*($DR$16 - 1)/($DR$16 - $DR$15 - 1)</f>
        <v>0.402143601242252</v>
      </c>
      <c r="DX17" s="0" t="s">
        <v>115</v>
      </c>
      <c r="DY17" s="0" t="n">
        <f aca="false">1 - (1 - $DX$8)*($DY$16 - 1)/($DY$16 - $DY$15 - 1)</f>
        <v>0.428379556304937</v>
      </c>
    </row>
    <row r="18" customFormat="false" ht="13.2" hidden="false" customHeight="false" outlineLevel="0" collapsed="false">
      <c r="A18" s="0" t="s">
        <v>116</v>
      </c>
      <c r="B18" s="8" t="n">
        <v>13.31</v>
      </c>
      <c r="C18" s="8" t="n">
        <v>142.74</v>
      </c>
      <c r="D18" s="8" t="n">
        <v>14.64</v>
      </c>
      <c r="E18" s="8" t="n">
        <v>161.94</v>
      </c>
      <c r="F18" s="8" t="n">
        <v>152.725</v>
      </c>
      <c r="G18" s="8" t="n">
        <f aca="false">B18+(D18-B18)*((F18-C18)/(E18-C18))</f>
        <v>14.0016692708333</v>
      </c>
      <c r="H18" s="15" t="n">
        <v>0.1861</v>
      </c>
      <c r="I18" s="8" t="n">
        <f aca="false">(6.14+6.03+5.65+5.89)/4/2.355</f>
        <v>2.51698513800425</v>
      </c>
      <c r="J18" s="0" t="s">
        <v>117</v>
      </c>
      <c r="K18" s="8" t="n">
        <v>3.97</v>
      </c>
      <c r="L18" s="8" t="n">
        <v>27.549</v>
      </c>
      <c r="M18" s="8" t="n">
        <v>4.29</v>
      </c>
      <c r="N18" s="8" t="n">
        <v>32.179</v>
      </c>
      <c r="O18" s="8" t="n">
        <f aca="false">57.887/2</f>
        <v>28.9435</v>
      </c>
      <c r="P18" s="8" t="n">
        <f aca="false">K18+(M18-K18)*((O18-L18)/(N18-L18))</f>
        <v>4.06638012958963</v>
      </c>
      <c r="Q18" s="15" t="n">
        <v>0.1</v>
      </c>
      <c r="R18" s="8" t="n">
        <v>0.49</v>
      </c>
      <c r="S18" s="8" t="n">
        <v>0.02</v>
      </c>
      <c r="T18" s="8" t="n">
        <v>0.49</v>
      </c>
      <c r="U18" s="8" t="n">
        <v>0.02</v>
      </c>
      <c r="V18" s="8" t="n">
        <v>0.51</v>
      </c>
      <c r="W18" s="8" t="n">
        <v>2.1</v>
      </c>
      <c r="X18" s="8"/>
      <c r="Y18" s="8" t="n">
        <v>0.52</v>
      </c>
      <c r="Z18" s="8" t="n">
        <v>104.7</v>
      </c>
      <c r="AA18" s="8" t="n">
        <v>22</v>
      </c>
      <c r="AB18" s="8" t="n">
        <v>8.49</v>
      </c>
      <c r="AC18" s="8" t="n">
        <v>1.346</v>
      </c>
      <c r="AD18" s="8" t="n">
        <v>30.6</v>
      </c>
      <c r="AE18" s="8" t="n">
        <v>2.9</v>
      </c>
      <c r="AF18" s="8" t="n">
        <v>40.79</v>
      </c>
      <c r="AG18" s="8" t="n">
        <f aca="false">AF18-LOG(2.87)</f>
        <v>40.332118103266</v>
      </c>
      <c r="AH18" s="8" t="n">
        <v>40.28</v>
      </c>
      <c r="AI18" s="8" t="n">
        <v>40.28</v>
      </c>
      <c r="AJ18" s="8" t="n">
        <v>12</v>
      </c>
      <c r="AK18" s="8"/>
      <c r="AL18" s="8"/>
      <c r="AM18" s="8"/>
      <c r="AN18" s="8" t="n">
        <f aca="false">G18*SQRT(1-H18)*0.161</f>
        <v>2.03372026123031</v>
      </c>
      <c r="AO18" s="0" t="n">
        <f aca="false">SQRT(G18^2*(1-H18)-I18^2)*0.161</f>
        <v>1.99293828656358</v>
      </c>
      <c r="AP18" s="8" t="n">
        <f aca="false">SQRT(G18^2*(1-H18)-I18^2)*(0.161*PI())/(180*3600)*(Sheet2!N18*10^6)</f>
        <v>965.185082208352</v>
      </c>
      <c r="AQ18" s="8" t="n">
        <f aca="false">LOG(AP18)</f>
        <v>2.98461060088215</v>
      </c>
      <c r="AR18" s="8"/>
      <c r="AS18" s="8" t="n">
        <f aca="false">P18*SQRT(1-Q18)*0.161</f>
        <v>0.621090812907053</v>
      </c>
      <c r="AT18" s="0" t="n">
        <f aca="false">SQRT(P18^2*(1-Q18)-I18^2)*0.161</f>
        <v>0.470678989322726</v>
      </c>
      <c r="AU18" s="8" t="n">
        <f aca="false">SQRT(P18^2*(1-Q18)-I18^2)*(0.161*PI())/(180*3600)*(Sheet2!N18*10^6)</f>
        <v>227.951031934127</v>
      </c>
      <c r="AV18" s="8" t="n">
        <f aca="false">LOG(AU18)</f>
        <v>2.35784156259318</v>
      </c>
      <c r="AW18" s="0" t="n">
        <f aca="false">LOG(AD18)</f>
        <v>1.48572142648158</v>
      </c>
      <c r="AX18" s="0" t="n">
        <f aca="false">LOG(4*$B$85)+2*LOG($B$81*Z18)+LOG(W18*10^(-14))+Y18*(1+$B$86) - LOG(2.87)</f>
        <v>40.3263420583806</v>
      </c>
      <c r="AY18" s="0" t="n">
        <f aca="false">LOG(4*$B$85)+2*LOG($B$81*Z18)+LOG(R18*10^(-14))+Y18</f>
        <v>40.3264007404092</v>
      </c>
      <c r="AZ18" s="0" t="n">
        <f aca="false">LOG(4*$B$85)+2*LOG($B$81*Z18)+LOG(T18*10^(-14))+Y18</f>
        <v>40.3264007404092</v>
      </c>
      <c r="BA18" s="0" t="n">
        <f aca="false">LOG(AA18)</f>
        <v>1.34242268082221</v>
      </c>
      <c r="BB18" s="0" t="n">
        <f aca="false">LOG(AJ18)</f>
        <v>1.07918124604762</v>
      </c>
      <c r="BC18" s="0" t="n">
        <f aca="false">I18*0.161</f>
        <v>0.405234607218684</v>
      </c>
      <c r="BD18" s="1" t="n">
        <f aca="false">LOG(4*$B$85)+2*LOG($B$81*Z18)+LOG(W18*10^(-14))+Y18*(1+$B$86)</f>
        <v>40.7842239551146</v>
      </c>
      <c r="BE18" s="8" t="n">
        <v>40.79</v>
      </c>
      <c r="BF18" s="8" t="n">
        <v>40.3263420583806</v>
      </c>
      <c r="BG18" s="8" t="n">
        <v>40.3264007404092</v>
      </c>
      <c r="BH18" s="8" t="n">
        <v>40.3264007404092</v>
      </c>
      <c r="BI18" s="8"/>
      <c r="BJ18" s="16" t="n">
        <v>2.98461060088215</v>
      </c>
      <c r="BK18" s="16"/>
      <c r="BL18" s="16" t="n">
        <v>2.35784156259318</v>
      </c>
      <c r="BM18" s="8" t="n">
        <v>1.48572142648158</v>
      </c>
      <c r="BN18" s="8" t="n">
        <v>8.49</v>
      </c>
      <c r="BO18" s="8" t="n">
        <v>1.34242268082221</v>
      </c>
      <c r="BP18" s="8" t="n">
        <v>1.07918124604762</v>
      </c>
      <c r="BR18" s="20"/>
      <c r="BS18" s="8"/>
      <c r="BT18" s="8"/>
    </row>
    <row r="19" customFormat="false" ht="13.2" hidden="false" customHeight="false" outlineLevel="0" collapsed="false">
      <c r="A19" s="0" t="s">
        <v>118</v>
      </c>
      <c r="B19" s="8" t="n">
        <v>10.25</v>
      </c>
      <c r="C19" s="8" t="n">
        <v>230.2</v>
      </c>
      <c r="D19" s="8" t="n">
        <v>11.27</v>
      </c>
      <c r="E19" s="8" t="n">
        <v>254.86</v>
      </c>
      <c r="F19" s="8" t="n">
        <v>235.72</v>
      </c>
      <c r="G19" s="8" t="n">
        <f aca="false">B19+(D19-B19)*((F19-C19)/(E19-C19))</f>
        <v>10.4783211678832</v>
      </c>
      <c r="H19" s="15" t="n">
        <v>0.1988</v>
      </c>
      <c r="I19" s="8" t="n">
        <f aca="false">(5.88+6.13+6.08+5.86+6.06+6.2)/6/2.355</f>
        <v>2.56263269639066</v>
      </c>
      <c r="J19" s="0" t="s">
        <v>119</v>
      </c>
      <c r="K19" s="8" t="n">
        <v>3.54</v>
      </c>
      <c r="L19" s="8" t="n">
        <v>47.508</v>
      </c>
      <c r="M19" s="8" t="n">
        <v>3.86</v>
      </c>
      <c r="N19" s="8" t="n">
        <v>54.86</v>
      </c>
      <c r="O19" s="8" t="n">
        <f aca="false">99.555/2</f>
        <v>49.7775</v>
      </c>
      <c r="P19" s="8" t="n">
        <f aca="false">K19+(M19-K19)*((O19-L19)/(N19-L19))</f>
        <v>3.63878128400435</v>
      </c>
      <c r="Q19" s="15" t="n">
        <v>0.12</v>
      </c>
      <c r="R19" s="8" t="n">
        <v>1.79</v>
      </c>
      <c r="S19" s="8" t="n">
        <v>0.04</v>
      </c>
      <c r="T19" s="8" t="n">
        <v>1.19</v>
      </c>
      <c r="U19" s="8" t="n">
        <v>0.26</v>
      </c>
      <c r="V19" s="8" t="n">
        <v>0.28</v>
      </c>
      <c r="W19" s="8" t="n">
        <v>1.9</v>
      </c>
      <c r="X19" s="8"/>
      <c r="Y19" s="8" t="n">
        <v>0.29</v>
      </c>
      <c r="Z19" s="8" t="n">
        <v>65.6</v>
      </c>
      <c r="AA19" s="8" t="n">
        <v>20</v>
      </c>
      <c r="AB19" s="8" t="n">
        <v>8.02</v>
      </c>
      <c r="AC19" s="8" t="n">
        <v>1.066</v>
      </c>
      <c r="AD19" s="8" t="n">
        <v>25.1</v>
      </c>
      <c r="AE19" s="8" t="n">
        <v>2.2</v>
      </c>
      <c r="AF19" s="8" t="n">
        <v>40.19</v>
      </c>
      <c r="AG19" s="8" t="n">
        <f aca="false">AF19-LOG(2.87)</f>
        <v>39.732118103266</v>
      </c>
      <c r="AH19" s="8" t="n">
        <v>40.2</v>
      </c>
      <c r="AI19" s="8" t="n">
        <v>40.02</v>
      </c>
      <c r="AJ19" s="8" t="n">
        <v>18</v>
      </c>
      <c r="AK19" s="8"/>
      <c r="AL19" s="8"/>
      <c r="AM19" s="8"/>
      <c r="AN19" s="8" t="n">
        <f aca="false">G19*SQRT(1-H19)*0.161</f>
        <v>1.51003861079569</v>
      </c>
      <c r="AO19" s="0" t="n">
        <f aca="false">SQRT(G19^2*(1-H19)-I19^2)*0.161</f>
        <v>1.45258086217687</v>
      </c>
      <c r="AP19" s="8" t="n">
        <f aca="false">SQRT(G19^2*(1-H19)-I19^2)*(0.161*PI())/(180*3600)*(Sheet2!N19*10^6)</f>
        <v>448.828757268151</v>
      </c>
      <c r="AQ19" s="8" t="n">
        <f aca="false">LOG(AP19)</f>
        <v>2.65208067517048</v>
      </c>
      <c r="AR19" s="8"/>
      <c r="AS19" s="8" t="n">
        <f aca="false">P19*SQRT(1-Q19)*0.161</f>
        <v>0.549570186009635</v>
      </c>
      <c r="AT19" s="0" t="n">
        <f aca="false">SQRT(P19^2*(1-Q19)-I19^2)*0.161</f>
        <v>0.363045375152176</v>
      </c>
      <c r="AU19" s="8" t="n">
        <f aca="false">SQRT(P19^2*(1-Q19)-I19^2)*(0.161*PI())/(180*3600)*(Sheet2!N19*10^6)</f>
        <v>112.176339923209</v>
      </c>
      <c r="AV19" s="8" t="n">
        <f aca="false">LOG(AU19)</f>
        <v>2.04990126579397</v>
      </c>
      <c r="AW19" s="0" t="n">
        <f aca="false">LOG(AD19)</f>
        <v>1.39967372148104</v>
      </c>
      <c r="AX19" s="0" t="n">
        <f aca="false">LOG(4*$B$85)+2*LOG($B$81*Z19)+LOG(W19*10^(-14))+Y19*(1+$B$86) - LOG(2.87)</f>
        <v>39.7238406799932</v>
      </c>
      <c r="AY19" s="0" t="n">
        <f aca="false">LOG(4*$B$85)+2*LOG($B$81*Z19)+LOG(R19*10^(-14))+Y19</f>
        <v>40.2529720067542</v>
      </c>
      <c r="AZ19" s="0" t="n">
        <f aca="false">LOG(4*$B$85)+2*LOG($B$81*Z19)+LOG(T19*10^(-14))+Y19</f>
        <v>40.0756659371669</v>
      </c>
      <c r="BA19" s="0" t="n">
        <f aca="false">LOG(AA19)</f>
        <v>1.30102999566398</v>
      </c>
      <c r="BB19" s="0" t="n">
        <f aca="false">LOG(AJ19)</f>
        <v>1.25527250510331</v>
      </c>
      <c r="BC19" s="0" t="n">
        <f aca="false">I19*0.161</f>
        <v>0.412583864118896</v>
      </c>
      <c r="BD19" s="1" t="n">
        <f aca="false">LOG(4*$B$85)+2*LOG($B$81*Z19)+LOG(W19*10^(-14))+Y19*(1+$B$86)</f>
        <v>40.1817225767272</v>
      </c>
      <c r="BE19" s="8" t="n">
        <v>40.19</v>
      </c>
      <c r="BF19" s="8" t="n">
        <v>39.7238406799932</v>
      </c>
      <c r="BG19" s="8" t="n">
        <v>40.2529720067542</v>
      </c>
      <c r="BH19" s="8" t="n">
        <v>40.0756659371669</v>
      </c>
      <c r="BI19" s="8"/>
      <c r="BJ19" s="16" t="n">
        <v>2.65208067517048</v>
      </c>
      <c r="BK19" s="16"/>
      <c r="BL19" s="16" t="n">
        <v>2.04990126579397</v>
      </c>
      <c r="BM19" s="8" t="n">
        <v>1.39967372148104</v>
      </c>
      <c r="BN19" s="8" t="n">
        <v>8.02</v>
      </c>
      <c r="BO19" s="8" t="n">
        <v>1.30102999566398</v>
      </c>
      <c r="BP19" s="8" t="n">
        <v>1.25527250510331</v>
      </c>
      <c r="BR19" s="20"/>
      <c r="BS19" s="8" t="s">
        <v>120</v>
      </c>
      <c r="BT19" s="8"/>
      <c r="BZ19" s="0" t="s">
        <v>120</v>
      </c>
      <c r="CG19" s="0" t="s">
        <v>120</v>
      </c>
      <c r="CN19" s="0" t="s">
        <v>120</v>
      </c>
      <c r="CU19" s="0" t="s">
        <v>120</v>
      </c>
      <c r="DC19" s="0" t="s">
        <v>120</v>
      </c>
      <c r="DJ19" s="0" t="s">
        <v>120</v>
      </c>
      <c r="DQ19" s="0" t="s">
        <v>120</v>
      </c>
      <c r="DX19" s="0" t="s">
        <v>120</v>
      </c>
    </row>
    <row r="20" customFormat="false" ht="13.2" hidden="false" customHeight="false" outlineLevel="0" collapsed="false">
      <c r="A20" s="0" t="s">
        <v>121</v>
      </c>
      <c r="B20" s="8" t="n">
        <v>15.22</v>
      </c>
      <c r="C20" s="8" t="n">
        <v>456.43</v>
      </c>
      <c r="D20" s="8" t="n">
        <v>16.14</v>
      </c>
      <c r="E20" s="8" t="n">
        <v>490.2</v>
      </c>
      <c r="F20" s="8" t="n">
        <v>476.55</v>
      </c>
      <c r="G20" s="8" t="n">
        <f aca="false">B20+(D20-B20)*((F20-C20)/(E20-C20))</f>
        <v>15.7681314776429</v>
      </c>
      <c r="H20" s="15" t="n">
        <v>0.0184</v>
      </c>
      <c r="I20" s="8" t="n">
        <f aca="false">(6.43+6.3+6.33+6.45+6.09+6.47)/(6*2.355)</f>
        <v>2.69426751592357</v>
      </c>
      <c r="J20" s="0" t="s">
        <v>122</v>
      </c>
      <c r="K20" s="8" t="n">
        <v>3.25</v>
      </c>
      <c r="L20" s="8" t="n">
        <v>61.418</v>
      </c>
      <c r="M20" s="8" t="n">
        <v>3.54</v>
      </c>
      <c r="N20" s="8" t="n">
        <v>67.051</v>
      </c>
      <c r="O20" s="8" t="n">
        <f aca="false">125.17/2</f>
        <v>62.585</v>
      </c>
      <c r="P20" s="8" t="n">
        <f aca="false">K20+(M20-K20)*((O20-L20)/(N20-L20))</f>
        <v>3.31007988638381</v>
      </c>
      <c r="Q20" s="15" t="n">
        <v>0.05</v>
      </c>
      <c r="R20" s="8" t="n">
        <v>4.58</v>
      </c>
      <c r="S20" s="8" t="n">
        <v>0.05</v>
      </c>
      <c r="T20" s="8" t="n">
        <v>1.32</v>
      </c>
      <c r="U20" s="8" t="n">
        <v>0.14</v>
      </c>
      <c r="V20" s="8" t="n">
        <v>0.35</v>
      </c>
      <c r="W20" s="8" t="n">
        <v>1.1</v>
      </c>
      <c r="X20" s="8"/>
      <c r="Y20" s="8" t="n">
        <v>0.35</v>
      </c>
      <c r="Z20" s="8" t="n">
        <v>122.6</v>
      </c>
      <c r="AA20" s="8" t="n">
        <v>10</v>
      </c>
      <c r="AB20" s="8" t="n">
        <v>8.5</v>
      </c>
      <c r="AC20" s="8" t="n">
        <v>0.967</v>
      </c>
      <c r="AD20" s="8" t="n">
        <v>21.8</v>
      </c>
      <c r="AE20" s="8" t="n">
        <v>2.9</v>
      </c>
      <c r="AF20" s="8" t="n">
        <v>40.55</v>
      </c>
      <c r="AG20" s="8" t="n">
        <f aca="false">AF20-LOG(2.87)</f>
        <v>40.092118103266</v>
      </c>
      <c r="AH20" s="8" t="n">
        <v>41.29</v>
      </c>
      <c r="AI20" s="8" t="n">
        <v>40.75</v>
      </c>
      <c r="AJ20" s="8" t="n">
        <v>35</v>
      </c>
      <c r="AK20" s="8"/>
      <c r="AL20" s="8"/>
      <c r="AM20" s="8"/>
      <c r="AN20" s="8" t="n">
        <f aca="false">G20*SQRT(1-H20)*0.161</f>
        <v>2.51520497514579</v>
      </c>
      <c r="AO20" s="0" t="n">
        <f aca="false">SQRT(G20^2*(1-H20)-I20^2)*0.161</f>
        <v>2.47751761254791</v>
      </c>
      <c r="AP20" s="8" t="n">
        <f aca="false">SQRT(G20^2*(1-H20)-I20^2)*(0.161*PI())/(180*3600)*(Sheet2!N20*10^6)</f>
        <v>1390.83836467434</v>
      </c>
      <c r="AQ20" s="8" t="n">
        <f aca="false">LOG(AP20)</f>
        <v>3.14327666168951</v>
      </c>
      <c r="AR20" s="8"/>
      <c r="AS20" s="8" t="n">
        <f aca="false">P20*SQRT(1-Q20)*0.161</f>
        <v>0.519428953471293</v>
      </c>
      <c r="AT20" s="0" t="n">
        <f aca="false">SQRT(P20^2*(1-Q20)-I20^2)*0.161</f>
        <v>0.285733951764993</v>
      </c>
      <c r="AU20" s="8" t="n">
        <f aca="false">SQRT(P20^2*(1-Q20)-I20^2)*(0.161*PI())/(180*3600)*(Sheet2!N20*10^6)</f>
        <v>160.406424637303</v>
      </c>
      <c r="AV20" s="8" t="n">
        <f aca="false">LOG(AU20)</f>
        <v>2.20522175876517</v>
      </c>
      <c r="AW20" s="0" t="n">
        <f aca="false">LOG(AD20)</f>
        <v>1.3384564936046</v>
      </c>
      <c r="AX20" s="0" t="n">
        <f aca="false">LOG(4*$B$85)+2*LOG($B$81*Z20)+LOG(W20*10^(-14))+Y20*(1+$B$86) - LOG(2.87)</f>
        <v>40.069553025812</v>
      </c>
      <c r="AY20" s="0" t="n">
        <f aca="false">LOG(4*$B$85)+2*LOG($B$81*Z20)+LOG(R20*10^(-14))+Y20</f>
        <v>41.2641577153917</v>
      </c>
      <c r="AZ20" s="0" t="n">
        <f aca="false">LOG(4*$B$85)+2*LOG($B$81*Z20)+LOG(T20*10^(-14))+Y20</f>
        <v>40.7238661685937</v>
      </c>
      <c r="BA20" s="0" t="n">
        <f aca="false">LOG(AA20)</f>
        <v>1</v>
      </c>
      <c r="BB20" s="0" t="n">
        <f aca="false">LOG(AJ20)</f>
        <v>1.54406804435028</v>
      </c>
      <c r="BC20" s="0" t="n">
        <f aca="false">I20*0.161</f>
        <v>0.433777070063694</v>
      </c>
      <c r="BD20" s="1" t="n">
        <f aca="false">LOG(4*$B$85)+2*LOG($B$81*Z20)+LOG(W20*10^(-14))+Y20*(1+$B$86)</f>
        <v>40.527434922546</v>
      </c>
      <c r="BE20" s="8" t="n">
        <v>40.55</v>
      </c>
      <c r="BF20" s="8" t="n">
        <v>40.069553025812</v>
      </c>
      <c r="BG20" s="8" t="n">
        <v>41.2641577153917</v>
      </c>
      <c r="BH20" s="8" t="n">
        <v>40.7238661685937</v>
      </c>
      <c r="BI20" s="8"/>
      <c r="BJ20" s="16" t="n">
        <v>3.14327666168951</v>
      </c>
      <c r="BK20" s="16"/>
      <c r="BL20" s="16" t="n">
        <v>2.20522175876517</v>
      </c>
      <c r="BM20" s="8" t="n">
        <v>1.3384564936046</v>
      </c>
      <c r="BN20" s="8" t="n">
        <v>8.5</v>
      </c>
      <c r="BO20" s="8" t="n">
        <v>1</v>
      </c>
      <c r="BP20" s="8" t="n">
        <v>1.54406804435028</v>
      </c>
      <c r="BR20" s="20"/>
      <c r="BS20" s="8"/>
      <c r="BT20" s="8" t="s">
        <v>123</v>
      </c>
      <c r="BU20" s="0" t="s">
        <v>124</v>
      </c>
      <c r="BV20" s="0" t="s">
        <v>125</v>
      </c>
      <c r="BW20" s="0" t="s">
        <v>126</v>
      </c>
      <c r="BX20" s="0" t="s">
        <v>127</v>
      </c>
      <c r="CA20" s="0" t="s">
        <v>123</v>
      </c>
      <c r="CB20" s="0" t="s">
        <v>124</v>
      </c>
      <c r="CC20" s="0" t="s">
        <v>125</v>
      </c>
      <c r="CD20" s="0" t="s">
        <v>126</v>
      </c>
      <c r="CE20" s="0" t="s">
        <v>127</v>
      </c>
      <c r="CH20" s="0" t="s">
        <v>123</v>
      </c>
      <c r="CI20" s="0" t="s">
        <v>124</v>
      </c>
      <c r="CJ20" s="0" t="s">
        <v>125</v>
      </c>
      <c r="CK20" s="0" t="s">
        <v>126</v>
      </c>
      <c r="CL20" s="0" t="s">
        <v>127</v>
      </c>
      <c r="CO20" s="0" t="s">
        <v>123</v>
      </c>
      <c r="CP20" s="0" t="s">
        <v>124</v>
      </c>
      <c r="CQ20" s="0" t="s">
        <v>125</v>
      </c>
      <c r="CR20" s="0" t="s">
        <v>126</v>
      </c>
      <c r="CS20" s="0" t="s">
        <v>127</v>
      </c>
      <c r="CV20" s="0" t="s">
        <v>123</v>
      </c>
      <c r="CW20" s="0" t="s">
        <v>124</v>
      </c>
      <c r="CX20" s="0" t="s">
        <v>125</v>
      </c>
      <c r="CY20" s="0" t="s">
        <v>126</v>
      </c>
      <c r="CZ20" s="0" t="s">
        <v>127</v>
      </c>
      <c r="DD20" s="0" t="s">
        <v>123</v>
      </c>
      <c r="DE20" s="0" t="s">
        <v>124</v>
      </c>
      <c r="DF20" s="0" t="s">
        <v>125</v>
      </c>
      <c r="DG20" s="0" t="s">
        <v>126</v>
      </c>
      <c r="DH20" s="0" t="s">
        <v>127</v>
      </c>
      <c r="DK20" s="0" t="s">
        <v>123</v>
      </c>
      <c r="DL20" s="0" t="s">
        <v>124</v>
      </c>
      <c r="DM20" s="0" t="s">
        <v>125</v>
      </c>
      <c r="DN20" s="0" t="s">
        <v>126</v>
      </c>
      <c r="DO20" s="0" t="s">
        <v>127</v>
      </c>
      <c r="DR20" s="0" t="s">
        <v>123</v>
      </c>
      <c r="DS20" s="0" t="s">
        <v>124</v>
      </c>
      <c r="DT20" s="0" t="s">
        <v>125</v>
      </c>
      <c r="DU20" s="0" t="s">
        <v>126</v>
      </c>
      <c r="DV20" s="0" t="s">
        <v>127</v>
      </c>
      <c r="DY20" s="0" t="s">
        <v>123</v>
      </c>
      <c r="DZ20" s="0" t="s">
        <v>124</v>
      </c>
      <c r="EA20" s="0" t="s">
        <v>125</v>
      </c>
      <c r="EB20" s="0" t="s">
        <v>126</v>
      </c>
      <c r="EC20" s="0" t="s">
        <v>127</v>
      </c>
    </row>
    <row r="21" customFormat="false" ht="13.2" hidden="false" customHeight="false" outlineLevel="0" collapsed="false">
      <c r="A21" s="0" t="s">
        <v>128</v>
      </c>
      <c r="B21" s="8" t="n">
        <v>16.5</v>
      </c>
      <c r="C21" s="8" t="n">
        <v>317.04</v>
      </c>
      <c r="D21" s="8" t="n">
        <v>18.15</v>
      </c>
      <c r="E21" s="8" t="n">
        <v>350.79</v>
      </c>
      <c r="F21" s="8" t="n">
        <v>322.67</v>
      </c>
      <c r="G21" s="8" t="n">
        <f aca="false">B21+(D21-B21)*((F21-C21)/(E21-C21))</f>
        <v>16.7752444444444</v>
      </c>
      <c r="H21" s="15" t="n">
        <v>0.3</v>
      </c>
      <c r="I21" s="8" t="n">
        <f aca="false">5.48/2.355</f>
        <v>2.32696390658174</v>
      </c>
      <c r="J21" s="0" t="s">
        <v>129</v>
      </c>
      <c r="K21" s="8" t="n">
        <v>3.54</v>
      </c>
      <c r="L21" s="8" t="n">
        <v>37.882</v>
      </c>
      <c r="M21" s="8" t="n">
        <v>3.86</v>
      </c>
      <c r="N21" s="8" t="n">
        <v>43.083</v>
      </c>
      <c r="O21" s="8" t="n">
        <f aca="false">76.36/2</f>
        <v>38.18</v>
      </c>
      <c r="P21" s="8" t="n">
        <f aca="false">K21+(M21-K21)*((O21-L21)/(N21-L21))</f>
        <v>3.55833493558931</v>
      </c>
      <c r="Q21" s="15" t="n">
        <v>0.1</v>
      </c>
      <c r="R21" s="8" t="n">
        <v>2.92</v>
      </c>
      <c r="S21" s="8" t="n">
        <v>0.04</v>
      </c>
      <c r="T21" s="8" t="n">
        <v>1.2</v>
      </c>
      <c r="U21" s="8" t="n">
        <v>0.27</v>
      </c>
      <c r="V21" s="8" t="n">
        <v>0.35</v>
      </c>
      <c r="W21" s="8" t="n">
        <v>3.7</v>
      </c>
      <c r="X21" s="8"/>
      <c r="Y21" s="8" t="n">
        <v>0.35</v>
      </c>
      <c r="Z21" s="8" t="n">
        <v>49.8</v>
      </c>
      <c r="AA21" s="8" t="n">
        <v>21</v>
      </c>
      <c r="AB21" s="8" t="n">
        <v>7.96</v>
      </c>
      <c r="AC21" s="8" t="n">
        <v>0.826</v>
      </c>
      <c r="AD21" s="8" t="n">
        <v>18</v>
      </c>
      <c r="AE21" s="8" t="n">
        <v>2.2</v>
      </c>
      <c r="AF21" s="8" t="n">
        <v>40.27</v>
      </c>
      <c r="AG21" s="8" t="n">
        <f aca="false">AF21-LOG(2.87)</f>
        <v>39.812118103266</v>
      </c>
      <c r="AH21" s="8" t="n">
        <v>40.23</v>
      </c>
      <c r="AI21" s="8" t="n">
        <v>39.84</v>
      </c>
      <c r="AJ21" s="8" t="n">
        <v>23</v>
      </c>
      <c r="AK21" s="8"/>
      <c r="AL21" s="8"/>
      <c r="AM21" s="8"/>
      <c r="AN21" s="8" t="n">
        <f aca="false">G21*SQRT(1-H21)*0.161</f>
        <v>2.25966341038272</v>
      </c>
      <c r="AO21" s="0" t="n">
        <f aca="false">SQRT(G21^2*(1-H21)-I21^2)*0.161</f>
        <v>2.22839016057721</v>
      </c>
      <c r="AP21" s="8" t="n">
        <f aca="false">SQRT(G21^2*(1-H21)-I21^2)*(0.161*PI())/(180*3600)*(Sheet2!N21*10^6)</f>
        <v>525.717025409305</v>
      </c>
      <c r="AQ21" s="8" t="n">
        <f aca="false">LOG(AP21)</f>
        <v>2.72075204192537</v>
      </c>
      <c r="AR21" s="8"/>
      <c r="AS21" s="8" t="n">
        <f aca="false">P21*SQRT(1-Q21)*0.161</f>
        <v>0.54349300048438</v>
      </c>
      <c r="AT21" s="0" t="n">
        <f aca="false">SQRT(P21^2*(1-Q21)-I21^2)*0.161</f>
        <v>0.393736740869336</v>
      </c>
      <c r="AU21" s="8" t="n">
        <f aca="false">SQRT(P21^2*(1-Q21)-I21^2)*(0.161*PI())/(180*3600)*(Sheet2!N21*10^6)</f>
        <v>92.8895270972496</v>
      </c>
      <c r="AV21" s="8" t="n">
        <f aca="false">LOG(AU21)</f>
        <v>1.96796675188098</v>
      </c>
      <c r="AW21" s="0" t="n">
        <f aca="false">LOG(AD21)</f>
        <v>1.25527250510331</v>
      </c>
      <c r="AX21" s="0" t="n">
        <f aca="false">LOG(4*$B$85)+2*LOG($B$81*Z21)+LOG(W21*10^(-14))+Y21*(1+$B$86) - LOG(2.87)</f>
        <v>39.8138398098754</v>
      </c>
      <c r="AY21" s="0" t="n">
        <f aca="false">LOG(4*$B$85)+2*LOG($B$81*Z21)+LOG(R21*10^(-14))+Y21</f>
        <v>40.2861528339909</v>
      </c>
      <c r="AZ21" s="0" t="n">
        <f aca="false">LOG(4*$B$85)+2*LOG($B$81*Z21)+LOG(T21*10^(-14))+Y21</f>
        <v>39.8999512285901</v>
      </c>
      <c r="BA21" s="0" t="n">
        <f aca="false">LOG(AA21)</f>
        <v>1.32221929473392</v>
      </c>
      <c r="BB21" s="0" t="n">
        <f aca="false">LOG(AJ21)</f>
        <v>1.36172783601759</v>
      </c>
      <c r="BC21" s="0" t="n">
        <f aca="false">I21*0.161</f>
        <v>0.37464118895966</v>
      </c>
      <c r="BD21" s="1" t="n">
        <f aca="false">LOG(4*$B$85)+2*LOG($B$81*Z21)+LOG(W21*10^(-14))+Y21*(1+$B$86)</f>
        <v>40.2717217066094</v>
      </c>
      <c r="BE21" s="8" t="n">
        <v>40.27</v>
      </c>
      <c r="BF21" s="8" t="n">
        <v>39.8138398098754</v>
      </c>
      <c r="BG21" s="8" t="n">
        <v>40.2861528339909</v>
      </c>
      <c r="BH21" s="8" t="n">
        <v>39.8999512285901</v>
      </c>
      <c r="BI21" s="8"/>
      <c r="BJ21" s="16" t="n">
        <v>2.72075204192537</v>
      </c>
      <c r="BK21" s="16"/>
      <c r="BL21" s="16" t="n">
        <v>1.96796675188098</v>
      </c>
      <c r="BM21" s="8" t="n">
        <v>1.25527250510331</v>
      </c>
      <c r="BN21" s="8" t="n">
        <v>7.96</v>
      </c>
      <c r="BO21" s="8" t="n">
        <v>1.32221929473392</v>
      </c>
      <c r="BP21" s="8" t="n">
        <v>1.36172783601759</v>
      </c>
      <c r="BR21" s="20"/>
      <c r="BS21" s="8" t="s">
        <v>130</v>
      </c>
      <c r="BT21" s="8" t="n">
        <f aca="false">$BT$15</f>
        <v>1</v>
      </c>
      <c r="BU21" s="0" t="n">
        <f aca="false">$BS$10</f>
        <v>1.09099000566236</v>
      </c>
      <c r="BV21" s="0" t="n">
        <f aca="false">$BS$10 / $BT$21</f>
        <v>1.09099000566236</v>
      </c>
      <c r="BW21" s="0" t="n">
        <f aca="false">$BS$9</f>
        <v>21.8969884958974</v>
      </c>
      <c r="BX21" s="0" t="n">
        <f aca="false">FDIST($BS$9 , $BT$21 , $BT$9)</f>
        <v>3.78075054987859E-005</v>
      </c>
      <c r="BZ21" s="0" t="s">
        <v>130</v>
      </c>
      <c r="CA21" s="0" t="n">
        <f aca="false">$CA$15</f>
        <v>1</v>
      </c>
      <c r="CB21" s="0" t="n">
        <f aca="false">$BZ$10</f>
        <v>5.38269456453463</v>
      </c>
      <c r="CC21" s="0" t="n">
        <f aca="false">$BZ$10 / $CA$21</f>
        <v>5.38269456453463</v>
      </c>
      <c r="CD21" s="0" t="n">
        <f aca="false">$BZ$9</f>
        <v>53.7435412767794</v>
      </c>
      <c r="CE21" s="0" t="n">
        <f aca="false">FDIST($BZ$9 , $CA$21 , $CA$9)</f>
        <v>1.03138407453212E-008</v>
      </c>
      <c r="CG21" s="0" t="s">
        <v>130</v>
      </c>
      <c r="CH21" s="0" t="n">
        <f aca="false">$CH$15</f>
        <v>1</v>
      </c>
      <c r="CI21" s="0" t="n">
        <f aca="false">$CG$10</f>
        <v>3.23286306225206</v>
      </c>
      <c r="CJ21" s="0" t="n">
        <f aca="false">$CG$10 / $CH$21</f>
        <v>3.23286306225206</v>
      </c>
      <c r="CK21" s="0" t="n">
        <f aca="false">$CG$9</f>
        <v>24.1721449935829</v>
      </c>
      <c r="CL21" s="0" t="n">
        <f aca="false">FDIST($CG$9 , $CH$21 , $CH$9)</f>
        <v>1.82523829806764E-005</v>
      </c>
      <c r="CN21" s="0" t="s">
        <v>130</v>
      </c>
      <c r="CO21" s="0" t="n">
        <f aca="false">$CO$15</f>
        <v>1</v>
      </c>
      <c r="CP21" s="0" t="n">
        <f aca="false">$CN$10</f>
        <v>4.86308540929689</v>
      </c>
      <c r="CQ21" s="0" t="n">
        <f aca="false">$CN$10 / $CO$21</f>
        <v>4.86308540929689</v>
      </c>
      <c r="CR21" s="0" t="n">
        <f aca="false">$CN$9</f>
        <v>40.3457491834973</v>
      </c>
      <c r="CS21" s="0" t="n">
        <f aca="false">FDIST($CN$9 , $CO$21 , $CO$9)</f>
        <v>2.09982611821286E-007</v>
      </c>
      <c r="CU21" s="0" t="s">
        <v>130</v>
      </c>
      <c r="CV21" s="0" t="n">
        <f aca="false">$CV$15</f>
        <v>1</v>
      </c>
      <c r="CW21" s="0" t="n">
        <f aca="false">$CU$10</f>
        <v>6.28087888085282</v>
      </c>
      <c r="CX21" s="0" t="n">
        <f aca="false">$CU$10 / $CV$21</f>
        <v>6.28087888085282</v>
      </c>
      <c r="CY21" s="0" t="n">
        <f aca="false">$CU$9</f>
        <v>122.280494369965</v>
      </c>
      <c r="CZ21" s="0" t="n">
        <f aca="false">FDIST($CU$9 , $CV$21 , $CV$9)</f>
        <v>2.75880972520826E-013</v>
      </c>
      <c r="DC21" s="0" t="s">
        <v>130</v>
      </c>
      <c r="DD21" s="0" t="n">
        <f aca="false">$DD$15</f>
        <v>1</v>
      </c>
      <c r="DE21" s="0" t="e">
        <f aca="false">$DC$10</f>
        <v>#VALUE!</v>
      </c>
      <c r="DF21" s="0" t="e">
        <f aca="false">$DC$10 / $DD$21</f>
        <v>#VALUE!</v>
      </c>
      <c r="DG21" s="0" t="e">
        <f aca="false">$DC$9</f>
        <v>#VALUE!</v>
      </c>
      <c r="DH21" s="0" t="e">
        <f aca="false">FDIST($DC$9 , $DD$21 , $DD$9)</f>
        <v>#VALUE!</v>
      </c>
      <c r="DJ21" s="0" t="s">
        <v>130</v>
      </c>
      <c r="DK21" s="0" t="n">
        <f aca="false">$DK$15</f>
        <v>1</v>
      </c>
      <c r="DL21" s="0" t="n">
        <f aca="false">$DJ$10</f>
        <v>1.2167849087922</v>
      </c>
      <c r="DM21" s="0" t="n">
        <f aca="false">$DJ$10 / $DK$21</f>
        <v>1.2167849087922</v>
      </c>
      <c r="DN21" s="0" t="n">
        <f aca="false">$DJ$9</f>
        <v>10.6234777668866</v>
      </c>
      <c r="DO21" s="0" t="n">
        <f aca="false">FDIST($DJ$9 , $DK$21 , $DK$9)</f>
        <v>0.00570537580516218</v>
      </c>
      <c r="DQ21" s="0" t="s">
        <v>130</v>
      </c>
      <c r="DR21" s="0" t="n">
        <f aca="false">$DR$15</f>
        <v>1</v>
      </c>
      <c r="DS21" s="0" t="n">
        <f aca="false">$DQ$10</f>
        <v>0.851422334118612</v>
      </c>
      <c r="DT21" s="0" t="n">
        <f aca="false">$DQ$10 / $DR$21</f>
        <v>0.851422334118612</v>
      </c>
      <c r="DU21" s="0" t="n">
        <f aca="false">$DQ$9</f>
        <v>11.0896369615976</v>
      </c>
      <c r="DV21" s="0" t="n">
        <f aca="false">FDIST($DQ$9 , $DR$21 , $DR$9)</f>
        <v>0.00495627113197075</v>
      </c>
      <c r="DX21" s="0" t="s">
        <v>130</v>
      </c>
      <c r="DY21" s="0" t="n">
        <f aca="false">$DY$15</f>
        <v>1</v>
      </c>
      <c r="DZ21" s="0" t="n">
        <f aca="false">$DX$10</f>
        <v>1.30834774055101</v>
      </c>
      <c r="EA21" s="0" t="n">
        <f aca="false">$DX$10 / $DY$21</f>
        <v>1.30834774055101</v>
      </c>
      <c r="EB21" s="0" t="n">
        <f aca="false">$DX$9</f>
        <v>12.2411888263428</v>
      </c>
      <c r="EC21" s="0" t="n">
        <f aca="false">FDIST($DX$9 , $DY$21 , $DY$9)</f>
        <v>0.00354406420614708</v>
      </c>
    </row>
    <row r="22" customFormat="false" ht="13.2" hidden="false" customHeight="false" outlineLevel="0" collapsed="false">
      <c r="A22" s="0" t="s">
        <v>131</v>
      </c>
      <c r="B22" s="8" t="n">
        <v>16.11</v>
      </c>
      <c r="C22" s="8" t="n">
        <v>510.86</v>
      </c>
      <c r="D22" s="8" t="n">
        <v>17.72</v>
      </c>
      <c r="E22" s="8" t="n">
        <v>558.34</v>
      </c>
      <c r="F22" s="8" t="n">
        <v>539.45</v>
      </c>
      <c r="G22" s="8" t="n">
        <f aca="false">B22+(D22-B22)*((F22-C22)/(E22-C22))</f>
        <v>17.0794587194608</v>
      </c>
      <c r="H22" s="15" t="n">
        <v>0.1485</v>
      </c>
      <c r="I22" s="8" t="n">
        <f aca="false">(6.38+6.69+6.57+6.9+7.03)/5/2.355</f>
        <v>2.85095541401274</v>
      </c>
      <c r="J22" s="21" t="s">
        <v>132</v>
      </c>
      <c r="K22" s="8" t="n">
        <v>4.29</v>
      </c>
      <c r="L22" s="8" t="n">
        <v>75.645</v>
      </c>
      <c r="M22" s="8" t="n">
        <v>4.63</v>
      </c>
      <c r="N22" s="8" t="n">
        <v>85.444</v>
      </c>
      <c r="O22" s="8" t="n">
        <f aca="false">167.93/2</f>
        <v>83.965</v>
      </c>
      <c r="P22" s="8" t="n">
        <f aca="false">K22+(M22-K22)*((O22-L22)/(N22-L22))</f>
        <v>4.57868251862435</v>
      </c>
      <c r="Q22" s="15" t="n">
        <v>0.05</v>
      </c>
      <c r="R22" s="8" t="n">
        <v>1.28</v>
      </c>
      <c r="S22" s="8" t="n">
        <v>0.04</v>
      </c>
      <c r="T22" s="8" t="n">
        <v>0.82</v>
      </c>
      <c r="U22" s="8" t="n">
        <v>0.13</v>
      </c>
      <c r="V22" s="8" t="n">
        <v>0.92</v>
      </c>
      <c r="W22" s="8" t="n">
        <v>1.1</v>
      </c>
      <c r="X22" s="8"/>
      <c r="Y22" s="8" t="n">
        <v>0.93</v>
      </c>
      <c r="Z22" s="8" t="n">
        <v>25.7</v>
      </c>
      <c r="AA22" s="8" t="n">
        <v>4</v>
      </c>
      <c r="AB22" s="8" t="n">
        <v>8.56</v>
      </c>
      <c r="AC22" s="8" t="n">
        <v>0.771</v>
      </c>
      <c r="AD22" s="8" t="n">
        <v>16.6</v>
      </c>
      <c r="AE22" s="8" t="n">
        <v>2.9</v>
      </c>
      <c r="AF22" s="8" t="n">
        <v>39.55</v>
      </c>
      <c r="AG22" s="8" t="n">
        <f aca="false">AF22-LOG(2.87)</f>
        <v>39.092118103266</v>
      </c>
      <c r="AH22" s="8" t="n">
        <v>39.91</v>
      </c>
      <c r="AI22" s="8" t="n">
        <v>39.72</v>
      </c>
      <c r="AJ22" s="8" t="n">
        <v>10</v>
      </c>
      <c r="AK22" s="8"/>
      <c r="AL22" s="8"/>
      <c r="AM22" s="8"/>
      <c r="AN22" s="8" t="n">
        <f aca="false">G22*SQRT(1-H22)*0.161</f>
        <v>2.53741968725155</v>
      </c>
      <c r="AO22" s="0" t="n">
        <f aca="false">SQRT(G22^2*(1-H22)-I22^2)*0.161</f>
        <v>2.49555888749532</v>
      </c>
      <c r="AP22" s="8" t="n">
        <f aca="false">SQRT(G22^2*(1-H22)-I22^2)*(0.161*PI())/(180*3600)*(Sheet2!N22*10^6)</f>
        <v>307.394243282841</v>
      </c>
      <c r="AQ22" s="8" t="n">
        <f aca="false">LOG(AP22)</f>
        <v>2.48769573000203</v>
      </c>
      <c r="AR22" s="8"/>
      <c r="AS22" s="8" t="n">
        <f aca="false">P22*SQRT(1-Q22)*0.161</f>
        <v>0.718502377755176</v>
      </c>
      <c r="AT22" s="0" t="n">
        <f aca="false">SQRT(P22^2*(1-Q22)-I22^2)*0.161</f>
        <v>0.55277586646396</v>
      </c>
      <c r="AU22" s="8" t="n">
        <f aca="false">SQRT(P22^2*(1-Q22)-I22^2)*(0.161*PI())/(180*3600)*(Sheet2!N22*10^6)</f>
        <v>68.0890040415944</v>
      </c>
      <c r="AV22" s="8" t="n">
        <f aca="false">LOG(AU22)</f>
        <v>1.83307698166838</v>
      </c>
      <c r="AW22" s="0" t="n">
        <f aca="false">LOG(AD22)</f>
        <v>1.22010808804006</v>
      </c>
      <c r="AX22" s="0" t="n">
        <f aca="false">LOG(4*$B$85)+2*LOG($B$81*Z22)+LOG(W22*10^(-14))+Y22*(1+$B$86) - LOG(2.87)</f>
        <v>39.0981383321098</v>
      </c>
      <c r="AY22" s="0" t="n">
        <f aca="false">LOG(4*$B$85)+2*LOG($B$81*Z22)+LOG(R22*10^(-14))+Y22</f>
        <v>39.9333875133335</v>
      </c>
      <c r="AZ22" s="0" t="n">
        <f aca="false">LOG(4*$B$85)+2*LOG($B$81*Z22)+LOG(T22*10^(-14))+Y22</f>
        <v>39.7399913960693</v>
      </c>
      <c r="BA22" s="0" t="n">
        <f aca="false">LOG(AA22)</f>
        <v>0.602059991327962</v>
      </c>
      <c r="BB22" s="0" t="n">
        <f aca="false">LOG(AJ22)</f>
        <v>1</v>
      </c>
      <c r="BC22" s="0" t="n">
        <f aca="false">I22*0.161</f>
        <v>0.459003821656051</v>
      </c>
      <c r="BD22" s="1" t="n">
        <f aca="false">LOG(4*$B$85)+2*LOG($B$81*Z22)+LOG(W22*10^(-14))+Y22*(1+$B$86)</f>
        <v>39.5560202288438</v>
      </c>
      <c r="BE22" s="8" t="n">
        <v>39.55</v>
      </c>
      <c r="BF22" s="8" t="n">
        <v>39.0981383321098</v>
      </c>
      <c r="BG22" s="8" t="n">
        <v>39.9333875133335</v>
      </c>
      <c r="BH22" s="8" t="n">
        <v>39.7399913960693</v>
      </c>
      <c r="BI22" s="8"/>
      <c r="BJ22" s="16" t="n">
        <v>2.48769573000203</v>
      </c>
      <c r="BK22" s="16"/>
      <c r="BL22" s="16" t="n">
        <v>1.83307698166838</v>
      </c>
      <c r="BM22" s="8" t="n">
        <v>1.22010808804006</v>
      </c>
      <c r="BN22" s="8" t="n">
        <v>8.56</v>
      </c>
      <c r="BO22" s="8" t="n">
        <v>0.602059991327962</v>
      </c>
      <c r="BP22" s="8" t="n">
        <v>1</v>
      </c>
      <c r="BR22" s="20"/>
      <c r="BS22" s="8" t="s">
        <v>133</v>
      </c>
      <c r="BT22" s="8" t="n">
        <f aca="false">$BT$9</f>
        <v>37</v>
      </c>
      <c r="BU22" s="0" t="n">
        <f aca="false">$BT$10</f>
        <v>1.84347862342214</v>
      </c>
      <c r="BV22" s="0" t="n">
        <f aca="false">$BT$10 / $BT$9</f>
        <v>0.0498237465789768</v>
      </c>
      <c r="BZ22" s="0" t="s">
        <v>133</v>
      </c>
      <c r="CA22" s="0" t="n">
        <f aca="false">$CA$9</f>
        <v>37</v>
      </c>
      <c r="CB22" s="0" t="n">
        <f aca="false">$CA$10</f>
        <v>3.70574201394933</v>
      </c>
      <c r="CC22" s="0" t="n">
        <f aca="false">$CA$10 / $CA$9</f>
        <v>0.100155189566198</v>
      </c>
      <c r="CG22" s="0" t="s">
        <v>133</v>
      </c>
      <c r="CH22" s="0" t="n">
        <f aca="false">$CH$9</f>
        <v>37</v>
      </c>
      <c r="CI22" s="0" t="n">
        <f aca="false">$CH$10</f>
        <v>4.94850305320778</v>
      </c>
      <c r="CJ22" s="0" t="n">
        <f aca="false">$CH$10 / $CH$9</f>
        <v>0.133743325762372</v>
      </c>
      <c r="CN22" s="0" t="s">
        <v>133</v>
      </c>
      <c r="CO22" s="0" t="n">
        <f aca="false">$CO$9</f>
        <v>37</v>
      </c>
      <c r="CP22" s="0" t="n">
        <f aca="false">$CO$10</f>
        <v>4.45980465812204</v>
      </c>
      <c r="CQ22" s="0" t="n">
        <f aca="false">$CO$10 / $CO$9</f>
        <v>0.120535261030325</v>
      </c>
      <c r="CU22" s="0" t="s">
        <v>133</v>
      </c>
      <c r="CV22" s="0" t="n">
        <f aca="false">$CV$9</f>
        <v>37</v>
      </c>
      <c r="CW22" s="0" t="n">
        <f aca="false">$CV$10</f>
        <v>1.90048723460701</v>
      </c>
      <c r="CX22" s="0" t="n">
        <f aca="false">$CV$10 / $CV$9</f>
        <v>0.0513645198542436</v>
      </c>
      <c r="DC22" s="0" t="s">
        <v>133</v>
      </c>
      <c r="DD22" s="0" t="e">
        <f aca="false">$DD$9</f>
        <v>#VALUE!</v>
      </c>
      <c r="DE22" s="0" t="e">
        <f aca="false">$DD$10</f>
        <v>#VALUE!</v>
      </c>
      <c r="DF22" s="0" t="e">
        <f aca="false">$DD$10 / $DD$9</f>
        <v>#VALUE!</v>
      </c>
      <c r="DJ22" s="0" t="s">
        <v>133</v>
      </c>
      <c r="DK22" s="0" t="n">
        <f aca="false">$DK$9</f>
        <v>14</v>
      </c>
      <c r="DL22" s="0" t="n">
        <f aca="false">$DK$10</f>
        <v>1.60352279139596</v>
      </c>
      <c r="DM22" s="0" t="n">
        <f aca="false">$DK$10 / $DK$9</f>
        <v>0.114537342242568</v>
      </c>
      <c r="DQ22" s="0" t="s">
        <v>133</v>
      </c>
      <c r="DR22" s="0" t="n">
        <f aca="false">$DR$9</f>
        <v>14</v>
      </c>
      <c r="DS22" s="0" t="n">
        <f aca="false">$DR$10</f>
        <v>1.07486951276567</v>
      </c>
      <c r="DT22" s="0" t="n">
        <f aca="false">$DR$10 / $DR$9</f>
        <v>0.0767763937689765</v>
      </c>
      <c r="DX22" s="0" t="s">
        <v>133</v>
      </c>
      <c r="DY22" s="0" t="n">
        <f aca="false">$DY$9</f>
        <v>14</v>
      </c>
      <c r="DZ22" s="0" t="n">
        <f aca="false">$DY$10</f>
        <v>1.49633084070205</v>
      </c>
      <c r="EA22" s="0" t="n">
        <f aca="false">$DY$10 / $DY$9</f>
        <v>0.106880774335861</v>
      </c>
    </row>
    <row r="23" customFormat="false" ht="13.2" hidden="false" customHeight="false" outlineLevel="0" collapsed="false">
      <c r="A23" s="0" t="s">
        <v>134</v>
      </c>
      <c r="B23" s="8" t="n">
        <v>14.06</v>
      </c>
      <c r="C23" s="8" t="n">
        <v>308.81</v>
      </c>
      <c r="D23" s="8" t="n">
        <v>15.33</v>
      </c>
      <c r="E23" s="8" t="n">
        <v>339.31</v>
      </c>
      <c r="F23" s="8" t="n">
        <f aca="false">656.13/2</f>
        <v>328.065</v>
      </c>
      <c r="G23" s="8" t="n">
        <f aca="false">B23+(D23-B23)*((F23-C23)/(E23-C23))</f>
        <v>14.8617655737705</v>
      </c>
      <c r="H23" s="15" t="n">
        <v>0.3</v>
      </c>
      <c r="I23" s="8" t="n">
        <f aca="false">(9.01+9.43+9.2+9.33+9.37+9.45+9.21+9.22+9.23)/9/2.355</f>
        <v>3.93724935126209</v>
      </c>
      <c r="J23" s="0" t="s">
        <v>135</v>
      </c>
      <c r="K23" s="8" t="n">
        <v>5.45</v>
      </c>
      <c r="L23" s="8" t="n">
        <v>87.273</v>
      </c>
      <c r="M23" s="8" t="n">
        <v>5.94</v>
      </c>
      <c r="N23" s="8" t="n">
        <v>103.9</v>
      </c>
      <c r="O23" s="8" t="n">
        <f aca="false">179.33/2</f>
        <v>89.665</v>
      </c>
      <c r="P23" s="8" t="n">
        <f aca="false">K23+(M23-K23)*((O23-L23)/(N23-L23))</f>
        <v>5.52049257232213</v>
      </c>
      <c r="Q23" s="15" t="n">
        <v>0.14</v>
      </c>
      <c r="R23" s="8" t="n">
        <v>6.32</v>
      </c>
      <c r="S23" s="8" t="n">
        <v>0.11</v>
      </c>
      <c r="T23" s="8" t="n">
        <v>6.32</v>
      </c>
      <c r="U23" s="8" t="n">
        <v>0.11</v>
      </c>
      <c r="V23" s="8" t="n">
        <v>0.4</v>
      </c>
      <c r="W23" s="8" t="n">
        <v>11</v>
      </c>
      <c r="X23" s="8"/>
      <c r="Y23" s="8" t="n">
        <v>0.4</v>
      </c>
      <c r="Z23" s="8" t="n">
        <v>71.1</v>
      </c>
      <c r="AA23" s="8" t="n">
        <v>83</v>
      </c>
      <c r="AB23" s="8" t="n">
        <v>8.14</v>
      </c>
      <c r="AC23" s="8" t="n">
        <v>1.31</v>
      </c>
      <c r="AD23" s="8" t="n">
        <v>32</v>
      </c>
      <c r="AE23" s="8" t="n">
        <v>0.7</v>
      </c>
      <c r="AF23" s="8" t="n">
        <v>41.09</v>
      </c>
      <c r="AG23" s="8" t="n">
        <f aca="false">AF23-LOG(2.87)</f>
        <v>40.632118103266</v>
      </c>
      <c r="AH23" s="8" t="n">
        <v>40.99</v>
      </c>
      <c r="AI23" s="8" t="n">
        <v>40.99</v>
      </c>
      <c r="AJ23" s="8" t="n">
        <v>55</v>
      </c>
      <c r="AK23" s="8"/>
      <c r="AL23" s="8"/>
      <c r="AM23" s="8"/>
      <c r="AN23" s="8" t="n">
        <f aca="false">G23*SQRT(1-H23)*0.161</f>
        <v>2.00191347386634</v>
      </c>
      <c r="AO23" s="0" t="n">
        <f aca="false">SQRT(G23^2*(1-H23)-I23^2)*0.161</f>
        <v>1.89890283208676</v>
      </c>
      <c r="AP23" s="8" t="n">
        <f aca="false">SQRT(G23^2*(1-H23)-I23^2)*(0.161*PI())/(180*3600)*(Sheet2!N23*10^6)</f>
        <v>633.60398056906</v>
      </c>
      <c r="AQ23" s="8" t="n">
        <f aca="false">LOG(AP23)</f>
        <v>2.80181789701222</v>
      </c>
      <c r="AR23" s="8"/>
      <c r="AS23" s="8" t="n">
        <f aca="false">P23*SQRT(1-Q23)*0.161</f>
        <v>0.824238566569223</v>
      </c>
      <c r="AT23" s="0" t="n">
        <f aca="false">SQRT(P23^2*(1-Q23)-I23^2)*0.161</f>
        <v>0.526824091589971</v>
      </c>
      <c r="AU23" s="8" t="n">
        <f aca="false">SQRT(P23^2*(1-Q23)-I23^2)*(0.161*PI())/(180*3600)*(Sheet2!N23*10^6)</f>
        <v>175.78458247085</v>
      </c>
      <c r="AV23" s="8" t="n">
        <f aca="false">LOG(AU23)</f>
        <v>2.24498078176473</v>
      </c>
      <c r="AW23" s="0" t="n">
        <f aca="false">LOG(AD23)</f>
        <v>1.50514997831991</v>
      </c>
      <c r="AX23" s="0" t="n">
        <f aca="false">LOG(4*$B$85)+2*LOG($B$81*Z23)+LOG(W23*10^(-14))+Y23*(1+$B$86) - LOG(2.87)</f>
        <v>40.6295612869068</v>
      </c>
      <c r="AY23" s="0" t="n">
        <f aca="false">LOG(4*$B$85)+2*LOG($B$81*Z23)+LOG(R23*10^(-14))+Y23</f>
        <v>40.9807675767649</v>
      </c>
      <c r="AZ23" s="0" t="n">
        <f aca="false">LOG(4*$B$85)+2*LOG($B$81*Z23)+LOG(T23*10^(-14))+Y23</f>
        <v>40.9807675767649</v>
      </c>
      <c r="BA23" s="0" t="n">
        <f aca="false">LOG(AA23)</f>
        <v>1.91907809237607</v>
      </c>
      <c r="BB23" s="0" t="n">
        <f aca="false">LOG(AJ23)</f>
        <v>1.74036268949424</v>
      </c>
      <c r="BC23" s="0" t="n">
        <f aca="false">I23*0.161</f>
        <v>0.633897145553197</v>
      </c>
      <c r="BD23" s="1" t="n">
        <f aca="false">LOG(4*$B$85)+2*LOG($B$81*Z23)+LOG(W23*10^(-14))+Y23*(1+$B$86)</f>
        <v>41.0874431836408</v>
      </c>
      <c r="BE23" s="8" t="n">
        <v>41.09</v>
      </c>
      <c r="BF23" s="8" t="n">
        <v>40.6295612869068</v>
      </c>
      <c r="BG23" s="8" t="n">
        <v>40.9807675767649</v>
      </c>
      <c r="BH23" s="8" t="n">
        <v>40.9807675767649</v>
      </c>
      <c r="BI23" s="8"/>
      <c r="BJ23" s="16" t="n">
        <v>2.80181789701222</v>
      </c>
      <c r="BK23" s="16"/>
      <c r="BL23" s="16" t="n">
        <v>2.24498078176473</v>
      </c>
      <c r="BM23" s="8" t="n">
        <v>1.50514997831991</v>
      </c>
      <c r="BN23" s="8" t="n">
        <v>8.14</v>
      </c>
      <c r="BO23" s="8" t="n">
        <v>1.91907809237607</v>
      </c>
      <c r="BP23" s="8" t="n">
        <v>1.74036268949424</v>
      </c>
      <c r="BR23" s="20"/>
      <c r="BS23" s="8" t="s">
        <v>136</v>
      </c>
      <c r="BT23" s="8" t="n">
        <f aca="false">$BT$21 + $BT$9</f>
        <v>38</v>
      </c>
      <c r="BU23" s="0" t="n">
        <f aca="false">$BS$10 + $BT$10</f>
        <v>2.9344686290845</v>
      </c>
      <c r="BZ23" s="0" t="s">
        <v>136</v>
      </c>
      <c r="CA23" s="0" t="n">
        <f aca="false">$CA$21 + $CA$9</f>
        <v>38</v>
      </c>
      <c r="CB23" s="0" t="n">
        <f aca="false">$BZ$10 + $CA$10</f>
        <v>9.08843657848396</v>
      </c>
      <c r="CG23" s="0" t="s">
        <v>136</v>
      </c>
      <c r="CH23" s="0" t="n">
        <f aca="false">$CH$21 + $CH$9</f>
        <v>38</v>
      </c>
      <c r="CI23" s="0" t="n">
        <f aca="false">$CG$10 + $CH$10</f>
        <v>8.18136611545983</v>
      </c>
      <c r="CN23" s="0" t="s">
        <v>136</v>
      </c>
      <c r="CO23" s="0" t="n">
        <f aca="false">$CO$21 + $CO$9</f>
        <v>38</v>
      </c>
      <c r="CP23" s="0" t="n">
        <f aca="false">$CN$10 + $CO$10</f>
        <v>9.32289006741893</v>
      </c>
      <c r="CU23" s="0" t="s">
        <v>136</v>
      </c>
      <c r="CV23" s="0" t="n">
        <f aca="false">$CV$21 + $CV$9</f>
        <v>38</v>
      </c>
      <c r="CW23" s="0" t="n">
        <f aca="false">$CU$10 + $CV$10</f>
        <v>8.18136611545983</v>
      </c>
      <c r="DC23" s="0" t="s">
        <v>136</v>
      </c>
      <c r="DD23" s="0" t="e">
        <f aca="false">$DD$21 + $DD$9</f>
        <v>#VALUE!</v>
      </c>
      <c r="DE23" s="0" t="e">
        <f aca="false">$DC$10 + $DD$10</f>
        <v>#VALUE!</v>
      </c>
      <c r="DJ23" s="0" t="s">
        <v>136</v>
      </c>
      <c r="DK23" s="0" t="n">
        <f aca="false">$DK$21 + $DK$9</f>
        <v>15</v>
      </c>
      <c r="DL23" s="0" t="n">
        <f aca="false">$DJ$10 + $DK$10</f>
        <v>2.82030770018816</v>
      </c>
      <c r="DQ23" s="0" t="s">
        <v>136</v>
      </c>
      <c r="DR23" s="0" t="n">
        <f aca="false">$DR$21 + $DR$9</f>
        <v>15</v>
      </c>
      <c r="DS23" s="0" t="n">
        <f aca="false">$DQ$10 + $DR$10</f>
        <v>1.92629184688428</v>
      </c>
      <c r="DX23" s="0" t="s">
        <v>136</v>
      </c>
      <c r="DY23" s="0" t="n">
        <f aca="false">$DY$21 + $DY$9</f>
        <v>15</v>
      </c>
      <c r="DZ23" s="0" t="n">
        <f aca="false">$DX$10 + $DY$10</f>
        <v>2.80467858125306</v>
      </c>
    </row>
    <row r="24" customFormat="false" ht="13.2" hidden="false" customHeight="false" outlineLevel="0" collapsed="false">
      <c r="A24" s="0" t="s">
        <v>137</v>
      </c>
      <c r="B24" s="8" t="n">
        <v>19.85</v>
      </c>
      <c r="C24" s="8" t="n">
        <v>292.66</v>
      </c>
      <c r="D24" s="8" t="n">
        <v>21.64</v>
      </c>
      <c r="E24" s="8" t="n">
        <v>319.5</v>
      </c>
      <c r="F24" s="8" t="n">
        <v>318.35</v>
      </c>
      <c r="G24" s="8" t="n">
        <f aca="false">B24+(D24-B24)*((F24-C24)/(E24-C24))</f>
        <v>21.5633047690015</v>
      </c>
      <c r="H24" s="15" t="n">
        <v>0.45</v>
      </c>
      <c r="I24" s="8" t="n">
        <f aca="false">(9.48+9.46+9.6+9.44+9.55+9.56+9.71+9.5)/8/2.355</f>
        <v>4.04989384288747</v>
      </c>
      <c r="J24" s="0" t="s">
        <v>138</v>
      </c>
      <c r="K24" s="8" t="n">
        <v>4.21</v>
      </c>
      <c r="L24" s="8" t="n">
        <v>48.516</v>
      </c>
      <c r="M24" s="8" t="n">
        <v>4.59</v>
      </c>
      <c r="N24" s="8" t="n">
        <v>60.667</v>
      </c>
      <c r="O24" s="8" t="n">
        <f aca="false">117.41/2</f>
        <v>58.705</v>
      </c>
      <c r="P24" s="8" t="n">
        <f aca="false">K24+(M24-K24)*((O24-L24)/(N24-L24))</f>
        <v>4.52864208707102</v>
      </c>
      <c r="Q24" s="15" t="n">
        <v>0.05</v>
      </c>
      <c r="R24" s="8" t="n">
        <v>2.37</v>
      </c>
      <c r="S24" s="8" t="n">
        <v>0.12</v>
      </c>
      <c r="T24" s="8" t="n">
        <v>2.37</v>
      </c>
      <c r="U24" s="8" t="n">
        <v>0.12</v>
      </c>
      <c r="V24" s="8" t="n">
        <v>0.19</v>
      </c>
      <c r="W24" s="8" t="n">
        <v>2.9</v>
      </c>
      <c r="X24" s="8"/>
      <c r="Y24" s="8" t="n">
        <v>0.19</v>
      </c>
      <c r="Z24" s="8" t="n">
        <v>110.9</v>
      </c>
      <c r="AA24" s="8" t="n">
        <v>28</v>
      </c>
      <c r="AB24" s="8" t="n">
        <v>7.77</v>
      </c>
      <c r="AC24" s="8" t="n">
        <v>1.229</v>
      </c>
      <c r="AD24" s="8" t="n">
        <v>28.7</v>
      </c>
      <c r="AE24" s="8" t="n">
        <v>2.2</v>
      </c>
      <c r="AF24" s="8" t="n">
        <v>40.76</v>
      </c>
      <c r="AG24" s="8" t="n">
        <f aca="false">AF24-LOG(2.87)</f>
        <v>40.302118103266</v>
      </c>
      <c r="AH24" s="8" t="n">
        <v>40.72</v>
      </c>
      <c r="AI24" s="8" t="n">
        <v>40.72</v>
      </c>
      <c r="AJ24" s="8" t="n">
        <v>29</v>
      </c>
      <c r="AK24" s="8"/>
      <c r="AL24" s="8"/>
      <c r="AM24" s="8"/>
      <c r="AN24" s="8" t="n">
        <f aca="false">G24*SQRT(1-H24)*0.161</f>
        <v>2.57467574609489</v>
      </c>
      <c r="AO24" s="0" t="n">
        <f aca="false">SQRT(G24^2*(1-H24)-I24^2)*0.161</f>
        <v>2.49074452393158</v>
      </c>
      <c r="AP24" s="8" t="n">
        <f aca="false">SQRT(G24^2*(1-H24)-I24^2)*(0.161*PI())/(180*3600)*(Sheet2!N24*10^6)</f>
        <v>1272.678405446</v>
      </c>
      <c r="AQ24" s="8" t="n">
        <f aca="false">LOG(AP24)</f>
        <v>3.10471867515012</v>
      </c>
      <c r="AR24" s="8"/>
      <c r="AS24" s="8" t="n">
        <f aca="false">P24*SQRT(1-Q24)*0.161</f>
        <v>0.710649863651236</v>
      </c>
      <c r="AT24" s="0" t="n">
        <f aca="false">SQRT(P24^2*(1-Q24)-I24^2)*0.161</f>
        <v>0.282623981065604</v>
      </c>
      <c r="AU24" s="8" t="n">
        <f aca="false">SQRT(P24^2*(1-Q24)-I24^2)*(0.161*PI())/(180*3600)*(Sheet2!N24*10^6)</f>
        <v>144.410409862354</v>
      </c>
      <c r="AV24" s="8" t="n">
        <f aca="false">LOG(AU24)</f>
        <v>2.15959850059392</v>
      </c>
      <c r="AW24" s="0" t="n">
        <f aca="false">LOG(AD24)</f>
        <v>1.45788189673399</v>
      </c>
      <c r="AX24" s="0" t="n">
        <f aca="false">LOG(4*$B$85)+2*LOG($B$81*Z24)+LOG(W24*10^(-14))+Y24*(1+$B$86) - LOG(2.87)</f>
        <v>40.2970404904863</v>
      </c>
      <c r="AY24" s="0" t="n">
        <f aca="false">LOG(4*$B$85)+2*LOG($B$81*Z24)+LOG(R24*10^(-14))+Y24</f>
        <v>40.7309227353314</v>
      </c>
      <c r="AZ24" s="0" t="n">
        <f aca="false">LOG(4*$B$85)+2*LOG($B$81*Z24)+LOG(T24*10^(-14))+Y24</f>
        <v>40.7309227353314</v>
      </c>
      <c r="BA24" s="0" t="n">
        <f aca="false">LOG(AA24)</f>
        <v>1.44715803134222</v>
      </c>
      <c r="BB24" s="0" t="n">
        <f aca="false">LOG(AJ24)</f>
        <v>1.46239799789896</v>
      </c>
      <c r="BC24" s="0" t="n">
        <f aca="false">I24*0.161</f>
        <v>0.652032908704883</v>
      </c>
      <c r="BD24" s="1" t="n">
        <f aca="false">LOG(4*$B$85)+2*LOG($B$81*Z24)+LOG(W24*10^(-14))+Y24*(1+$B$86)</f>
        <v>40.7549223872203</v>
      </c>
      <c r="BE24" s="8" t="n">
        <v>40.76</v>
      </c>
      <c r="BF24" s="8" t="n">
        <v>40.2970404904863</v>
      </c>
      <c r="BG24" s="8" t="n">
        <v>40.7309227353314</v>
      </c>
      <c r="BH24" s="8" t="n">
        <v>40.7309227353314</v>
      </c>
      <c r="BI24" s="8"/>
      <c r="BJ24" s="16" t="n">
        <v>3.10471867515012</v>
      </c>
      <c r="BK24" s="16"/>
      <c r="BL24" s="16" t="n">
        <v>2.15959850059392</v>
      </c>
      <c r="BM24" s="8" t="n">
        <v>1.45788189673399</v>
      </c>
      <c r="BN24" s="8" t="n">
        <v>7.77</v>
      </c>
      <c r="BO24" s="8" t="n">
        <v>1.44715803134222</v>
      </c>
      <c r="BP24" s="8" t="n">
        <v>1.46239799789896</v>
      </c>
      <c r="BR24" s="20"/>
      <c r="BS24" s="8"/>
      <c r="BT24" s="8"/>
    </row>
    <row r="25" customFormat="false" ht="13.2" hidden="false" customHeight="false" outlineLevel="0" collapsed="false">
      <c r="A25" s="0" t="s">
        <v>139</v>
      </c>
      <c r="B25" s="8" t="n">
        <v>38.43</v>
      </c>
      <c r="C25" s="8" t="n">
        <v>2159.9</v>
      </c>
      <c r="D25" s="8" t="n">
        <v>40.74</v>
      </c>
      <c r="E25" s="8" t="n">
        <v>2357.6</v>
      </c>
      <c r="F25" s="8" t="n">
        <f aca="false">4592.5/2</f>
        <v>2296.25</v>
      </c>
      <c r="G25" s="8" t="n">
        <f aca="false">B25+(D25-B25)*((F25-C25)/(E25-C25))</f>
        <v>40.0231638846738</v>
      </c>
      <c r="H25" s="15" t="n">
        <v>0.232</v>
      </c>
      <c r="I25" s="8" t="n">
        <f aca="false">(5.27+5.72+5.7+5.73+5.67+5.61+5.52+5.16+5.46)/9/2.355</f>
        <v>2.3514979948101</v>
      </c>
      <c r="J25" s="0" t="s">
        <v>140</v>
      </c>
      <c r="K25" s="8" t="n">
        <v>3.54</v>
      </c>
      <c r="L25" s="8" t="n">
        <v>65.819</v>
      </c>
      <c r="M25" s="8" t="n">
        <v>3.86</v>
      </c>
      <c r="N25" s="8" t="n">
        <v>77.512</v>
      </c>
      <c r="O25" s="8" t="n">
        <f aca="false">152.25/2</f>
        <v>76.125</v>
      </c>
      <c r="P25" s="8" t="n">
        <f aca="false">K25+(M25-K25)*((O25-L25)/(N25-L25))</f>
        <v>3.8220422474985</v>
      </c>
      <c r="Q25" s="15" t="n">
        <v>0.05</v>
      </c>
      <c r="R25" s="8" t="n">
        <v>31.15</v>
      </c>
      <c r="S25" s="8" t="n">
        <v>1.4</v>
      </c>
      <c r="T25" s="8" t="n">
        <v>5.07</v>
      </c>
      <c r="U25" s="8" t="n">
        <v>0.5</v>
      </c>
      <c r="V25" s="8" t="n">
        <v>0.17</v>
      </c>
      <c r="W25" s="8" t="n">
        <v>20</v>
      </c>
      <c r="X25" s="8"/>
      <c r="Y25" s="8" t="n">
        <v>0.17</v>
      </c>
      <c r="Z25" s="8" t="n">
        <v>18.8</v>
      </c>
      <c r="AA25" s="8" t="n">
        <v>36</v>
      </c>
      <c r="AB25" s="8" t="n">
        <v>8.02</v>
      </c>
      <c r="AC25" s="8" t="n">
        <v>1.031</v>
      </c>
      <c r="AD25" s="8" t="n">
        <v>24.7</v>
      </c>
      <c r="AE25" s="8" t="n">
        <v>2.2</v>
      </c>
      <c r="AF25" s="8" t="n">
        <v>40.05</v>
      </c>
      <c r="AG25" s="8" t="n">
        <f aca="false">AF25-LOG(2.87)</f>
        <v>39.592118103266</v>
      </c>
      <c r="AH25" s="8" t="n">
        <v>40</v>
      </c>
      <c r="AI25" s="8" t="n">
        <v>39.21</v>
      </c>
      <c r="AJ25" s="8" t="n">
        <v>36</v>
      </c>
      <c r="AK25" s="8"/>
      <c r="AL25" s="8"/>
      <c r="AM25" s="8"/>
      <c r="AN25" s="8" t="n">
        <f aca="false">G25*SQRT(1-H25)*0.161</f>
        <v>5.64700150217643</v>
      </c>
      <c r="AO25" s="0" t="n">
        <f aca="false">SQRT(G25^2*(1-H25)-I25^2)*0.161</f>
        <v>5.63429629023502</v>
      </c>
      <c r="AP25" s="8" t="n">
        <f aca="false">SQRT(G25^2*(1-H25)-I25^2)*(0.161*PI())/(180*3600)*(Sheet2!N25*10^6)</f>
        <v>510.124455777984</v>
      </c>
      <c r="AQ25" s="8" t="n">
        <f aca="false">LOG(AP25)</f>
        <v>2.70767614445813</v>
      </c>
      <c r="AR25" s="8"/>
      <c r="AS25" s="8" t="n">
        <f aca="false">P25*SQRT(1-Q25)*0.161</f>
        <v>0.599767822192984</v>
      </c>
      <c r="AT25" s="0" t="n">
        <f aca="false">SQRT(P25^2*(1-Q25)-I25^2)*0.161</f>
        <v>0.465177558692773</v>
      </c>
      <c r="AU25" s="8" t="n">
        <f aca="false">SQRT(P25^2*(1-Q25)-I25^2)*(0.161*PI())/(180*3600)*(Sheet2!N25*10^6)</f>
        <v>42.1167856187386</v>
      </c>
      <c r="AV25" s="8" t="n">
        <f aca="false">LOG(AU25)</f>
        <v>1.62445521813276</v>
      </c>
      <c r="AW25" s="0" t="n">
        <f aca="false">LOG(AD25)</f>
        <v>1.39269695325967</v>
      </c>
      <c r="AX25" s="0" t="n">
        <f aca="false">LOG(4*$B$85)+2*LOG($B$81*Z25)+LOG(W25*10^(-14))+Y25*(1+$B$86) - LOG(2.87)</f>
        <v>39.5808250944804</v>
      </c>
      <c r="AY25" s="0" t="n">
        <f aca="false">LOG(4*$B$85)+2*LOG($B$81*Z25)+LOG(R25*10^(-14))+Y25</f>
        <v>40.2880850465456</v>
      </c>
      <c r="AZ25" s="0" t="n">
        <f aca="false">LOG(4*$B$85)+2*LOG($B$81*Z25)+LOG(T25*10^(-14))+Y25</f>
        <v>39.4996349548837</v>
      </c>
      <c r="BA25" s="0" t="n">
        <f aca="false">LOG(AA25)</f>
        <v>1.55630250076729</v>
      </c>
      <c r="BB25" s="0" t="n">
        <f aca="false">LOG(AJ25)</f>
        <v>1.55630250076729</v>
      </c>
      <c r="BC25" s="0" t="n">
        <f aca="false">I25*0.161</f>
        <v>0.378591177164426</v>
      </c>
      <c r="BD25" s="1" t="n">
        <f aca="false">LOG(4*$B$85)+2*LOG($B$81*Z25)+LOG(W25*10^(-14))+Y25*(1+$B$86)</f>
        <v>40.0387069912143</v>
      </c>
      <c r="BE25" s="8" t="n">
        <v>40.05</v>
      </c>
      <c r="BF25" s="8" t="n">
        <v>39.5808250944804</v>
      </c>
      <c r="BG25" s="8" t="n">
        <v>40.2880850465456</v>
      </c>
      <c r="BH25" s="8" t="n">
        <v>39.4996349548837</v>
      </c>
      <c r="BI25" s="8"/>
      <c r="BJ25" s="16" t="n">
        <v>2.70767614445813</v>
      </c>
      <c r="BK25" s="16"/>
      <c r="BL25" s="16" t="n">
        <v>1.62445521813276</v>
      </c>
      <c r="BM25" s="8" t="n">
        <v>1.39269695325967</v>
      </c>
      <c r="BN25" s="8" t="n">
        <v>8.02</v>
      </c>
      <c r="BO25" s="8" t="n">
        <v>1.55630250076729</v>
      </c>
      <c r="BP25" s="8" t="n">
        <v>1.55630250076729</v>
      </c>
      <c r="BR25" s="20"/>
      <c r="BS25" s="8" t="s">
        <v>141</v>
      </c>
      <c r="BT25" s="8" t="n">
        <v>0.95</v>
      </c>
      <c r="BZ25" s="0" t="s">
        <v>141</v>
      </c>
      <c r="CA25" s="0" t="n">
        <v>0.95</v>
      </c>
      <c r="CG25" s="0" t="s">
        <v>141</v>
      </c>
      <c r="CH25" s="0" t="n">
        <v>0.95</v>
      </c>
      <c r="CN25" s="0" t="s">
        <v>141</v>
      </c>
      <c r="CO25" s="0" t="n">
        <v>0.95</v>
      </c>
      <c r="CU25" s="0" t="s">
        <v>141</v>
      </c>
      <c r="CV25" s="0" t="n">
        <v>0.95</v>
      </c>
      <c r="DC25" s="0" t="s">
        <v>141</v>
      </c>
      <c r="DD25" s="0" t="n">
        <v>0.95</v>
      </c>
      <c r="DJ25" s="0" t="s">
        <v>141</v>
      </c>
      <c r="DK25" s="0" t="n">
        <v>0.95</v>
      </c>
      <c r="DQ25" s="0" t="s">
        <v>141</v>
      </c>
      <c r="DR25" s="0" t="n">
        <v>0.95</v>
      </c>
      <c r="DX25" s="0" t="s">
        <v>141</v>
      </c>
      <c r="DY25" s="0" t="n">
        <v>0.95</v>
      </c>
    </row>
    <row r="26" customFormat="false" ht="13.2" hidden="false" customHeight="false" outlineLevel="0" collapsed="false">
      <c r="A26" s="0" t="s">
        <v>142</v>
      </c>
      <c r="B26" s="8" t="n">
        <v>47</v>
      </c>
      <c r="C26" s="8" t="n">
        <v>7273.2</v>
      </c>
      <c r="D26" s="8" t="n">
        <v>51.23</v>
      </c>
      <c r="E26" s="8" t="n">
        <v>8116.5</v>
      </c>
      <c r="F26" s="8" t="n">
        <v>7512</v>
      </c>
      <c r="G26" s="8" t="n">
        <f aca="false">B26+(D26-B26)*((F26-C26)/(E26-C26))</f>
        <v>48.1978228388474</v>
      </c>
      <c r="H26" s="15" t="n">
        <v>0.2165</v>
      </c>
      <c r="I26" s="8" t="n">
        <f aca="false">(4.7+4.9+4.8+4.73+4.71+4.58+4.78+4.52+4.82+4.58)/10/2.355</f>
        <v>2.00084925690021</v>
      </c>
      <c r="J26" s="0" t="s">
        <v>143</v>
      </c>
      <c r="K26" s="8" t="n">
        <v>5</v>
      </c>
      <c r="L26" s="8" t="n">
        <v>557.19</v>
      </c>
      <c r="M26" s="8" t="n">
        <v>5.45</v>
      </c>
      <c r="N26" s="8" t="n">
        <v>651.6</v>
      </c>
      <c r="O26" s="8" t="n">
        <f aca="false">1185.6/2</f>
        <v>592.8</v>
      </c>
      <c r="P26" s="8" t="n">
        <f aca="false">K26+(M26-K26)*((O26-L26)/(N26-L26))</f>
        <v>5.16973307912297</v>
      </c>
      <c r="Q26" s="15" t="n">
        <v>0.05</v>
      </c>
      <c r="R26" s="8" t="n">
        <v>87.43</v>
      </c>
      <c r="S26" s="8" t="n">
        <v>2.9</v>
      </c>
      <c r="T26" s="8" t="n">
        <v>19.86</v>
      </c>
      <c r="U26" s="8" t="n">
        <v>1.7</v>
      </c>
      <c r="V26" s="8" t="n">
        <v>0.36</v>
      </c>
      <c r="W26" s="8" t="n">
        <v>74</v>
      </c>
      <c r="X26" s="8"/>
      <c r="Y26" s="8" t="n">
        <v>0.4</v>
      </c>
      <c r="Z26" s="8" t="n">
        <v>20.2</v>
      </c>
      <c r="AA26" s="8" t="n">
        <v>62</v>
      </c>
      <c r="AB26" s="8" t="n">
        <v>8.28</v>
      </c>
      <c r="AC26" s="8" t="s">
        <v>95</v>
      </c>
      <c r="AD26" s="8" t="n">
        <v>31.9</v>
      </c>
      <c r="AE26" s="8" t="n">
        <v>3.5</v>
      </c>
      <c r="AF26" s="8" t="n">
        <v>40.83</v>
      </c>
      <c r="AG26" s="8" t="n">
        <f aca="false">AF26-LOG(2.87)</f>
        <v>40.372118103266</v>
      </c>
      <c r="AH26" s="8" t="n">
        <v>40.76</v>
      </c>
      <c r="AI26" s="8" t="n">
        <v>40.12</v>
      </c>
      <c r="AJ26" s="8" t="n">
        <v>31</v>
      </c>
      <c r="AK26" s="8"/>
      <c r="AL26" s="8"/>
      <c r="AM26" s="8"/>
      <c r="AN26" s="8" t="n">
        <f aca="false">G26*SQRT(1-H26)*0.161</f>
        <v>6.86867230771534</v>
      </c>
      <c r="AO26" s="0" t="n">
        <f aca="false">SQRT(G26^2*(1-H26)-I26^2)*0.161</f>
        <v>6.86111413676584</v>
      </c>
      <c r="AP26" s="8" t="n">
        <f aca="false">SQRT(G26^2*(1-H26)-I26^2)*(0.161*PI())/(180*3600)*(Sheet2!N26*10^6)</f>
        <v>666.980338766231</v>
      </c>
      <c r="AQ26" s="8" t="n">
        <f aca="false">LOG(AP26)</f>
        <v>2.82411303198074</v>
      </c>
      <c r="AR26" s="8"/>
      <c r="AS26" s="8" t="n">
        <f aca="false">P26*SQRT(1-Q26)*0.161</f>
        <v>0.811252034750259</v>
      </c>
      <c r="AT26" s="0" t="n">
        <f aca="false">SQRT(P26^2*(1-Q26)-I26^2)*0.161</f>
        <v>0.744552073960447</v>
      </c>
      <c r="AU26" s="8" t="n">
        <f aca="false">SQRT(P26^2*(1-Q26)-I26^2)*(0.161*PI())/(180*3600)*(Sheet2!N26*10^6)</f>
        <v>72.3791478497871</v>
      </c>
      <c r="AV26" s="8" t="n">
        <f aca="false">LOG(AU26)</f>
        <v>1.8596134656703</v>
      </c>
      <c r="AW26" s="0" t="n">
        <f aca="false">LOG(AD26)</f>
        <v>1.50379068305718</v>
      </c>
      <c r="AX26" s="0" t="n">
        <f aca="false">LOG(4*$B$85)+2*LOG($B$81*Z26)+LOG(W26*10^(-14))+Y26*(1+$B$86) - LOG(2.87)</f>
        <v>40.3643638589132</v>
      </c>
      <c r="AY26" s="0" t="n">
        <f aca="false">LOG(4*$B$85)+2*LOG($B$81*Z26)+LOG(R26*10^(-14))+Y26</f>
        <v>41.0286745143046</v>
      </c>
      <c r="AZ26" s="0" t="n">
        <f aca="false">LOG(4*$B$85)+2*LOG($B$81*Z26)+LOG(T26*10^(-14))+Y26</f>
        <v>40.3849932800756</v>
      </c>
      <c r="BA26" s="0" t="n">
        <f aca="false">LOG(AA26)</f>
        <v>1.79239168949825</v>
      </c>
      <c r="BB26" s="0" t="n">
        <f aca="false">LOG(AJ26)</f>
        <v>1.49136169383427</v>
      </c>
      <c r="BC26" s="0" t="n">
        <f aca="false">I26*0.161</f>
        <v>0.322136730360934</v>
      </c>
      <c r="BD26" s="1" t="n">
        <f aca="false">LOG(4*$B$85)+2*LOG($B$81*Z26)+LOG(W26*10^(-14))+Y26*(1+$B$86)</f>
        <v>40.8222457556472</v>
      </c>
      <c r="BE26" s="8" t="n">
        <v>40.83</v>
      </c>
      <c r="BF26" s="8" t="n">
        <v>40.3643638589132</v>
      </c>
      <c r="BG26" s="8" t="n">
        <v>41.0286745143046</v>
      </c>
      <c r="BH26" s="8" t="n">
        <v>40.3849932800756</v>
      </c>
      <c r="BI26" s="8"/>
      <c r="BJ26" s="16" t="n">
        <v>2.82411303198074</v>
      </c>
      <c r="BK26" s="16"/>
      <c r="BL26" s="16" t="n">
        <v>1.8596134656703</v>
      </c>
      <c r="BM26" s="8" t="n">
        <v>1.50379068305718</v>
      </c>
      <c r="BN26" s="8" t="n">
        <v>8.28</v>
      </c>
      <c r="BO26" s="8" t="n">
        <v>1.79239168949825</v>
      </c>
      <c r="BP26" s="8" t="n">
        <v>1.49136169383427</v>
      </c>
      <c r="BR26" s="20"/>
      <c r="BS26" s="8"/>
      <c r="BT26" s="8"/>
    </row>
    <row r="27" customFormat="false" ht="13.2" hidden="false" customHeight="false" outlineLevel="0" collapsed="false">
      <c r="A27" s="0" t="s">
        <v>144</v>
      </c>
      <c r="B27" s="8" t="n">
        <v>16.11</v>
      </c>
      <c r="C27" s="8" t="n">
        <v>715.26</v>
      </c>
      <c r="D27" s="8" t="n">
        <v>17.72</v>
      </c>
      <c r="E27" s="8" t="n">
        <v>802.33</v>
      </c>
      <c r="F27" s="8" t="n">
        <v>797</v>
      </c>
      <c r="G27" s="8" t="n">
        <f aca="false">B27+(D27-B27)*((F27-C27)/(E27-C27))</f>
        <v>17.6214436660158</v>
      </c>
      <c r="H27" s="15" t="n">
        <v>0.4176</v>
      </c>
      <c r="I27" s="8" t="n">
        <f aca="false">(9.15+9.33+9.46+9.4+9.48+8.94+9.08+9.5+9.19+9.06)/10/2.355</f>
        <v>3.93163481953291</v>
      </c>
      <c r="J27" s="0" t="s">
        <v>145</v>
      </c>
      <c r="K27" s="8" t="n">
        <v>5.35</v>
      </c>
      <c r="L27" s="8" t="n">
        <v>163.48</v>
      </c>
      <c r="M27" s="8" t="n">
        <v>5.72</v>
      </c>
      <c r="N27" s="8" t="n">
        <v>186.13</v>
      </c>
      <c r="O27" s="8" t="n">
        <f aca="false">329.9/2</f>
        <v>164.95</v>
      </c>
      <c r="P27" s="8" t="n">
        <f aca="false">K27+(M27-K27)*((O27-L27)/(N27-L27))</f>
        <v>5.37401324503311</v>
      </c>
      <c r="Q27" s="15" t="n">
        <v>0.156</v>
      </c>
      <c r="R27" s="8" t="n">
        <v>1.15</v>
      </c>
      <c r="S27" s="8" t="n">
        <v>0.04</v>
      </c>
      <c r="T27" s="8" t="n">
        <v>1.15</v>
      </c>
      <c r="U27" s="8" t="n">
        <v>0.04</v>
      </c>
      <c r="V27" s="8" t="n">
        <v>0.78</v>
      </c>
      <c r="W27" s="8" t="n">
        <v>4</v>
      </c>
      <c r="X27" s="8"/>
      <c r="Y27" s="8" t="n">
        <v>0.79</v>
      </c>
      <c r="Z27" s="8" t="n">
        <v>134.5</v>
      </c>
      <c r="AA27" s="8" t="n">
        <v>9</v>
      </c>
      <c r="AB27" s="8" t="n">
        <v>8.71</v>
      </c>
      <c r="AC27" s="8" t="n">
        <v>2.356</v>
      </c>
      <c r="AD27" s="8" t="n">
        <v>58.8</v>
      </c>
      <c r="AE27" s="8" t="n">
        <v>2.9</v>
      </c>
      <c r="AF27" s="8" t="n">
        <v>41.47</v>
      </c>
      <c r="AG27" s="8" t="n">
        <f aca="false">AF27-LOG(2.87)</f>
        <v>41.012118103266</v>
      </c>
      <c r="AH27" s="8" t="n">
        <v>41.12</v>
      </c>
      <c r="AI27" s="8" t="n">
        <v>41.12</v>
      </c>
      <c r="AJ27" s="8" t="n">
        <v>6</v>
      </c>
      <c r="AK27" s="8"/>
      <c r="AL27" s="8"/>
      <c r="AM27" s="8"/>
      <c r="AN27" s="8" t="n">
        <f aca="false">G27*SQRT(1-H27)*0.161</f>
        <v>2.16510042373618</v>
      </c>
      <c r="AO27" s="0" t="n">
        <f aca="false">SQRT(G27^2*(1-H27)-I27^2)*0.161</f>
        <v>2.07050222074025</v>
      </c>
      <c r="AP27" s="8" t="n">
        <f aca="false">SQRT(G27^2*(1-H27)-I27^2)*(0.161*PI())/(180*3600)*(Sheet2!N27*10^6)</f>
        <v>1270.81700793158</v>
      </c>
      <c r="AQ27" s="8" t="n">
        <f aca="false">LOG(AP27)</f>
        <v>3.10408301855785</v>
      </c>
      <c r="AR27" s="8"/>
      <c r="AS27" s="8" t="n">
        <f aca="false">P27*SQRT(1-Q27)*0.161</f>
        <v>0.794869497929911</v>
      </c>
      <c r="AT27" s="0" t="n">
        <f aca="false">SQRT(P27^2*(1-Q27)-I27^2)*0.161</f>
        <v>0.480767220146169</v>
      </c>
      <c r="AU27" s="8" t="n">
        <f aca="false">SQRT(P27^2*(1-Q27)-I27^2)*(0.161*PI())/(180*3600)*(Sheet2!N27*10^6)</f>
        <v>295.081625171745</v>
      </c>
      <c r="AV27" s="8" t="n">
        <f aca="false">LOG(AU27)</f>
        <v>2.46994216668405</v>
      </c>
      <c r="AW27" s="0" t="n">
        <f aca="false">LOG(AD27)</f>
        <v>1.76937732607614</v>
      </c>
      <c r="AX27" s="0" t="n">
        <f aca="false">LOG(4*$B$85)+2*LOG($B$81*Z27)+LOG(W27*10^(-14))+Y27*(1+$B$86) - LOG(2.87)</f>
        <v>41.0032839602938</v>
      </c>
      <c r="AY27" s="0" t="n">
        <f aca="false">LOG(4*$B$85)+2*LOG($B$81*Z27)+LOG(R27*10^(-14))+Y27</f>
        <v>41.1844537060535</v>
      </c>
      <c r="AZ27" s="0" t="n">
        <f aca="false">LOG(4*$B$85)+2*LOG($B$81*Z27)+LOG(T27*10^(-14))+Y27</f>
        <v>41.1844537060535</v>
      </c>
      <c r="BA27" s="0" t="n">
        <f aca="false">LOG(AA27)</f>
        <v>0.954242509439325</v>
      </c>
      <c r="BB27" s="0" t="n">
        <f aca="false">LOG(AJ27)</f>
        <v>0.778151250383644</v>
      </c>
      <c r="BC27" s="0" t="n">
        <f aca="false">I27*0.161</f>
        <v>0.632993205944798</v>
      </c>
      <c r="BD27" s="1" t="n">
        <f aca="false">LOG(4*$B$85)+2*LOG($B$81*Z27)+LOG(W27*10^(-14))+Y27*(1+$B$86)</f>
        <v>41.4611658570278</v>
      </c>
      <c r="BE27" s="8" t="n">
        <v>41.47</v>
      </c>
      <c r="BF27" s="8" t="n">
        <v>41.0032839602938</v>
      </c>
      <c r="BG27" s="8" t="n">
        <v>41.1844537060535</v>
      </c>
      <c r="BH27" s="8" t="n">
        <v>41.1844537060535</v>
      </c>
      <c r="BI27" s="8"/>
      <c r="BJ27" s="16" t="n">
        <v>3.10408301855785</v>
      </c>
      <c r="BK27" s="16"/>
      <c r="BL27" s="16" t="n">
        <v>2.46994216668405</v>
      </c>
      <c r="BM27" s="8" t="n">
        <v>1.76937732607614</v>
      </c>
      <c r="BN27" s="8" t="n">
        <v>8.71</v>
      </c>
      <c r="BO27" s="8" t="n">
        <v>0.954242509439325</v>
      </c>
      <c r="BP27" s="8" t="n">
        <v>0.778151250383644</v>
      </c>
      <c r="BR27" s="20"/>
      <c r="BS27" s="8"/>
      <c r="BT27" s="8" t="s">
        <v>146</v>
      </c>
      <c r="BU27" s="0" t="s">
        <v>106</v>
      </c>
      <c r="BV27" s="0" t="s">
        <v>147</v>
      </c>
      <c r="BW27" s="0" t="s">
        <v>148</v>
      </c>
      <c r="BX27" s="0" t="str">
        <f aca="false">_xlfn.CONCAT("Lower " , INT($BT$25 * 100) , "%")</f>
        <v>Lower 95%</v>
      </c>
      <c r="BY27" s="0" t="str">
        <f aca="false">_xlfn.CONCAT("Upper " , INT($BT$25 * 100) , "%")</f>
        <v>Upper 95%</v>
      </c>
      <c r="CA27" s="0" t="s">
        <v>146</v>
      </c>
      <c r="CB27" s="0" t="s">
        <v>106</v>
      </c>
      <c r="CC27" s="0" t="s">
        <v>147</v>
      </c>
      <c r="CD27" s="0" t="s">
        <v>148</v>
      </c>
      <c r="CE27" s="0" t="str">
        <f aca="false">_xlfn.CONCAT("Lower " , INT($CA$25 * 100) , "%")</f>
        <v>Lower 95%</v>
      </c>
      <c r="CF27" s="0" t="str">
        <f aca="false">_xlfn.CONCAT("Upper " , INT($CA$25 * 100) , "%")</f>
        <v>Upper 95%</v>
      </c>
      <c r="CH27" s="0" t="s">
        <v>146</v>
      </c>
      <c r="CI27" s="0" t="s">
        <v>106</v>
      </c>
      <c r="CJ27" s="0" t="s">
        <v>147</v>
      </c>
      <c r="CK27" s="0" t="s">
        <v>148</v>
      </c>
      <c r="CL27" s="0" t="str">
        <f aca="false">_xlfn.CONCAT("Lower " , INT($CH$25 * 100) , "%")</f>
        <v>Lower 95%</v>
      </c>
      <c r="CM27" s="0" t="str">
        <f aca="false">_xlfn.CONCAT("Upper " , INT($CH$25 * 100) , "%")</f>
        <v>Upper 95%</v>
      </c>
      <c r="CO27" s="0" t="s">
        <v>146</v>
      </c>
      <c r="CP27" s="0" t="s">
        <v>106</v>
      </c>
      <c r="CQ27" s="0" t="s">
        <v>147</v>
      </c>
      <c r="CR27" s="0" t="s">
        <v>148</v>
      </c>
      <c r="CS27" s="0" t="str">
        <f aca="false">_xlfn.CONCAT("Lower " , INT($CO$25 * 100) , "%")</f>
        <v>Lower 95%</v>
      </c>
      <c r="CT27" s="0" t="str">
        <f aca="false">_xlfn.CONCAT("Upper " , INT($CO$25 * 100) , "%")</f>
        <v>Upper 95%</v>
      </c>
      <c r="CV27" s="0" t="s">
        <v>146</v>
      </c>
      <c r="CW27" s="0" t="s">
        <v>106</v>
      </c>
      <c r="CX27" s="0" t="s">
        <v>147</v>
      </c>
      <c r="CY27" s="0" t="s">
        <v>148</v>
      </c>
      <c r="CZ27" s="0" t="str">
        <f aca="false">_xlfn.CONCAT("Lower " , INT($CV$25 * 100) , "%")</f>
        <v>Lower 95%</v>
      </c>
      <c r="DA27" s="0" t="str">
        <f aca="false">_xlfn.CONCAT("Upper " , INT($CV$25 * 100) , "%")</f>
        <v>Upper 95%</v>
      </c>
      <c r="DD27" s="0" t="s">
        <v>146</v>
      </c>
      <c r="DE27" s="0" t="s">
        <v>106</v>
      </c>
      <c r="DF27" s="0" t="s">
        <v>147</v>
      </c>
      <c r="DG27" s="0" t="s">
        <v>148</v>
      </c>
      <c r="DH27" s="0" t="str">
        <f aca="false">_xlfn.CONCAT("Lower " , INT($DD$25 * 100) , "%")</f>
        <v>Lower 95%</v>
      </c>
      <c r="DI27" s="0" t="str">
        <f aca="false">_xlfn.CONCAT("Upper " , INT($DD$25 * 100) , "%")</f>
        <v>Upper 95%</v>
      </c>
      <c r="DK27" s="0" t="s">
        <v>146</v>
      </c>
      <c r="DL27" s="0" t="s">
        <v>106</v>
      </c>
      <c r="DM27" s="0" t="s">
        <v>147</v>
      </c>
      <c r="DN27" s="0" t="s">
        <v>148</v>
      </c>
      <c r="DO27" s="0" t="str">
        <f aca="false">_xlfn.CONCAT("Lower " , INT($DK$25 * 100) , "%")</f>
        <v>Lower 95%</v>
      </c>
      <c r="DP27" s="0" t="str">
        <f aca="false">_xlfn.CONCAT("Upper " , INT($DK$25 * 100) , "%")</f>
        <v>Upper 95%</v>
      </c>
      <c r="DR27" s="0" t="s">
        <v>146</v>
      </c>
      <c r="DS27" s="0" t="s">
        <v>106</v>
      </c>
      <c r="DT27" s="0" t="s">
        <v>147</v>
      </c>
      <c r="DU27" s="0" t="s">
        <v>148</v>
      </c>
      <c r="DV27" s="0" t="str">
        <f aca="false">_xlfn.CONCAT("Lower " , INT($DR$25 * 100) , "%")</f>
        <v>Lower 95%</v>
      </c>
      <c r="DW27" s="0" t="str">
        <f aca="false">_xlfn.CONCAT("Upper " , INT($DR$25 * 100) , "%")</f>
        <v>Upper 95%</v>
      </c>
      <c r="DY27" s="0" t="s">
        <v>146</v>
      </c>
      <c r="DZ27" s="0" t="s">
        <v>106</v>
      </c>
      <c r="EA27" s="0" t="s">
        <v>147</v>
      </c>
      <c r="EB27" s="0" t="s">
        <v>148</v>
      </c>
      <c r="EC27" s="0" t="str">
        <f aca="false">_xlfn.CONCAT("Lower " , INT($DY$25 * 100) , "%")</f>
        <v>Lower 95%</v>
      </c>
      <c r="ED27" s="0" t="str">
        <f aca="false">_xlfn.CONCAT("Upper " , INT($DY$25 * 100) , "%")</f>
        <v>Upper 95%</v>
      </c>
    </row>
    <row r="28" customFormat="false" ht="13.2" hidden="false" customHeight="false" outlineLevel="0" collapsed="false">
      <c r="A28" s="0" t="s">
        <v>149</v>
      </c>
      <c r="B28" s="8" t="n">
        <v>14.64</v>
      </c>
      <c r="C28" s="8" t="n">
        <v>290.77</v>
      </c>
      <c r="D28" s="8" t="n">
        <v>16.11</v>
      </c>
      <c r="E28" s="8" t="n">
        <v>330.27</v>
      </c>
      <c r="F28" s="8" t="n">
        <f aca="false">656.25/2</f>
        <v>328.125</v>
      </c>
      <c r="G28" s="8" t="n">
        <f aca="false">B28+(D28-B28)*((F28-C28)/(E28-C28))</f>
        <v>16.0301734177215</v>
      </c>
      <c r="H28" s="15" t="n">
        <v>0.0493</v>
      </c>
      <c r="I28" s="8" t="n">
        <f aca="false">(7.08+7.05+7.03+6.79+7.04+6.75+6.64+6.91)/8/2.355</f>
        <v>2.93471337579618</v>
      </c>
      <c r="J28" s="0" t="s">
        <v>150</v>
      </c>
      <c r="K28" s="8" t="n">
        <v>4.29</v>
      </c>
      <c r="L28" s="8" t="n">
        <v>42.805</v>
      </c>
      <c r="M28" s="8" t="n">
        <v>4.63</v>
      </c>
      <c r="N28" s="22" t="n">
        <v>53.513</v>
      </c>
      <c r="O28" s="8" t="n">
        <f aca="false">100.18/2</f>
        <v>50.09</v>
      </c>
      <c r="P28" s="8" t="n">
        <f aca="false">K28+(M28-K28)*((O28-L28)/(N28-L28))</f>
        <v>4.5213130369817</v>
      </c>
      <c r="Q28" s="15" t="n">
        <v>0.203</v>
      </c>
      <c r="R28" s="8" t="n">
        <v>4.1</v>
      </c>
      <c r="S28" s="8" t="n">
        <v>0.07</v>
      </c>
      <c r="T28" s="8" t="n">
        <v>1.49</v>
      </c>
      <c r="U28" s="8" t="n">
        <v>0.27</v>
      </c>
      <c r="V28" s="8" t="n">
        <v>0.31</v>
      </c>
      <c r="W28" s="8" t="n">
        <v>5.6</v>
      </c>
      <c r="X28" s="8"/>
      <c r="Y28" s="8" t="n">
        <v>0.2</v>
      </c>
      <c r="Z28" s="8" t="n">
        <v>31.2</v>
      </c>
      <c r="AA28" s="8" t="n">
        <v>40</v>
      </c>
      <c r="AB28" s="8" t="n">
        <v>7.88</v>
      </c>
      <c r="AC28" s="8" t="n">
        <v>0.793</v>
      </c>
      <c r="AD28" s="8" t="n">
        <v>17</v>
      </c>
      <c r="AE28" s="8" t="n">
        <v>2.2</v>
      </c>
      <c r="AF28" s="8" t="n">
        <v>39.95</v>
      </c>
      <c r="AG28" s="8" t="n">
        <f aca="false">AF28-LOG(2.87)</f>
        <v>39.492118103266</v>
      </c>
      <c r="AH28" s="8" t="n">
        <v>39.86</v>
      </c>
      <c r="AI28" s="8" t="n">
        <v>39.42</v>
      </c>
      <c r="AJ28" s="8" t="n">
        <v>25</v>
      </c>
      <c r="AK28" s="8"/>
      <c r="AL28" s="8"/>
      <c r="AM28" s="8"/>
      <c r="AN28" s="8" t="n">
        <f aca="false">G28*SQRT(1-H28)*0.161</f>
        <v>2.51643573405521</v>
      </c>
      <c r="AO28" s="0" t="n">
        <f aca="false">SQRT(G28^2*(1-H28)-I28^2)*0.161</f>
        <v>2.47168021534851</v>
      </c>
      <c r="AP28" s="8" t="n">
        <f aca="false">SQRT(G28^2*(1-H28)-I28^2)*(0.161*PI())/(180*3600)*(Sheet2!N28*10^6)</f>
        <v>369.233692510875</v>
      </c>
      <c r="AQ28" s="8" t="n">
        <f aca="false">LOG(AP28)</f>
        <v>2.56730132345877</v>
      </c>
      <c r="AR28" s="8"/>
      <c r="AS28" s="8" t="n">
        <f aca="false">P28*SQRT(1-Q28)*0.161</f>
        <v>0.649859711708469</v>
      </c>
      <c r="AT28" s="0" t="n">
        <f aca="false">SQRT(P28^2*(1-Q28)-I28^2)*0.161</f>
        <v>0.446174773174212</v>
      </c>
      <c r="AU28" s="8" t="n">
        <f aca="false">SQRT(P28^2*(1-Q28)-I28^2)*(0.161*PI())/(180*3600)*(Sheet2!N28*10^6)</f>
        <v>66.6521332255306</v>
      </c>
      <c r="AV28" s="8" t="n">
        <f aca="false">LOG(AU28)</f>
        <v>1.82381405372363</v>
      </c>
      <c r="AW28" s="0" t="n">
        <f aca="false">LOG(AD28)</f>
        <v>1.23044892137827</v>
      </c>
      <c r="AX28" s="0" t="n">
        <f aca="false">LOG(4*$B$85)+2*LOG($B$81*Z28)+LOG(W28*10^(-14))+Y28*(1+$B$86) - LOG(2.87)</f>
        <v>39.4879266153321</v>
      </c>
      <c r="AY28" s="0" t="n">
        <f aca="false">LOG(4*$B$85)+2*LOG($B$81*Z28)+LOG(R28*10^(-14))+Y28</f>
        <v>39.8774043417796</v>
      </c>
      <c r="AZ28" s="0" t="n">
        <f aca="false">LOG(4*$B$85)+2*LOG($B$81*Z28)+LOG(T28*10^(-14))+Y28</f>
        <v>39.4378067534722</v>
      </c>
      <c r="BA28" s="0" t="n">
        <f aca="false">LOG(AA28)</f>
        <v>1.60205999132796</v>
      </c>
      <c r="BB28" s="0" t="n">
        <f aca="false">LOG(AJ28)</f>
        <v>1.39794000867204</v>
      </c>
      <c r="BC28" s="0" t="n">
        <f aca="false">I28*0.161</f>
        <v>0.472488853503185</v>
      </c>
      <c r="BD28" s="1" t="n">
        <f aca="false">LOG(4*$B$85)+2*LOG($B$81*Z28)+LOG(W28*10^(-14))+Y28*(1+$B$86)</f>
        <v>39.9458085120661</v>
      </c>
      <c r="BE28" s="8" t="n">
        <v>39.95</v>
      </c>
      <c r="BF28" s="8" t="n">
        <v>39.4879266153321</v>
      </c>
      <c r="BG28" s="8" t="n">
        <v>39.8774043417796</v>
      </c>
      <c r="BH28" s="8" t="n">
        <v>39.4378067534722</v>
      </c>
      <c r="BI28" s="8"/>
      <c r="BJ28" s="16" t="n">
        <v>2.56730132345877</v>
      </c>
      <c r="BK28" s="16"/>
      <c r="BL28" s="16" t="n">
        <v>1.82381405372363</v>
      </c>
      <c r="BM28" s="8" t="n">
        <v>1.23044892137827</v>
      </c>
      <c r="BN28" s="8" t="n">
        <v>7.88</v>
      </c>
      <c r="BO28" s="8" t="n">
        <v>1.60205999132796</v>
      </c>
      <c r="BP28" s="8" t="n">
        <v>1.39794000867204</v>
      </c>
      <c r="BR28" s="20"/>
      <c r="BS28" s="8" t="str">
        <f aca="false">"Intercept"</f>
        <v>Intercept</v>
      </c>
      <c r="BT28" s="8" t="n">
        <f aca="false" t="array" ref="BT28:BT29">INDEX($BS$6:$BT$6, 1 , 30 - ROW())</f>
        <v>0.36029729236584</v>
      </c>
      <c r="BU28" s="0" t="n">
        <f aca="false" t="array" ref="BU28:BU29">INDEX($BS$7:$BT$7, 1 , 30 - ROW())</f>
        <v>0.34858570166973</v>
      </c>
      <c r="BV28" s="0" t="n">
        <f aca="false" t="array" ref="BV28:BV29">$BT$28:$BT$29 / $BU$28:$BU$29</f>
        <v>1.03359745003886</v>
      </c>
      <c r="BW28" s="0" t="n">
        <f aca="false" t="array" ref="BW28:BW29">TDIST(ABS($BV$28:$BV$29) , $BT$9 , 2 )</f>
        <v>0.308033213080648</v>
      </c>
      <c r="BX28" s="0" t="n">
        <f aca="false" t="array" ref="BX28:BX29">$BT$28:$BT$29 - $BU$28:$BU$29 * TINV(1 - $BT$25 , $BT$9)</f>
        <v>-0.34600442907708</v>
      </c>
      <c r="BY28" s="0" t="n">
        <f aca="false" t="array" ref="BY28:BY29">$BT$28:$BT$29 + $BU$28:$BU$29 * TINV(1 - $BT$25 , $BT$9)</f>
        <v>1.06659901380876</v>
      </c>
      <c r="BZ28" s="0" t="str">
        <f aca="false">"Intercept"</f>
        <v>Intercept</v>
      </c>
      <c r="CA28" s="0" t="n">
        <f aca="false" t="array" ref="CA28:CA29">INDEX($BZ$6:$CA$6, 1 , 30 - ROW())</f>
        <v>36.0424923949622</v>
      </c>
      <c r="CB28" s="0" t="n">
        <f aca="false" t="array" ref="CB28:CB29">INDEX($BZ$7:$CA$7, 1 , 30 - ROW())</f>
        <v>0.521855169017054</v>
      </c>
      <c r="CC28" s="0" t="n">
        <f aca="false" t="array" ref="CC28:CC29">$CA$28:$CA$29 / $CB$28:$CB$29</f>
        <v>69.0660829571746</v>
      </c>
      <c r="CD28" s="0" t="n">
        <f aca="false" t="array" ref="CD28:CD29">TDIST(ABS($CC$28:$CC$29) , $CA$9 , 2 )</f>
        <v>1.03121760892726E-040</v>
      </c>
      <c r="CE28" s="0" t="n">
        <f aca="false" t="array" ref="CE28:CE29">$CA$28:$CA$29 - $CB$28:$CB$29 * TINV(1 - $CA$25 , $CA$9)</f>
        <v>34.9851133847071</v>
      </c>
      <c r="CF28" s="0" t="n">
        <f aca="false" t="array" ref="CF28:CF29">$CA$28:$CA$29 + $CB$28:$CB$29 * TINV(1 - $CA$25 , $CA$9)</f>
        <v>37.0998714052173</v>
      </c>
      <c r="CG28" s="0" t="str">
        <f aca="false">"Intercept"</f>
        <v>Intercept</v>
      </c>
      <c r="CH28" s="0" t="n">
        <f aca="false" t="array" ref="CH28:CH29">INDEX($CG$6:$CH$6, 1 , 30 - ROW())</f>
        <v>37.3714983021947</v>
      </c>
      <c r="CI28" s="0" t="n">
        <f aca="false" t="array" ref="CI28:CI29">INDEX($CG$7:$CH$7, 1 , 30 - ROW())</f>
        <v>0.603044443437184</v>
      </c>
      <c r="CJ28" s="0" t="n">
        <f aca="false" t="array" ref="CJ28:CJ29">$CH$28:$CH$29 / $CI$28:$CI$29</f>
        <v>61.9713832187685</v>
      </c>
      <c r="CK28" s="0" t="n">
        <f aca="false" t="array" ref="CK28:CK29">TDIST(ABS($CJ$28:$CJ$29) , $CH$9 , 2 )</f>
        <v>5.50176695448875E-039</v>
      </c>
      <c r="CL28" s="0" t="n">
        <f aca="false" t="array" ref="CL28:CL29">$CH$28:$CH$29 - $CI$28:$CI$29 * TINV(1 - $CH$25 , $CH$9)</f>
        <v>36.1496141960307</v>
      </c>
      <c r="CM28" s="0" t="n">
        <f aca="false" t="array" ref="CM28:CM29">$CH$28:$CH$29 + $CI$28:$CI$29 * TINV(1 - $CH$25 , $CH$9)</f>
        <v>38.5933824083587</v>
      </c>
      <c r="CN28" s="0" t="str">
        <f aca="false">"Intercept"</f>
        <v>Intercept</v>
      </c>
      <c r="CO28" s="0" t="n">
        <f aca="false" t="array" ref="CO28:CO29">INDEX($CN$6:$CO$6, 1 , 30 - ROW())</f>
        <v>36.5095761753446</v>
      </c>
      <c r="CP28" s="0" t="n">
        <f aca="false" t="array" ref="CP28:CP29">INDEX($CN$7:$CO$7, 1 , 30 - ROW())</f>
        <v>0.572493179851514</v>
      </c>
      <c r="CQ28" s="0" t="n">
        <f aca="false" t="array" ref="CQ28:CQ29">$CO$28:$CO$29 / $CP$28:$CP$29</f>
        <v>63.7729451813103</v>
      </c>
      <c r="CR28" s="0" t="n">
        <f aca="false" t="array" ref="CR28:CR29">TDIST(ABS($CQ$28:$CQ$29) , $CO$9 , 2 )</f>
        <v>1.92392792570989E-039</v>
      </c>
      <c r="CS28" s="0" t="n">
        <f aca="false" t="array" ref="CS28:CS29">$CO$28:$CO$29 - $CP$28:$CP$29 * TINV(1 - $CO$25 , $CO$9)</f>
        <v>35.3495948091939</v>
      </c>
      <c r="CT28" s="0" t="n">
        <f aca="false" t="array" ref="CT28:CT29">$CO$28:$CO$29 + $CP$28:$CP$29 * TINV(1 - $CO$25 , $CO$9)</f>
        <v>37.6695575414953</v>
      </c>
      <c r="CU28" s="0" t="str">
        <f aca="false">"Intercept"</f>
        <v>Intercept</v>
      </c>
      <c r="CV28" s="0" t="n">
        <f aca="false" t="array" ref="CV28:CV29">INDEX($CU$6:$CV$6, 1 , 30 - ROW())</f>
        <v>7.19435262366235</v>
      </c>
      <c r="CW28" s="0" t="n">
        <f aca="false" t="array" ref="CW28:CW29">INDEX($CU$7:$CV$7, 1 , 30 - ROW())</f>
        <v>2.99604714504498</v>
      </c>
      <c r="CX28" s="0" t="n">
        <f aca="false" t="array" ref="CX28:CX29">$CV$28:$CV$29 / $CW$28:$CW$29</f>
        <v>2.40128151373076</v>
      </c>
      <c r="CY28" s="0" t="n">
        <f aca="false" t="array" ref="CY28:CY29">TDIST(ABS($CX$28:$CX$29) , $CV$9 , 2 )</f>
        <v>0.0214774334272399</v>
      </c>
      <c r="CZ28" s="0" t="n">
        <f aca="false" t="array" ref="CZ28:CZ29">$CV$28:$CV$29 - $CW$28:$CW$29 * TINV(1 - $CV$25 , $CV$9)</f>
        <v>1.12378447949232</v>
      </c>
      <c r="DA28" s="0" t="n">
        <f aca="false" t="array" ref="DA28:DA29">$CV$28:$CV$29 + $CW$28:$CW$29 * TINV(1 - $CV$25 , $CV$9)</f>
        <v>13.2649207678324</v>
      </c>
      <c r="DC28" s="0" t="str">
        <f aca="false">"Intercept"</f>
        <v>Intercept</v>
      </c>
      <c r="DD28" s="0" t="e">
        <f aca="false" t="array" ref="DD28:DD28">INDEX($DC$6:$DD$6, 1 , 30 - ROW())</f>
        <v>#VALUE!</v>
      </c>
      <c r="DE28" s="0" t="e">
        <f aca="false" t="array" ref="DE28:DE28">INDEX($DC$7:$DD$7, 1 , 30 - ROW())</f>
        <v>#VALUE!</v>
      </c>
      <c r="DF28" s="0" t="e">
        <f aca="false" t="array" ref="DF28:DF29">$DD$28:$DD$29 / $DE$28:$DE$29</f>
        <v>#VALUE!</v>
      </c>
      <c r="DG28" s="0" t="e">
        <f aca="false" t="array" ref="DG28:DG29">TDIST(ABS($DF$28:$DF$29) , $DD$9 , 2 )</f>
        <v>#VALUE!</v>
      </c>
      <c r="DH28" s="0" t="e">
        <f aca="false" t="array" ref="DH28:DH29">$DD$28:$DD$29 - $DE$28:$DE$29 * TINV(1 - $DD$25 , $DD$9)</f>
        <v>#VALUE!</v>
      </c>
      <c r="DI28" s="0" t="e">
        <f aca="false" t="array" ref="DI28:DI29">$DD$28:$DD$29 + $DE$28:$DE$29 * TINV(1 - $DD$25 , $DD$9)</f>
        <v>#VALUE!</v>
      </c>
      <c r="DJ28" s="0" t="str">
        <f aca="false">"Intercept"</f>
        <v>Intercept</v>
      </c>
      <c r="DK28" s="0" t="n">
        <f aca="false" t="array" ref="DK28:DK28">INDEX($DJ$6:$DK$6, 1 , 30 - ROW())</f>
        <v>36.9111136951957</v>
      </c>
      <c r="DL28" s="0" t="n">
        <f aca="false" t="array" ref="DL28:DL28">INDEX($DJ$7:$DK$7, 1 , 30 - ROW())</f>
        <v>0.94130850099503</v>
      </c>
      <c r="DM28" s="0" t="n">
        <f aca="false" t="array" ref="DM28:DM29">$DK$28:$DK$29 / $DL$28:$DL$29</f>
        <v>39.2125574731111</v>
      </c>
      <c r="DN28" s="0" t="n">
        <f aca="false" t="array" ref="DN28:DN29">TDIST(ABS($DM$28:$DM$29) , $DK$9 , 2 )</f>
        <v>1.02385440583534E-015</v>
      </c>
      <c r="DO28" s="0" t="n">
        <f aca="false" t="array" ref="DO28:DO29">$DK$28:$DK$29 - $DL$28:$DL$29 * TINV(1 - $DK$25 , $DK$9)</f>
        <v>34.8922077530377</v>
      </c>
      <c r="DP28" s="0" t="n">
        <f aca="false" t="array" ref="DP28:DP29">$DK$28:$DK$29 + $DL$28:$DL$29 * TINV(1 - $DK$25 , $DK$9)</f>
        <v>38.9300196373537</v>
      </c>
      <c r="DQ28" s="0" t="str">
        <f aca="false">"Intercept"</f>
        <v>Intercept</v>
      </c>
      <c r="DR28" s="0" t="n">
        <f aca="false" t="array" ref="DR28:DR28">INDEX($DQ$6:$DR$6, 1 , 30 - ROW())</f>
        <v>37.9036640668957</v>
      </c>
      <c r="DS28" s="0" t="n">
        <f aca="false" t="array" ref="DS28:DS28">INDEX($DQ$7:$DR$7, 1 , 30 - ROW())</f>
        <v>0.770676798756551</v>
      </c>
      <c r="DT28" s="0" t="n">
        <f aca="false" t="array" ref="DT28:DT29">$DR$28:$DR$29 / $DS$28:$DS$29</f>
        <v>49.1823084956643</v>
      </c>
      <c r="DU28" s="0" t="n">
        <f aca="false" t="array" ref="DU28:DU29">TDIST(ABS($DT$28:$DT$29) , $DR$9 , 2 )</f>
        <v>4.38783855781552E-017</v>
      </c>
      <c r="DV28" s="0" t="n">
        <f aca="false" t="array" ref="DV28:DV29">$DR$28:$DR$29 - $DS$28:$DS$29 * TINV(1 - $DR$25 , $DR$9)</f>
        <v>36.2507267282356</v>
      </c>
      <c r="DW28" s="0" t="n">
        <f aca="false" t="array" ref="DW28:DW29">$DR$28:$DR$29 + $DS$28:$DS$29 * TINV(1 - $DR$25 , $DR$9)</f>
        <v>39.5566014055559</v>
      </c>
      <c r="DX28" s="0" t="str">
        <f aca="false">"Intercept"</f>
        <v>Intercept</v>
      </c>
      <c r="DY28" s="0" t="n">
        <f aca="false" t="array" ref="DY28:DY28">INDEX($DX$6:$DY$6, 1 , 30 - ROW())</f>
        <v>37.0296320438455</v>
      </c>
      <c r="DZ28" s="0" t="n">
        <f aca="false" t="array" ref="DZ28:DZ28">INDEX($DX$7:$DY$7, 1 , 30 - ROW())</f>
        <v>0.909302166650102</v>
      </c>
      <c r="EA28" s="0" t="n">
        <f aca="false" t="array" ref="EA28:EA29">$DY$28:$DY$29 / $DZ$28:$DZ$29</f>
        <v>40.7231318718439</v>
      </c>
      <c r="EB28" s="0" t="n">
        <f aca="false" t="array" ref="EB28:EB29">TDIST(ABS($EA$28:$EA$29) , $DY$9 , 2 )</f>
        <v>6.05741439452788E-016</v>
      </c>
      <c r="EC28" s="0" t="n">
        <f aca="false" t="array" ref="EC28:EC29">$DY$28:$DY$29 - $DZ$28:$DZ$29 * TINV(1 - $DY$25 , $DY$9)</f>
        <v>35.0793728615195</v>
      </c>
      <c r="ED28" s="0" t="n">
        <f aca="false" t="array" ref="ED28:ED29">$DY$28:$DY$29 + $DZ$28:$DZ$29 * TINV(1 - $DY$25 , $DY$9)</f>
        <v>38.9798912261714</v>
      </c>
    </row>
    <row r="29" customFormat="false" ht="13.2" hidden="false" customHeight="false" outlineLevel="0" collapsed="false">
      <c r="A29" s="0" t="s">
        <v>151</v>
      </c>
      <c r="B29" s="8" t="n">
        <v>11.58</v>
      </c>
      <c r="C29" s="8" t="n">
        <v>138.1</v>
      </c>
      <c r="D29" s="8" t="n">
        <v>12.63</v>
      </c>
      <c r="E29" s="8" t="n">
        <v>150.69</v>
      </c>
      <c r="F29" s="8" t="n">
        <v>149.325</v>
      </c>
      <c r="G29" s="8" t="n">
        <f aca="false">B29+(D29-B29)*((F29-C29)/(E29-C29))</f>
        <v>12.5161596505163</v>
      </c>
      <c r="H29" s="15" t="n">
        <v>0.13</v>
      </c>
      <c r="I29" s="8" t="n">
        <f aca="false">(3.59+3.7+3.74+3.73+3.66+3.68+3.67+3.52+3.54+3.84)/10/2.355</f>
        <v>1.55711252653928</v>
      </c>
      <c r="J29" s="0" t="s">
        <v>152</v>
      </c>
      <c r="K29" s="8" t="n">
        <v>3.11</v>
      </c>
      <c r="L29" s="8" t="n">
        <v>26.81</v>
      </c>
      <c r="M29" s="8" t="n">
        <v>3.33</v>
      </c>
      <c r="N29" s="8" t="n">
        <v>30.266</v>
      </c>
      <c r="O29" s="8" t="n">
        <f aca="false">57.677/2</f>
        <v>28.8385</v>
      </c>
      <c r="P29" s="8" t="n">
        <f aca="false">K29+(M29-K29)*((O29-L29)/(N29-L29))</f>
        <v>3.23912905092593</v>
      </c>
      <c r="Q29" s="15" t="n">
        <v>0.125</v>
      </c>
      <c r="R29" s="8" t="n">
        <v>6.91</v>
      </c>
      <c r="S29" s="8" t="n">
        <v>0.12</v>
      </c>
      <c r="T29" s="8" t="n">
        <v>3.47</v>
      </c>
      <c r="U29" s="8" t="n">
        <v>0.63</v>
      </c>
      <c r="V29" s="8" t="n">
        <v>0.15</v>
      </c>
      <c r="W29" s="8" t="n">
        <v>7.5</v>
      </c>
      <c r="X29" s="8"/>
      <c r="Y29" s="8" t="n">
        <v>0.16</v>
      </c>
      <c r="Z29" s="8" t="n">
        <v>44.2</v>
      </c>
      <c r="AA29" s="8" t="n">
        <v>129</v>
      </c>
      <c r="AB29" s="8" t="n">
        <v>7.54</v>
      </c>
      <c r="AC29" s="8" t="n">
        <v>0.828</v>
      </c>
      <c r="AD29" s="8" t="n">
        <v>17.5</v>
      </c>
      <c r="AE29" s="8" t="n">
        <v>2.2</v>
      </c>
      <c r="AF29" s="8" t="n">
        <v>40.35</v>
      </c>
      <c r="AG29" s="8" t="n">
        <f aca="false">AF29-LOG(2.87)</f>
        <v>39.892118103266</v>
      </c>
      <c r="AH29" s="8" t="n">
        <v>40.22</v>
      </c>
      <c r="AI29" s="8" t="n">
        <v>39.93</v>
      </c>
      <c r="AJ29" s="8" t="n">
        <v>157</v>
      </c>
      <c r="AK29" s="8"/>
      <c r="AL29" s="8"/>
      <c r="AM29" s="8"/>
      <c r="AN29" s="8" t="n">
        <f aca="false">G29*SQRT(1-H29)*0.161</f>
        <v>1.87956174212439</v>
      </c>
      <c r="AO29" s="0" t="n">
        <f aca="false">SQRT(G29^2*(1-H29)-I29^2)*0.161</f>
        <v>1.86276791385399</v>
      </c>
      <c r="AP29" s="8" t="n">
        <f aca="false">SQRT(G29^2*(1-H29)-I29^2)*(0.161*PI())/(180*3600)*(Sheet2!N29*10^6)</f>
        <v>391.845928241162</v>
      </c>
      <c r="AQ29" s="8" t="n">
        <f aca="false">LOG(AP29)</f>
        <v>2.59311533827612</v>
      </c>
      <c r="AR29" s="8"/>
      <c r="AS29" s="8" t="n">
        <f aca="false">P29*SQRT(1-Q29)*0.161</f>
        <v>0.48781837338947</v>
      </c>
      <c r="AT29" s="0" t="n">
        <f aca="false">SQRT(P29^2*(1-Q29)-I29^2)*0.161</f>
        <v>0.418471891341113</v>
      </c>
      <c r="AU29" s="8" t="n">
        <f aca="false">SQRT(P29^2*(1-Q29)-I29^2)*(0.161*PI())/(180*3600)*(Sheet2!N29*10^6)</f>
        <v>88.0284148582594</v>
      </c>
      <c r="AV29" s="8" t="n">
        <f aca="false">LOG(AU29)</f>
        <v>1.94462288151652</v>
      </c>
      <c r="AW29" s="0" t="n">
        <f aca="false">LOG(AD29)</f>
        <v>1.24303804868629</v>
      </c>
      <c r="AX29" s="0" t="n">
        <f aca="false">LOG(4*$B$85)+2*LOG($B$81*Z29)+LOG(W29*10^(-14))+Y29*(1+$B$86) - LOG(2.87)</f>
        <v>39.8907352023789</v>
      </c>
      <c r="AY29" s="0" t="n">
        <f aca="false">LOG(4*$B$85)+2*LOG($B$81*Z29)+LOG(R29*10^(-14))+Y29</f>
        <v>40.3666338830954</v>
      </c>
      <c r="AZ29" s="0" t="n">
        <f aca="false">LOG(4*$B$85)+2*LOG($B$81*Z29)+LOG(T29*10^(-14))+Y29</f>
        <v>40.0674853105121</v>
      </c>
      <c r="BA29" s="0" t="n">
        <f aca="false">LOG(AA29)</f>
        <v>2.11058971029925</v>
      </c>
      <c r="BB29" s="0" t="n">
        <f aca="false">LOG(AJ29)</f>
        <v>2.19589965240923</v>
      </c>
      <c r="BC29" s="0" t="n">
        <f aca="false">I29*0.161</f>
        <v>0.250695116772824</v>
      </c>
      <c r="BD29" s="1" t="n">
        <f aca="false">LOG(4*$B$85)+2*LOG($B$81*Z29)+LOG(W29*10^(-14))+Y29*(1+$B$86)</f>
        <v>40.3486170991129</v>
      </c>
      <c r="BE29" s="8" t="n">
        <v>40.35</v>
      </c>
      <c r="BF29" s="8" t="n">
        <v>39.8907352023789</v>
      </c>
      <c r="BG29" s="8" t="n">
        <v>40.3666338830954</v>
      </c>
      <c r="BH29" s="8" t="n">
        <v>40.0674853105121</v>
      </c>
      <c r="BI29" s="8"/>
      <c r="BJ29" s="16" t="n">
        <v>2.59311533827612</v>
      </c>
      <c r="BK29" s="16"/>
      <c r="BL29" s="16" t="n">
        <v>1.94462288151652</v>
      </c>
      <c r="BM29" s="8" t="n">
        <v>1.24303804868629</v>
      </c>
      <c r="BN29" s="8" t="n">
        <v>7.54</v>
      </c>
      <c r="BO29" s="8" t="n">
        <v>2.11058971029925</v>
      </c>
      <c r="BP29" s="8" t="n">
        <v>2.19589965240923</v>
      </c>
      <c r="BR29" s="20"/>
      <c r="BS29" s="23" t="str">
        <f aca="false">$BJ$2</f>
        <v>log (R)</v>
      </c>
      <c r="BT29" s="8" t="n">
        <v>0.604507645656607</v>
      </c>
      <c r="BU29" s="0" t="n">
        <v>0.129184260347888</v>
      </c>
      <c r="BV29" s="0" t="n">
        <v>4.67942181213634</v>
      </c>
      <c r="BW29" s="0" t="n">
        <v>3.78075054987859E-005</v>
      </c>
      <c r="BX29" s="0" t="n">
        <v>0.342755470997726</v>
      </c>
      <c r="BY29" s="0" t="n">
        <v>0.866259820315488</v>
      </c>
      <c r="BZ29" s="24" t="str">
        <f aca="false">$BM$2</f>
        <v>log (σHβ) (Km s-¹)</v>
      </c>
      <c r="CA29" s="0" t="n">
        <v>2.78520569316395</v>
      </c>
      <c r="CB29" s="0" t="n">
        <v>0.379921730218534</v>
      </c>
      <c r="CC29" s="0" t="n">
        <v>7.33099865480682</v>
      </c>
      <c r="CD29" s="0" t="n">
        <v>1.03138407453212E-008</v>
      </c>
      <c r="CE29" s="0" t="n">
        <v>2.01541114685418</v>
      </c>
      <c r="CF29" s="0" t="n">
        <v>3.55500023947372</v>
      </c>
      <c r="CG29" s="24" t="str">
        <f aca="false">$BM$2</f>
        <v>log (σHβ) (Km s-¹)</v>
      </c>
      <c r="CH29" s="0" t="n">
        <v>2.15849506640567</v>
      </c>
      <c r="CI29" s="0" t="n">
        <v>0.439029259364949</v>
      </c>
      <c r="CJ29" s="0" t="n">
        <v>4.91651756770815</v>
      </c>
      <c r="CK29" s="0" t="n">
        <v>1.82523829806764E-005</v>
      </c>
      <c r="CL29" s="0" t="n">
        <v>1.26893729003116</v>
      </c>
      <c r="CM29" s="0" t="n">
        <v>3.04805284278019</v>
      </c>
      <c r="CN29" s="24" t="str">
        <f aca="false">$BM$2</f>
        <v>log (σHβ) (Km s-¹)</v>
      </c>
      <c r="CO29" s="0" t="n">
        <v>2.64736214359656</v>
      </c>
      <c r="CP29" s="0" t="n">
        <v>0.416787285708364</v>
      </c>
      <c r="CQ29" s="0" t="n">
        <v>6.35183038056727</v>
      </c>
      <c r="CR29" s="0" t="n">
        <v>2.09982611821286E-007</v>
      </c>
      <c r="CS29" s="0" t="n">
        <v>1.80287088660791</v>
      </c>
      <c r="CT29" s="0" t="n">
        <v>3.49185340058521</v>
      </c>
      <c r="CU29" s="0" t="str">
        <f aca="false">$BF$2</f>
        <v>log (LHβ) (erg s-¹) KTC</v>
      </c>
      <c r="CV29" s="0" t="n">
        <v>0.831315003823534</v>
      </c>
      <c r="CW29" s="0" t="n">
        <v>0.0751773522739968</v>
      </c>
      <c r="CX29" s="0" t="n">
        <v>11.0580511108407</v>
      </c>
      <c r="CY29" s="0" t="n">
        <v>2.75880972520826E-013</v>
      </c>
      <c r="CZ29" s="0" t="n">
        <v>0.678991219255477</v>
      </c>
      <c r="DA29" s="0" t="n">
        <v>0.98363878839159</v>
      </c>
      <c r="DC29" s="24" t="str">
        <f aca="false">$BM$137</f>
        <v>Log(σH) 2011</v>
      </c>
      <c r="DD29" s="0" t="n">
        <v>36.9126295588006</v>
      </c>
      <c r="DE29" s="0" t="n">
        <v>0.941308500995011</v>
      </c>
      <c r="DF29" s="0" t="n">
        <v>39.2141678522844</v>
      </c>
      <c r="DG29" s="0" t="e">
        <v>#VALUE!</v>
      </c>
      <c r="DH29" s="0" t="e">
        <v>#VALUE!</v>
      </c>
      <c r="DI29" s="0" t="e">
        <v>#VALUE!</v>
      </c>
      <c r="DJ29" s="24" t="str">
        <f aca="false">$BJ$137</f>
        <v>Log(σH) 2011</v>
      </c>
      <c r="DK29" s="0" t="n">
        <v>36.8715199622575</v>
      </c>
      <c r="DL29" s="0" t="n">
        <v>0.934510994919755</v>
      </c>
      <c r="DM29" s="0" t="n">
        <v>39.4554158941957</v>
      </c>
      <c r="DN29" s="0" t="n">
        <v>9.3975238159853E-016</v>
      </c>
      <c r="DO29" s="0" t="n">
        <v>34.8671932206408</v>
      </c>
      <c r="DP29" s="0" t="n">
        <v>38.8758467038742</v>
      </c>
      <c r="DQ29" s="24" t="str">
        <f aca="false">$BJ$137</f>
        <v>Log(σH) 2011</v>
      </c>
      <c r="DR29" s="0" t="n">
        <v>37.9036640668957</v>
      </c>
      <c r="DS29" s="0" t="n">
        <v>0.770676798756551</v>
      </c>
      <c r="DT29" s="0" t="n">
        <v>49.1823084956643</v>
      </c>
      <c r="DU29" s="0" t="n">
        <v>4.38783855781555E-017</v>
      </c>
      <c r="DV29" s="0" t="n">
        <v>36.2507267282355</v>
      </c>
      <c r="DW29" s="0" t="n">
        <v>39.5566014055559</v>
      </c>
      <c r="DX29" s="24" t="str">
        <f aca="false">$BJ$137</f>
        <v>Log(σH) 2011</v>
      </c>
      <c r="DY29" s="0" t="n">
        <v>37.0296320438455</v>
      </c>
      <c r="DZ29" s="0" t="n">
        <v>0.909302166650102</v>
      </c>
      <c r="EA29" s="0" t="n">
        <v>40.7231318718439</v>
      </c>
      <c r="EB29" s="0" t="n">
        <v>6.05741439452776E-016</v>
      </c>
      <c r="EC29" s="0" t="n">
        <v>35.0793728615195</v>
      </c>
      <c r="ED29" s="0" t="n">
        <v>38.9798912261715</v>
      </c>
    </row>
    <row r="30" customFormat="false" ht="13.2" hidden="false" customHeight="false" outlineLevel="0" collapsed="false">
      <c r="A30" s="0" t="s">
        <v>153</v>
      </c>
      <c r="B30" s="8" t="n">
        <v>17.13</v>
      </c>
      <c r="C30" s="8" t="n">
        <v>422.6</v>
      </c>
      <c r="D30" s="8" t="n">
        <v>18.5</v>
      </c>
      <c r="E30" s="8" t="n">
        <v>458.53</v>
      </c>
      <c r="F30" s="8" t="n">
        <f aca="false">854.18/2</f>
        <v>427.09</v>
      </c>
      <c r="G30" s="8" t="n">
        <f aca="false">B30+(D30-B30)*((F30-C30)/(E30-C30))</f>
        <v>17.3012023378792</v>
      </c>
      <c r="H30" s="15" t="n">
        <v>0.3681</v>
      </c>
      <c r="I30" s="8" t="n">
        <f aca="false">(4.68+4.73+4.7+4.86+4.84+4.8+4.6+4.6+4.9+4.62+4.63)/11/2.355</f>
        <v>2.00579038795599</v>
      </c>
      <c r="J30" s="0" t="s">
        <v>154</v>
      </c>
      <c r="K30" s="8" t="n">
        <v>3.54</v>
      </c>
      <c r="L30" s="8" t="n">
        <v>62.525</v>
      </c>
      <c r="M30" s="8" t="n">
        <v>3.86</v>
      </c>
      <c r="N30" s="8" t="n">
        <v>73.115</v>
      </c>
      <c r="O30" s="8" t="n">
        <f aca="false">126.61/2</f>
        <v>63.305</v>
      </c>
      <c r="P30" s="8" t="n">
        <f aca="false">K30+(M30-K30)*((O30-L30)/(N30-L30))</f>
        <v>3.56356940509915</v>
      </c>
      <c r="Q30" s="15" t="n">
        <v>0.05</v>
      </c>
      <c r="R30" s="8" t="n">
        <v>6.71</v>
      </c>
      <c r="S30" s="8" t="n">
        <v>0.6</v>
      </c>
      <c r="T30" s="8" t="n">
        <v>6.71</v>
      </c>
      <c r="U30" s="8" t="n">
        <v>0.6</v>
      </c>
      <c r="V30" s="8" t="n">
        <v>0.26</v>
      </c>
      <c r="W30" s="8" t="n">
        <v>8.7</v>
      </c>
      <c r="X30" s="8"/>
      <c r="Y30" s="8" t="n">
        <v>0.27</v>
      </c>
      <c r="Z30" s="8" t="n">
        <v>37.5</v>
      </c>
      <c r="AA30" s="8" t="n">
        <v>51</v>
      </c>
      <c r="AB30" s="8" t="n">
        <v>8.26</v>
      </c>
      <c r="AC30" s="8" t="n">
        <v>0.877</v>
      </c>
      <c r="AD30" s="8" t="n">
        <v>20.4</v>
      </c>
      <c r="AE30" s="8" t="n">
        <v>2.2</v>
      </c>
      <c r="AF30" s="8" t="n">
        <v>40.35</v>
      </c>
      <c r="AG30" s="8" t="n">
        <f aca="false">AF30-LOG(2.87)</f>
        <v>39.892118103266</v>
      </c>
      <c r="AH30" s="8" t="n">
        <v>40.22</v>
      </c>
      <c r="AI30" s="8" t="n">
        <v>40.22</v>
      </c>
      <c r="AJ30" s="8" t="n">
        <v>55</v>
      </c>
      <c r="AK30" s="8"/>
      <c r="AL30" s="8"/>
      <c r="AM30" s="8"/>
      <c r="AN30" s="8" t="n">
        <f aca="false">G30*SQRT(1-H30)*0.161</f>
        <v>2.21424839706416</v>
      </c>
      <c r="AO30" s="0" t="n">
        <f aca="false">SQRT(G30^2*(1-H30)-I30^2)*0.161</f>
        <v>2.19057314970802</v>
      </c>
      <c r="AP30" s="8" t="n">
        <f aca="false">SQRT(G30^2*(1-H30)-I30^2)*(0.161*PI())/(180*3600)*(Sheet2!N30*10^6)</f>
        <v>391.906542695119</v>
      </c>
      <c r="AQ30" s="8" t="n">
        <f aca="false">LOG(AP30)</f>
        <v>2.59318251388042</v>
      </c>
      <c r="AR30" s="8"/>
      <c r="AS30" s="8" t="n">
        <f aca="false">P30*SQRT(1-Q30)*0.161</f>
        <v>0.55920738781177</v>
      </c>
      <c r="AT30" s="0" t="n">
        <f aca="false">SQRT(P30^2*(1-Q30)-I30^2)*0.161</f>
        <v>0.456538785760622</v>
      </c>
      <c r="AU30" s="8" t="n">
        <f aca="false">SQRT(P30^2*(1-Q30)-I30^2)*(0.161*PI())/(180*3600)*(Sheet2!N30*10^6)</f>
        <v>81.6774994058159</v>
      </c>
      <c r="AV30" s="8" t="n">
        <f aca="false">LOG(AU30)</f>
        <v>1.91210243315721</v>
      </c>
      <c r="AW30" s="0" t="n">
        <f aca="false">LOG(AD30)</f>
        <v>1.3096301674259</v>
      </c>
      <c r="AX30" s="0" t="n">
        <f aca="false">LOG(4*$B$85)+2*LOG($B$81*Z30)+LOG(W30*10^(-14))+Y30*(1+$B$86) - LOG(2.87)</f>
        <v>39.8855611883631</v>
      </c>
      <c r="AY30" s="0" t="n">
        <f aca="false">LOG(4*$B$85)+2*LOG($B$81*Z30)+LOG(R30*10^(-14))+Y30</f>
        <v>40.3210963526474</v>
      </c>
      <c r="AZ30" s="0" t="n">
        <f aca="false">LOG(4*$B$85)+2*LOG($B$81*Z30)+LOG(T30*10^(-14))+Y30</f>
        <v>40.3210963526474</v>
      </c>
      <c r="BA30" s="0" t="n">
        <f aca="false">LOG(AA30)</f>
        <v>1.70757017609794</v>
      </c>
      <c r="BB30" s="0" t="n">
        <f aca="false">LOG(AJ30)</f>
        <v>1.74036268949424</v>
      </c>
      <c r="BC30" s="0" t="n">
        <f aca="false">I30*0.161</f>
        <v>0.322932252460915</v>
      </c>
      <c r="BD30" s="1" t="n">
        <f aca="false">LOG(4*$B$85)+2*LOG($B$81*Z30)+LOG(W30*10^(-14))+Y30*(1+$B$86)</f>
        <v>40.3434430850971</v>
      </c>
      <c r="BE30" s="8" t="n">
        <v>40.35</v>
      </c>
      <c r="BF30" s="8" t="n">
        <v>39.8855611883631</v>
      </c>
      <c r="BG30" s="8" t="n">
        <v>40.3210963526474</v>
      </c>
      <c r="BH30" s="8" t="n">
        <v>40.3210963526474</v>
      </c>
      <c r="BI30" s="8"/>
      <c r="BJ30" s="16" t="n">
        <v>2.59318251388042</v>
      </c>
      <c r="BK30" s="16"/>
      <c r="BL30" s="16" t="n">
        <v>1.91210243315721</v>
      </c>
      <c r="BM30" s="8" t="n">
        <v>1.3096301674259</v>
      </c>
      <c r="BN30" s="8" t="n">
        <v>8.26</v>
      </c>
      <c r="BO30" s="8" t="n">
        <v>1.70757017609794</v>
      </c>
      <c r="BP30" s="8" t="n">
        <v>1.74036268949424</v>
      </c>
      <c r="BR30" s="20"/>
      <c r="BS30" s="8"/>
      <c r="BT30" s="8"/>
    </row>
    <row r="31" customFormat="false" ht="13.2" hidden="false" customHeight="false" outlineLevel="0" collapsed="false">
      <c r="A31" s="25" t="s">
        <v>155</v>
      </c>
      <c r="B31" s="8" t="n">
        <v>20.89</v>
      </c>
      <c r="C31" s="8" t="n">
        <v>2022.9</v>
      </c>
      <c r="D31" s="8" t="n">
        <v>22.97</v>
      </c>
      <c r="E31" s="8" t="n">
        <v>2216.9</v>
      </c>
      <c r="F31" s="8" t="n">
        <v>2066</v>
      </c>
      <c r="G31" s="8" t="n">
        <f aca="false">B31+(D31-B31)*((F31-C31)/(E31-C31))</f>
        <v>21.3521030927835</v>
      </c>
      <c r="H31" s="15" t="n">
        <v>0.345</v>
      </c>
      <c r="I31" s="8" t="n">
        <f aca="false">(5.54+5.5+5.59+5.58+5.45+5.43+5.9+5.04+5.73+5.43+5.41+5.35)/12/2.355</f>
        <v>2.33368719037509</v>
      </c>
      <c r="J31" s="0" t="s">
        <v>156</v>
      </c>
      <c r="K31" s="8" t="n">
        <v>4.55</v>
      </c>
      <c r="L31" s="8" t="n">
        <v>335.3</v>
      </c>
      <c r="M31" s="8" t="n">
        <v>5</v>
      </c>
      <c r="N31" s="8" t="n">
        <v>384.09</v>
      </c>
      <c r="O31" s="8" t="n">
        <f aca="false">752.41/2</f>
        <v>376.205</v>
      </c>
      <c r="P31" s="8" t="n">
        <f aca="false">K31+(M31-K31)*((O31-L31)/(N31-L31))</f>
        <v>4.92727505636401</v>
      </c>
      <c r="Q31" s="15" t="n">
        <v>0.198</v>
      </c>
      <c r="R31" s="8" t="n">
        <v>85.9</v>
      </c>
      <c r="S31" s="8" t="n">
        <v>2.22</v>
      </c>
      <c r="T31" s="8" t="n">
        <v>24.45</v>
      </c>
      <c r="U31" s="8" t="n">
        <v>2.4</v>
      </c>
      <c r="V31" s="8" t="n">
        <v>0.17</v>
      </c>
      <c r="W31" s="8" t="n">
        <v>100</v>
      </c>
      <c r="X31" s="8"/>
      <c r="Y31" s="8" t="n">
        <v>0.11</v>
      </c>
      <c r="Z31" s="8" t="n">
        <v>38.4</v>
      </c>
      <c r="AA31" s="8" t="n">
        <v>100</v>
      </c>
      <c r="AB31" s="8" t="n">
        <v>8.01</v>
      </c>
      <c r="AC31" s="8" t="s">
        <v>95</v>
      </c>
      <c r="AD31" s="8" t="n">
        <v>35.4</v>
      </c>
      <c r="AE31" s="8" t="n">
        <v>3.5</v>
      </c>
      <c r="AF31" s="8" t="n">
        <v>41.34</v>
      </c>
      <c r="AG31" s="8" t="n">
        <f aca="false">AF31-LOG(2.87)</f>
        <v>40.882118103266</v>
      </c>
      <c r="AH31" s="8" t="n">
        <v>41.38</v>
      </c>
      <c r="AI31" s="8" t="n">
        <v>40.83</v>
      </c>
      <c r="AJ31" s="8" t="n">
        <v>101</v>
      </c>
      <c r="AK31" s="8"/>
      <c r="AL31" s="8"/>
      <c r="AM31" s="8"/>
      <c r="AN31" s="8" t="n">
        <f aca="false">G31*SQRT(1-H31)*0.161</f>
        <v>2.78219255213186</v>
      </c>
      <c r="AO31" s="0" t="n">
        <f aca="false">SQRT(G31^2*(1-H31)-I31^2)*0.161</f>
        <v>2.75670585033093</v>
      </c>
      <c r="AP31" s="8" t="n">
        <f aca="false">SQRT(G31^2*(1-H31)-I31^2)*(0.161*PI())/(180*3600)*(Sheet2!N31*10^6)</f>
        <v>503.577902310775</v>
      </c>
      <c r="AQ31" s="8" t="n">
        <f aca="false">LOG(AP31)</f>
        <v>2.70206666441626</v>
      </c>
      <c r="AR31" s="8"/>
      <c r="AS31" s="8" t="n">
        <f aca="false">P31*SQRT(1-Q31)*0.161</f>
        <v>0.710427667840834</v>
      </c>
      <c r="AT31" s="0" t="n">
        <f aca="false">SQRT(P31^2*(1-Q31)-I31^2)*0.161</f>
        <v>0.602942135983649</v>
      </c>
      <c r="AU31" s="8" t="n">
        <f aca="false">SQRT(P31^2*(1-Q31)-I31^2)*(0.161*PI())/(180*3600)*(Sheet2!N31*10^6)</f>
        <v>110.141724412481</v>
      </c>
      <c r="AV31" s="8" t="n">
        <f aca="false">LOG(AU31)</f>
        <v>2.04195187164556</v>
      </c>
      <c r="AW31" s="0" t="n">
        <f aca="false">LOG(AD31)</f>
        <v>1.54900326202579</v>
      </c>
      <c r="AX31" s="0" t="n">
        <f aca="false">LOG(4*$B$85)+2*LOG($B$81*Z31)+LOG(W31*10^(-14))+Y31*(1+$B$86) - LOG(2.87)</f>
        <v>40.8602418490241</v>
      </c>
      <c r="AY31" s="0" t="n">
        <f aca="false">LOG(4*$B$85)+2*LOG($B$81*Z31)+LOG(R31*10^(-14))+Y31</f>
        <v>41.2889669095893</v>
      </c>
      <c r="AZ31" s="0" t="n">
        <f aca="false">LOG(4*$B$85)+2*LOG($B$81*Z31)+LOG(T31*10^(-14))+Y31</f>
        <v>40.7432526092177</v>
      </c>
      <c r="BA31" s="0" t="n">
        <f aca="false">LOG(AA31)</f>
        <v>2</v>
      </c>
      <c r="BB31" s="0" t="n">
        <f aca="false">LOG(AJ31)</f>
        <v>2.00432137378264</v>
      </c>
      <c r="BC31" s="0" t="n">
        <f aca="false">I31*0.161</f>
        <v>0.375723637650389</v>
      </c>
      <c r="BD31" s="1" t="n">
        <f aca="false">LOG(4*$B$85)+2*LOG($B$81*Z31)+LOG(W31*10^(-14))+Y31*(1+$B$86)</f>
        <v>41.3181237457581</v>
      </c>
      <c r="BE31" s="8" t="n">
        <v>41.34</v>
      </c>
      <c r="BF31" s="8" t="n">
        <v>40.8602418490241</v>
      </c>
      <c r="BG31" s="8" t="n">
        <v>41.2889669095893</v>
      </c>
      <c r="BH31" s="8" t="n">
        <v>40.7432526092177</v>
      </c>
      <c r="BI31" s="8"/>
      <c r="BJ31" s="16" t="n">
        <v>2.70206666441626</v>
      </c>
      <c r="BK31" s="16"/>
      <c r="BL31" s="16" t="n">
        <v>2.04195187164556</v>
      </c>
      <c r="BM31" s="8" t="n">
        <v>1.54900326202579</v>
      </c>
      <c r="BN31" s="8" t="n">
        <v>8.01</v>
      </c>
      <c r="BO31" s="8" t="n">
        <v>2</v>
      </c>
      <c r="BP31" s="8" t="n">
        <v>2.00432137378264</v>
      </c>
      <c r="BR31" s="20"/>
      <c r="BS31" s="8" t="str">
        <f aca="false">$BJ$2</f>
        <v>log (R)</v>
      </c>
      <c r="BT31" s="8" t="s">
        <v>157</v>
      </c>
      <c r="BU31" s="0" t="str">
        <f aca="false">$BL$2</f>
        <v>log (r)</v>
      </c>
      <c r="BV31" s="0" t="s">
        <v>133</v>
      </c>
      <c r="BW31" s="26" t="s">
        <v>158</v>
      </c>
      <c r="BZ31" s="0" t="str">
        <f aca="false">$BM$2</f>
        <v>log (σHβ) (Km s-¹)</v>
      </c>
      <c r="CA31" s="0" t="s">
        <v>157</v>
      </c>
      <c r="CB31" s="0" t="str">
        <f aca="false">$BF$2</f>
        <v>log (LHβ) (erg s-¹) KTC</v>
      </c>
      <c r="CC31" s="0" t="s">
        <v>133</v>
      </c>
      <c r="CD31" s="26" t="s">
        <v>158</v>
      </c>
      <c r="CG31" s="0" t="str">
        <f aca="false">$BM$2</f>
        <v>log (σHβ) (Km s-¹)</v>
      </c>
      <c r="CH31" s="0" t="s">
        <v>157</v>
      </c>
      <c r="CI31" s="0" t="str">
        <f aca="false">$BG$2</f>
        <v>log (LHβ) (erg s-¹) NTT</v>
      </c>
      <c r="CJ31" s="0" t="s">
        <v>133</v>
      </c>
      <c r="CK31" s="26" t="s">
        <v>158</v>
      </c>
      <c r="CN31" s="0" t="str">
        <f aca="false">$BM$2</f>
        <v>log (σHβ) (Km s-¹)</v>
      </c>
      <c r="CO31" s="0" t="s">
        <v>157</v>
      </c>
      <c r="CP31" s="0" t="str">
        <f aca="false">$BH$2</f>
        <v>log(LHβ) B.K (erg s-¹) NTT</v>
      </c>
      <c r="CQ31" s="0" t="s">
        <v>133</v>
      </c>
      <c r="CR31" s="26" t="s">
        <v>158</v>
      </c>
      <c r="CU31" s="0" t="str">
        <f aca="false">$BF$2</f>
        <v>log (LHβ) (erg s-¹) KTC</v>
      </c>
      <c r="CV31" s="0" t="s">
        <v>157</v>
      </c>
      <c r="CW31" s="0" t="str">
        <f aca="false">$BG$2</f>
        <v>log (LHβ) (erg s-¹) NTT</v>
      </c>
      <c r="CX31" s="0" t="s">
        <v>133</v>
      </c>
      <c r="CY31" s="26" t="s">
        <v>158</v>
      </c>
      <c r="DC31" s="0" t="str">
        <f aca="false">$BM$137</f>
        <v>Log(σH) 2011</v>
      </c>
      <c r="DD31" s="0" t="s">
        <v>157</v>
      </c>
      <c r="DE31" s="0" t="n">
        <f aca="false">$BE$137</f>
        <v>0</v>
      </c>
      <c r="DF31" s="0" t="s">
        <v>133</v>
      </c>
      <c r="DJ31" s="0" t="str">
        <f aca="false">$BJ$137</f>
        <v>Log(σH) 2011</v>
      </c>
      <c r="DK31" s="0" t="s">
        <v>157</v>
      </c>
      <c r="DL31" s="0" t="str">
        <f aca="false">$BF$137</f>
        <v>Log(LHβ) 2011</v>
      </c>
      <c r="DM31" s="0" t="s">
        <v>133</v>
      </c>
      <c r="DQ31" s="0" t="str">
        <f aca="false">$BJ$137</f>
        <v>Log(σH) 2011</v>
      </c>
      <c r="DR31" s="0" t="s">
        <v>157</v>
      </c>
      <c r="DS31" s="0" t="str">
        <f aca="false">$BG$137</f>
        <v>Full Log(LHβ) 2007</v>
      </c>
      <c r="DT31" s="0" t="s">
        <v>133</v>
      </c>
      <c r="DX31" s="0" t="str">
        <f aca="false">$BJ$137</f>
        <v>Log(σH) 2011</v>
      </c>
      <c r="DY31" s="0" t="s">
        <v>157</v>
      </c>
      <c r="DZ31" s="0" t="str">
        <f aca="false">$BH$137</f>
        <v>BK Log(LHβ) 2007</v>
      </c>
      <c r="EA31" s="0" t="s">
        <v>133</v>
      </c>
    </row>
    <row r="32" customFormat="false" ht="13.2" hidden="false" customHeight="false" outlineLevel="0" collapsed="false">
      <c r="A32" s="25" t="s">
        <v>159</v>
      </c>
      <c r="B32" s="8" t="n">
        <v>27.8</v>
      </c>
      <c r="C32" s="8" t="n">
        <v>1011.5</v>
      </c>
      <c r="D32" s="8" t="n">
        <v>30.58</v>
      </c>
      <c r="E32" s="8" t="n">
        <v>1089.9</v>
      </c>
      <c r="F32" s="8" t="n">
        <v>1053.15</v>
      </c>
      <c r="G32" s="8" t="n">
        <f aca="false">B32+(D32-B32)*((F32-C32)/(E32-C32))</f>
        <v>29.276875</v>
      </c>
      <c r="H32" s="15" t="n">
        <v>0.2651</v>
      </c>
      <c r="I32" s="8" t="n">
        <f aca="false">(5.46+5.38+5.1+5.22+5.27+5.42+5.35+5.08+4.99+5.29+5.14)/11/2.355</f>
        <v>2.22736923373866</v>
      </c>
      <c r="J32" s="0" t="s">
        <v>160</v>
      </c>
      <c r="K32" s="8" t="n">
        <v>4.13</v>
      </c>
      <c r="L32" s="8" t="n">
        <v>93.281</v>
      </c>
      <c r="M32" s="8" t="n">
        <v>4.55</v>
      </c>
      <c r="N32" s="8" t="n">
        <v>115.86</v>
      </c>
      <c r="O32" s="8" t="n">
        <f aca="false">215.98/2</f>
        <v>107.99</v>
      </c>
      <c r="P32" s="8" t="n">
        <f aca="false">K32+(M32-K32)*((O32-L32)/(N32-L32))</f>
        <v>4.40360733424864</v>
      </c>
      <c r="Q32" s="15" t="n">
        <v>0.05</v>
      </c>
      <c r="R32" s="8" t="n">
        <v>2.45</v>
      </c>
      <c r="S32" s="8" t="n">
        <v>0.06</v>
      </c>
      <c r="T32" s="8" t="n">
        <v>0.83</v>
      </c>
      <c r="U32" s="8" t="n">
        <v>0.09</v>
      </c>
      <c r="V32" s="8" t="n">
        <v>0.7</v>
      </c>
      <c r="W32" s="8" t="n">
        <v>2</v>
      </c>
      <c r="X32" s="8"/>
      <c r="Y32" s="8" t="n">
        <v>0.7</v>
      </c>
      <c r="Z32" s="8" t="n">
        <v>37.4</v>
      </c>
      <c r="AA32" s="8" t="n">
        <v>5</v>
      </c>
      <c r="AB32" s="8" t="n">
        <v>8.48</v>
      </c>
      <c r="AC32" s="8" t="n">
        <v>1.022</v>
      </c>
      <c r="AD32" s="8" t="n">
        <v>24</v>
      </c>
      <c r="AE32" s="8" t="n">
        <v>2.2</v>
      </c>
      <c r="AF32" s="8" t="n">
        <v>40</v>
      </c>
      <c r="AG32" s="8" t="n">
        <f aca="false">AF32-LOG(2.87)</f>
        <v>39.542118103266</v>
      </c>
      <c r="AH32" s="8" t="n">
        <v>40.33</v>
      </c>
      <c r="AI32" s="8" t="n">
        <v>39.86</v>
      </c>
      <c r="AJ32" s="8" t="n">
        <v>6</v>
      </c>
      <c r="AK32" s="8"/>
      <c r="AL32" s="8"/>
      <c r="AM32" s="8"/>
      <c r="AN32" s="8" t="n">
        <f aca="false">G32*SQRT(1-H32)*0.161</f>
        <v>4.04077546175946</v>
      </c>
      <c r="AO32" s="0" t="n">
        <f aca="false">SQRT(G32^2*(1-H32)-I32^2)*0.161</f>
        <v>4.02483139383396</v>
      </c>
      <c r="AP32" s="8" t="n">
        <f aca="false">SQRT(G32^2*(1-H32)-I32^2)*(0.161*PI())/(180*3600)*(Sheet2!N32*10^6)</f>
        <v>716.368371219275</v>
      </c>
      <c r="AQ32" s="8" t="n">
        <f aca="false">LOG(AP32)</f>
        <v>2.85513640282165</v>
      </c>
      <c r="AR32" s="8"/>
      <c r="AS32" s="8" t="n">
        <f aca="false">P32*SQRT(1-Q32)*0.161</f>
        <v>0.691028986501644</v>
      </c>
      <c r="AT32" s="0" t="n">
        <f aca="false">SQRT(P32^2*(1-Q32)-I32^2)*0.161</f>
        <v>0.590696602850832</v>
      </c>
      <c r="AU32" s="8" t="n">
        <f aca="false">SQRT(P32^2*(1-Q32)-I32^2)*(0.161*PI())/(180*3600)*(Sheet2!N32*10^6)</f>
        <v>105.136419855322</v>
      </c>
      <c r="AV32" s="8" t="n">
        <f aca="false">LOG(AU32)</f>
        <v>2.02175318417612</v>
      </c>
      <c r="AW32" s="0" t="n">
        <f aca="false">LOG(AD32)</f>
        <v>1.38021124171161</v>
      </c>
      <c r="AX32" s="0" t="n">
        <f aca="false">LOG(4*$B$85)+2*LOG($B$81*Z32)+LOG(W32*10^(-14))+Y32*(1+$B$86) - LOG(2.87)</f>
        <v>39.5307026003539</v>
      </c>
      <c r="AY32" s="0" t="n">
        <f aca="false">LOG(4*$B$85)+2*LOG($B$81*Z32)+LOG(R32*10^(-14))+Y32</f>
        <v>40.3112205857885</v>
      </c>
      <c r="AZ32" s="0" t="n">
        <f aca="false">LOG(4*$B$85)+2*LOG($B$81*Z32)+LOG(T32*10^(-14))+Y32</f>
        <v>39.8411325938</v>
      </c>
      <c r="BA32" s="0" t="n">
        <f aca="false">LOG(AA32)</f>
        <v>0.698970004336019</v>
      </c>
      <c r="BB32" s="0" t="n">
        <f aca="false">LOG(AJ32)</f>
        <v>0.778151250383644</v>
      </c>
      <c r="BC32" s="0" t="n">
        <f aca="false">I32*0.161</f>
        <v>0.358606446631924</v>
      </c>
      <c r="BD32" s="1" t="n">
        <f aca="false">LOG(4*$B$85)+2*LOG($B$81*Z32)+LOG(W32*10^(-14))+Y32*(1+$B$86)</f>
        <v>39.9885844970879</v>
      </c>
      <c r="BE32" s="8" t="n">
        <v>40</v>
      </c>
      <c r="BF32" s="8" t="n">
        <v>39.5307026003539</v>
      </c>
      <c r="BG32" s="8" t="n">
        <v>40.3112205857885</v>
      </c>
      <c r="BH32" s="8" t="n">
        <v>39.8411325938</v>
      </c>
      <c r="BI32" s="8"/>
      <c r="BJ32" s="16" t="n">
        <v>2.85513640282165</v>
      </c>
      <c r="BK32" s="16"/>
      <c r="BL32" s="16" t="n">
        <v>2.02175318417612</v>
      </c>
      <c r="BM32" s="8" t="n">
        <v>1.38021124171161</v>
      </c>
      <c r="BN32" s="8" t="n">
        <v>8.48</v>
      </c>
      <c r="BO32" s="8" t="n">
        <v>0.698970004336019</v>
      </c>
      <c r="BP32" s="8" t="n">
        <v>0.778151250383644</v>
      </c>
      <c r="BR32" s="20" t="n">
        <f aca="false">(BV32)^2</f>
        <v>0.0109718148931409</v>
      </c>
      <c r="BS32" s="8" t="n">
        <f aca="false" t="array" ref="BS32:BS70">$BJ$3:$BJ$41</f>
        <v>2.62956092768934</v>
      </c>
      <c r="BT32" s="8" t="n">
        <f aca="false" t="array" ref="BT32:BT70">MMULT($BS$32:$BS$70 , $BT$29) + $BT$28</f>
        <v>1.94988697787393</v>
      </c>
      <c r="BU32" s="0" t="n">
        <f aca="false" t="array" ref="BU32:BU70">$BL$3:$BL$41</f>
        <v>2.05463340928398</v>
      </c>
      <c r="BV32" s="0" t="n">
        <f aca="false" t="array" ref="BV32:BV70">$BU$32:$BU$70 - $BT$32:$BT$70</f>
        <v>0.104746431410053</v>
      </c>
      <c r="BW32" s="20" t="n">
        <f aca="false">(BV32)^2</f>
        <v>0.0109718148931409</v>
      </c>
      <c r="BZ32" s="0" t="n">
        <f aca="false" t="array" ref="BZ32:BZ70">$BM$3:$BM$41</f>
        <v>1.18752072083646</v>
      </c>
      <c r="CA32" s="0" t="n">
        <f aca="false" t="array" ref="CA32:CA70">MMULT($BZ$32:$BZ$70 , $CA$29) + $CA$28</f>
        <v>39.3499818673861</v>
      </c>
      <c r="CB32" s="0" t="n">
        <f aca="false" t="array" ref="CB32:CB70">$BF$3:$BF$41</f>
        <v>39.4693811697741</v>
      </c>
      <c r="CC32" s="0" t="n">
        <f aca="false" t="array" ref="CC32:CC70">$CB$32:$CB$70 - $CA$32:$CA$70</f>
        <v>0.119399302388032</v>
      </c>
      <c r="CD32" s="20" t="n">
        <f aca="false">(CC32)^2</f>
        <v>0.0142561934107488</v>
      </c>
      <c r="CF32" s="20"/>
      <c r="CG32" s="0" t="n">
        <f aca="false" t="array" ref="CG32:CG70">$BM$3:$BM$41</f>
        <v>1.18752072083646</v>
      </c>
      <c r="CH32" s="0" t="n">
        <f aca="false" t="array" ref="CH32:CH70">MMULT($CG$32:$CG$70 , $CH$29) + $CH$28</f>
        <v>39.9347559193747</v>
      </c>
      <c r="CI32" s="0" t="n">
        <f aca="false" t="array" ref="CI32:CI70">$BG$3:$BG$41</f>
        <v>39.926839874903</v>
      </c>
      <c r="CJ32" s="0" t="n">
        <f aca="false" t="array" ref="CJ32:CJ70">$CI$32:$CI$70 - $CH$32:$CH$70</f>
        <v>-0.00791604447169902</v>
      </c>
      <c r="CK32" s="20" t="n">
        <f aca="false">(CJ32)^2</f>
        <v>6.26637600779167E-005</v>
      </c>
      <c r="CM32" s="20"/>
      <c r="CN32" s="0" t="n">
        <f aca="false" t="array" ref="CN32:CN70">$BM$3:$BM$41</f>
        <v>1.18752072083646</v>
      </c>
      <c r="CO32" s="0" t="n">
        <f aca="false" t="array" ref="CO32:CO70">MMULT($CN$32:$CN$70 , $CO$29) + $CO$28</f>
        <v>39.6533735764236</v>
      </c>
      <c r="CP32" s="0" t="n">
        <f aca="false" t="array" ref="CP32:CP70">$BH$3:$BH$41</f>
        <v>39.926839874903</v>
      </c>
      <c r="CQ32" s="0" t="n">
        <f aca="false" t="array" ref="CQ32:CQ70">$CP$32:$CP$70 - $CO$32:$CO$70</f>
        <v>0.273466298479427</v>
      </c>
      <c r="CR32" s="20" t="n">
        <f aca="false">(CQ32)^2</f>
        <v>0.074783816404039</v>
      </c>
      <c r="CU32" s="0" t="n">
        <f aca="false" t="array" ref="CU32:CU70">$BF$3:$BF$41</f>
        <v>39.4693811697741</v>
      </c>
      <c r="CV32" s="0" t="n">
        <f aca="false" t="array" ref="CV32:CV70">MMULT($CU$32:$CU$70 , $CV$29) + $CV$28</f>
        <v>40.0058413817256</v>
      </c>
      <c r="CW32" s="0" t="n">
        <f aca="false" t="array" ref="CW32:CW70">$BG$3:$BG$41</f>
        <v>39.926839874903</v>
      </c>
      <c r="CX32" s="0" t="n">
        <f aca="false" t="array" ref="CX32:CX70">$CW$32:$CW$70 - $CV$32:$CV$70</f>
        <v>-0.0790015068226069</v>
      </c>
      <c r="CY32" s="20" t="n">
        <f aca="false">(CX32)^2</f>
        <v>0.0062412380802424</v>
      </c>
      <c r="DC32" s="0" t="n">
        <f aca="false" t="array" ref="DC32:DC47">$BM$138:$BM$153</f>
        <v>1.52762990087134</v>
      </c>
      <c r="DD32" s="0" t="e">
        <f aca="false" t="array" ref="DD32:DD47">MMULT($DC$32:$DC$47 , $DD$29) + $DD$28</f>
        <v>#VALUE!</v>
      </c>
      <c r="DE32" s="0" t="n">
        <f aca="false" t="array" ref="DE32:DE47">$BE$138:$BE$153</f>
        <v>0</v>
      </c>
      <c r="DF32" s="0" t="e">
        <f aca="false" t="array" ref="DF32:DF47">$DE$32:$DE$47 - $DD$32:$DD$47</f>
        <v>#VALUE!</v>
      </c>
      <c r="DJ32" s="0" t="n">
        <f aca="false" t="array" ref="DJ32:DJ47">$BJ$138:$BJ$153</f>
        <v>1.52762990087134</v>
      </c>
      <c r="DK32" s="0" t="n">
        <f aca="false" t="array" ref="DK32:DK47">MMULT($DJ$32:$DJ$47 , $DK$29) + $DK$28</f>
        <v>93.2371500801148</v>
      </c>
      <c r="DL32" s="0" t="n">
        <f aca="false" t="array" ref="DL32:DL47">$BF$138:$BF$153</f>
        <v>39.9963150223595</v>
      </c>
      <c r="DM32" s="0" t="n">
        <f aca="false" t="array" ref="DM32:DM47">$DL$32:$DL$47 - $DK$32:$DK$47</f>
        <v>-53.2408350577553</v>
      </c>
      <c r="DQ32" s="0" t="n">
        <f aca="false" t="array" ref="DQ32:DQ47">$BJ$138:$BJ$153</f>
        <v>1.52762990087134</v>
      </c>
      <c r="DR32" s="0" t="n">
        <f aca="false" t="array" ref="DR32:DR47">MMULT($DQ$32:$DQ$47 , $DR$29) + $DR$28</f>
        <v>95.8064346480682</v>
      </c>
      <c r="DS32" s="0" t="n">
        <f aca="false" t="array" ref="DS32:DS47">$BG$138:$BG$153</f>
        <v>40.4667860464016</v>
      </c>
      <c r="DT32" s="0" t="n">
        <f aca="false" t="array" ref="DT32:DT47">$DS$32:$DS$47 - $DR$32:$DR$47</f>
        <v>-55.3396486016666</v>
      </c>
      <c r="DX32" s="0" t="n">
        <f aca="false" t="array" ref="DX32:DX47">$BJ$138:$BJ$153</f>
        <v>1.52762990087134</v>
      </c>
      <c r="DY32" s="0" t="n">
        <f aca="false" t="array" ref="DY32:DY47">MMULT($DX$32:$DX$47 , $DY$29) + $DY$28</f>
        <v>93.5972051722874</v>
      </c>
      <c r="DZ32" s="0" t="n">
        <f aca="false" t="array" ref="DZ32:DZ47">$BH$138:$BH$153</f>
        <v>40.4667860464016</v>
      </c>
      <c r="EA32" s="0" t="n">
        <f aca="false" t="array" ref="EA32:EA47">$DZ$32:$DZ$47 - $DY$32:$DY$47</f>
        <v>-53.1304191258858</v>
      </c>
    </row>
    <row r="33" customFormat="false" ht="13.2" hidden="false" customHeight="false" outlineLevel="0" collapsed="false">
      <c r="A33" s="0" t="s">
        <v>161</v>
      </c>
      <c r="B33" s="8" t="n">
        <v>13.55</v>
      </c>
      <c r="C33" s="8" t="n">
        <v>259.87</v>
      </c>
      <c r="D33" s="8" t="n">
        <v>14.91</v>
      </c>
      <c r="E33" s="8" t="n">
        <v>285.36</v>
      </c>
      <c r="F33" s="8" t="n">
        <v>262.325</v>
      </c>
      <c r="G33" s="8" t="n">
        <f aca="false">B33+(D33-B33)*((F33-C33)/(E33-C33))</f>
        <v>13.6809846998823</v>
      </c>
      <c r="H33" s="15" t="n">
        <v>0.25</v>
      </c>
      <c r="I33" s="8" t="n">
        <f aca="false">(5.29+5.3+5.49+5.27+5.16+5.04+5.03+4.91+4.79+5.06+5.23)/11/2.355</f>
        <v>2.18374831113685</v>
      </c>
      <c r="J33" s="0" t="s">
        <v>162</v>
      </c>
      <c r="K33" s="8" t="n">
        <v>3.42</v>
      </c>
      <c r="L33" s="8" t="n">
        <v>48.376</v>
      </c>
      <c r="M33" s="8" t="n">
        <v>3.76</v>
      </c>
      <c r="N33" s="8" t="n">
        <v>55.369</v>
      </c>
      <c r="O33" s="8" t="n">
        <f aca="false">101.44/2</f>
        <v>50.72</v>
      </c>
      <c r="P33" s="8" t="n">
        <f aca="false">K33+(M33-K33)*((O33-L33)/(N33-L33))</f>
        <v>3.53396539396539</v>
      </c>
      <c r="Q33" s="15" t="n">
        <v>0.08</v>
      </c>
      <c r="R33" s="8" t="n">
        <v>1.13</v>
      </c>
      <c r="S33" s="8" t="n">
        <v>0.03</v>
      </c>
      <c r="T33" s="8" t="n">
        <v>1.13</v>
      </c>
      <c r="U33" s="8" t="n">
        <v>0.03</v>
      </c>
      <c r="V33" s="8" t="n">
        <v>0.1</v>
      </c>
      <c r="W33" s="8" t="n">
        <v>1.5</v>
      </c>
      <c r="X33" s="8"/>
      <c r="Y33" s="8" t="n">
        <v>0.1</v>
      </c>
      <c r="Z33" s="8" t="n">
        <v>60.6</v>
      </c>
      <c r="AA33" s="8" t="n">
        <v>11</v>
      </c>
      <c r="AB33" s="8" t="n">
        <v>7.99</v>
      </c>
      <c r="AC33" s="8" t="n">
        <v>1.095</v>
      </c>
      <c r="AD33" s="8" t="n">
        <v>25.8</v>
      </c>
      <c r="AE33" s="8" t="n">
        <v>1.8</v>
      </c>
      <c r="AF33" s="8" t="n">
        <v>39.89</v>
      </c>
      <c r="AG33" s="8" t="n">
        <f aca="false">AF33-LOG(2.87)</f>
        <v>39.432118103266</v>
      </c>
      <c r="AH33" s="8" t="n">
        <v>39.83</v>
      </c>
      <c r="AI33" s="8" t="n">
        <v>39.83</v>
      </c>
      <c r="AJ33" s="8" t="n">
        <v>18</v>
      </c>
      <c r="AK33" s="8"/>
      <c r="AL33" s="8"/>
      <c r="AM33" s="8"/>
      <c r="AN33" s="8" t="n">
        <f aca="false">G33*SQRT(1-H33)*0.161</f>
        <v>1.90754092812037</v>
      </c>
      <c r="AO33" s="0" t="n">
        <f aca="false">SQRT(G33^2*(1-H33)-I33^2)*0.161</f>
        <v>1.87486038157147</v>
      </c>
      <c r="AP33" s="8" t="n">
        <f aca="false">SQRT(G33^2*(1-H33)-I33^2)*(0.161*PI())/(180*3600)*(Sheet2!N33*10^6)</f>
        <v>534.72086049468</v>
      </c>
      <c r="AQ33" s="8" t="n">
        <f aca="false">LOG(AP33)</f>
        <v>2.7281271270983</v>
      </c>
      <c r="AR33" s="8"/>
      <c r="AS33" s="8" t="n">
        <f aca="false">P33*SQRT(1-Q33)*0.161</f>
        <v>0.545735344965351</v>
      </c>
      <c r="AT33" s="0" t="n">
        <f aca="false">SQRT(P33^2*(1-Q33)-I33^2)*0.161</f>
        <v>0.417392051525249</v>
      </c>
      <c r="AU33" s="8" t="n">
        <f aca="false">SQRT(P33^2*(1-Q33)-I33^2)*(0.161*PI())/(180*3600)*(Sheet2!N33*10^6)</f>
        <v>119.042590663817</v>
      </c>
      <c r="AV33" s="8" t="n">
        <f aca="false">LOG(AU33)</f>
        <v>2.07570236963626</v>
      </c>
      <c r="AW33" s="0" t="n">
        <f aca="false">LOG(AD33)</f>
        <v>1.41161970596323</v>
      </c>
      <c r="AX33" s="0" t="n">
        <f aca="false">LOG(4*$B$85)+2*LOG($B$81*Z33)+LOG(W33*10^(-14))+Y33*(1+$B$86) - LOG(2.87)</f>
        <v>39.4259659076773</v>
      </c>
      <c r="AY33" s="0" t="n">
        <f aca="false">LOG(4*$B$85)+2*LOG($B$81*Z33)+LOG(R33*10^(-14))+Y33</f>
        <v>39.794334988839</v>
      </c>
      <c r="AZ33" s="0" t="n">
        <f aca="false">LOG(4*$B$85)+2*LOG($B$81*Z33)+LOG(T33*10^(-14))+Y33</f>
        <v>39.794334988839</v>
      </c>
      <c r="BA33" s="0" t="n">
        <f aca="false">LOG(AA33)</f>
        <v>1.04139268515823</v>
      </c>
      <c r="BB33" s="0" t="n">
        <f aca="false">LOG(AJ33)</f>
        <v>1.25527250510331</v>
      </c>
      <c r="BC33" s="0" t="n">
        <f aca="false">I33*0.161</f>
        <v>0.351583478093032</v>
      </c>
      <c r="BD33" s="1" t="n">
        <f aca="false">LOG(4*$B$85)+2*LOG($B$81*Z33)+LOG(W33*10^(-14))+Y33*(1+$B$86)</f>
        <v>39.8838478044113</v>
      </c>
      <c r="BE33" s="8" t="n">
        <v>39.89</v>
      </c>
      <c r="BF33" s="8" t="n">
        <v>39.4259659076773</v>
      </c>
      <c r="BG33" s="8" t="n">
        <v>39.794334988839</v>
      </c>
      <c r="BH33" s="8" t="n">
        <v>39.794334988839</v>
      </c>
      <c r="BI33" s="8"/>
      <c r="BJ33" s="16" t="n">
        <v>2.7281271270983</v>
      </c>
      <c r="BK33" s="16"/>
      <c r="BL33" s="16" t="n">
        <v>2.07570236963626</v>
      </c>
      <c r="BM33" s="8" t="n">
        <v>1.41161970596323</v>
      </c>
      <c r="BN33" s="8" t="n">
        <v>7.99</v>
      </c>
      <c r="BO33" s="8" t="n">
        <v>1.04139268515823</v>
      </c>
      <c r="BP33" s="8" t="n">
        <v>1.25527250510331</v>
      </c>
      <c r="BR33" s="20" t="n">
        <f aca="false">(BV33)^2</f>
        <v>0.00201022057957993</v>
      </c>
      <c r="BS33" s="8" t="n">
        <v>2.78221676211721</v>
      </c>
      <c r="BT33" s="8" t="n">
        <v>2.04216859693966</v>
      </c>
      <c r="BU33" s="0" t="n">
        <v>2.08700408042741</v>
      </c>
      <c r="BV33" s="0" t="n">
        <v>0.0448354834877458</v>
      </c>
      <c r="BW33" s="20" t="n">
        <f aca="false">(BV33)^2</f>
        <v>0.00201022057957993</v>
      </c>
      <c r="BZ33" s="0" t="n">
        <v>1.32633586092875</v>
      </c>
      <c r="CA33" s="0" t="n">
        <v>39.7366105858685</v>
      </c>
      <c r="CB33" s="0" t="n">
        <v>40.1317447055601</v>
      </c>
      <c r="CC33" s="0" t="n">
        <v>0.395134119691633</v>
      </c>
      <c r="CD33" s="20" t="n">
        <f aca="false">(CC33)^2</f>
        <v>0.156130972544482</v>
      </c>
      <c r="CF33" s="20"/>
      <c r="CG33" s="0" t="n">
        <v>1.32633586092875</v>
      </c>
      <c r="CH33" s="0" t="n">
        <v>40.2343877144063</v>
      </c>
      <c r="CI33" s="0" t="n">
        <v>40.6654832485069</v>
      </c>
      <c r="CJ33" s="0" t="n">
        <v>0.431095534100578</v>
      </c>
      <c r="CK33" s="20" t="n">
        <f aca="false">(CJ33)^2</f>
        <v>0.185843359521463</v>
      </c>
      <c r="CM33" s="20"/>
      <c r="CN33" s="0" t="n">
        <v>1.32633586092875</v>
      </c>
      <c r="CO33" s="0" t="n">
        <v>40.020867523262</v>
      </c>
      <c r="CP33" s="0" t="n">
        <v>40.0250782651027</v>
      </c>
      <c r="CQ33" s="0" t="n">
        <v>0.00421074184074399</v>
      </c>
      <c r="CR33" s="20" t="n">
        <f aca="false">(CQ33)^2</f>
        <v>1.77303468493921E-005</v>
      </c>
      <c r="CU33" s="0" t="n">
        <v>40.1317447055601</v>
      </c>
      <c r="CV33" s="0" t="n">
        <v>40.5564741270101</v>
      </c>
      <c r="CW33" s="0" t="n">
        <v>40.6654832485069</v>
      </c>
      <c r="CX33" s="0" t="n">
        <v>0.10900912149679</v>
      </c>
      <c r="CY33" s="20" t="n">
        <f aca="false">(CX33)^2</f>
        <v>0.0118829885695019</v>
      </c>
      <c r="DC33" s="0" t="n">
        <v>1.54530711646582</v>
      </c>
      <c r="DD33" s="0" t="e">
        <v>#VALUE!</v>
      </c>
      <c r="DE33" s="0" t="n">
        <v>0</v>
      </c>
      <c r="DF33" s="0" t="e">
        <v>#VALUE!</v>
      </c>
      <c r="DJ33" s="0" t="n">
        <v>1.54530711646582</v>
      </c>
      <c r="DK33" s="0" t="n">
        <v>93.8889358877838</v>
      </c>
      <c r="DL33" s="0" t="n">
        <v>40.3308782653967</v>
      </c>
      <c r="DM33" s="0" t="n">
        <v>-53.5580576223871</v>
      </c>
      <c r="DQ33" s="0" t="n">
        <v>1.54530711646582</v>
      </c>
      <c r="DR33" s="0" t="n">
        <v>96.4764658895994</v>
      </c>
      <c r="DS33" s="0" t="n">
        <v>40.6750396842358</v>
      </c>
      <c r="DT33" s="0" t="n">
        <v>-55.8014262053636</v>
      </c>
      <c r="DX33" s="0" t="n">
        <v>1.54530711646582</v>
      </c>
      <c r="DY33" s="0" t="n">
        <v>94.2517859613107</v>
      </c>
      <c r="DZ33" s="0" t="n">
        <v>40.6750396842358</v>
      </c>
      <c r="EA33" s="0" t="n">
        <v>-53.5767462770749</v>
      </c>
    </row>
    <row r="34" customFormat="false" ht="13.2" hidden="false" customHeight="false" outlineLevel="0" collapsed="false">
      <c r="A34" s="27" t="s">
        <v>163</v>
      </c>
      <c r="B34" s="8" t="n">
        <v>6.05</v>
      </c>
      <c r="C34" s="8" t="n">
        <v>39.511</v>
      </c>
      <c r="D34" s="8" t="n">
        <v>6.66</v>
      </c>
      <c r="E34" s="8" t="n">
        <v>42.548</v>
      </c>
      <c r="F34" s="8" t="n">
        <f aca="false">79.731/2</f>
        <v>39.8655</v>
      </c>
      <c r="G34" s="8" t="n">
        <f aca="false">B34+(D34-B34)*((F34-C34)/(E34-C34))</f>
        <v>6.12120349028647</v>
      </c>
      <c r="H34" s="15" t="n">
        <v>0.2</v>
      </c>
      <c r="I34" s="8" t="n">
        <f aca="false">(4.59+4.58+4.44+4.49+4.4+4.39+4.75+4.6+4.5+4.43+4.27+4.43)/12/2.355</f>
        <v>1.90622788393489</v>
      </c>
      <c r="J34" s="0" t="s">
        <v>164</v>
      </c>
      <c r="K34" s="8" t="n">
        <v>3.25</v>
      </c>
      <c r="L34" s="8" t="n">
        <v>19.052</v>
      </c>
      <c r="M34" s="8" t="n">
        <v>3.54</v>
      </c>
      <c r="N34" s="8" t="n">
        <v>22.685</v>
      </c>
      <c r="O34" s="8" t="n">
        <f aca="false">40.499/2</f>
        <v>20.2495</v>
      </c>
      <c r="P34" s="8" t="n">
        <f aca="false">K34+(M34-K34)*((O34-L34)/(N34-L34))</f>
        <v>3.3455890448665</v>
      </c>
      <c r="Q34" s="15" t="n">
        <v>0.09</v>
      </c>
      <c r="R34" s="8" t="n">
        <v>1.05</v>
      </c>
      <c r="S34" s="8" t="n">
        <v>0.02</v>
      </c>
      <c r="T34" s="8" t="n">
        <v>1.05</v>
      </c>
      <c r="U34" s="8" t="n">
        <v>0.02</v>
      </c>
      <c r="V34" s="8" t="n">
        <v>0</v>
      </c>
      <c r="W34" s="8" t="n">
        <v>1.9</v>
      </c>
      <c r="X34" s="8"/>
      <c r="Y34" s="8" t="n">
        <v>0</v>
      </c>
      <c r="Z34" s="8" t="n">
        <v>106</v>
      </c>
      <c r="AA34" s="8" t="s">
        <v>165</v>
      </c>
      <c r="AB34" s="8" t="s">
        <v>165</v>
      </c>
      <c r="AC34" s="8" t="s">
        <v>95</v>
      </c>
      <c r="AD34" s="8" t="n">
        <v>28.5</v>
      </c>
      <c r="AE34" s="8" t="n">
        <v>1.8</v>
      </c>
      <c r="AF34" s="8" t="n">
        <v>40.41</v>
      </c>
      <c r="AG34" s="8" t="n">
        <f aca="false">AF34-LOG(2.87)</f>
        <v>39.952118103266</v>
      </c>
      <c r="AH34" s="8" t="n">
        <v>40.18</v>
      </c>
      <c r="AI34" s="8" t="n">
        <v>40.18</v>
      </c>
      <c r="AJ34" s="8" t="n">
        <v>105</v>
      </c>
      <c r="AK34" s="8"/>
      <c r="AL34" s="8"/>
      <c r="AM34" s="8"/>
      <c r="AN34" s="8" t="n">
        <f aca="false">G34*SQRT(1-H34)*0.161</f>
        <v>0.881470305780285</v>
      </c>
      <c r="AO34" s="0" t="n">
        <f aca="false">SQRT(G34^2*(1-H34)-I34^2)*0.161</f>
        <v>0.826317517219936</v>
      </c>
      <c r="AP34" s="8" t="n">
        <f aca="false">SQRT(G34^2*(1-H34)-I34^2)*(0.161*PI())/(180*3600)*(Sheet2!N34*10^6)</f>
        <v>403.586074299523</v>
      </c>
      <c r="AQ34" s="8" t="n">
        <f aca="false">LOG(AP34)</f>
        <v>2.60593617253213</v>
      </c>
      <c r="AR34" s="8"/>
      <c r="AS34" s="8" t="n">
        <f aca="false">P34*SQRT(1-Q34)*0.161</f>
        <v>0.513829655218407</v>
      </c>
      <c r="AT34" s="0" t="n">
        <f aca="false">SQRT(P34^2*(1-Q34)-I34^2)*0.161</f>
        <v>0.412106362331373</v>
      </c>
      <c r="AU34" s="8" t="n">
        <f aca="false">SQRT(P34^2*(1-Q34)-I34^2)*(0.161*PI())/(180*3600)*(Sheet2!N34*10^6)</f>
        <v>201.279030761376</v>
      </c>
      <c r="AV34" s="8" t="n">
        <f aca="false">LOG(AU34)</f>
        <v>2.30379853246947</v>
      </c>
      <c r="AW34" s="0" t="n">
        <f aca="false">LOG(AD34)</f>
        <v>1.45484486000851</v>
      </c>
      <c r="AX34" s="0" t="n">
        <f aca="false">LOG(4*$B$85)+2*LOG($B$81*Z34)+LOG(W34*10^(-14))+Y34*(1+$B$86) - LOG(2.87)</f>
        <v>39.9477947317714</v>
      </c>
      <c r="AY34" s="0" t="n">
        <f aca="false">LOG(4*$B$85)+2*LOG($B$81*Z34)+LOG(R34*10^(-14))+Y34</f>
        <v>40.1481123266225</v>
      </c>
      <c r="AZ34" s="0" t="n">
        <f aca="false">LOG(4*$B$85)+2*LOG($B$81*Z34)+LOG(T34*10^(-14))+Y34</f>
        <v>40.1481123266225</v>
      </c>
      <c r="BA34" s="0" t="n">
        <v>0</v>
      </c>
      <c r="BB34" s="0" t="n">
        <f aca="false">LOG(AJ34)</f>
        <v>2.02118929906994</v>
      </c>
      <c r="BC34" s="0" t="n">
        <f aca="false">I34*0.161</f>
        <v>0.306902689313517</v>
      </c>
      <c r="BD34" s="1" t="n">
        <f aca="false">LOG(4*$B$85)+2*LOG($B$81*Z34)+LOG(W34*10^(-14))+Y34*(1+$B$86)</f>
        <v>40.4056766285054</v>
      </c>
      <c r="BE34" s="8" t="n">
        <v>40.41</v>
      </c>
      <c r="BF34" s="8" t="n">
        <v>39.9477947317714</v>
      </c>
      <c r="BG34" s="8" t="n">
        <v>40.1481123266225</v>
      </c>
      <c r="BH34" s="8" t="n">
        <v>40.1481123266225</v>
      </c>
      <c r="BI34" s="8"/>
      <c r="BJ34" s="16" t="n">
        <v>2.60593617253213</v>
      </c>
      <c r="BK34" s="16"/>
      <c r="BL34" s="16" t="n">
        <v>2.30379853246947</v>
      </c>
      <c r="BM34" s="8" t="n">
        <v>1.45484486000851</v>
      </c>
      <c r="BN34" s="8" t="n">
        <v>0</v>
      </c>
      <c r="BO34" s="8" t="n">
        <v>0</v>
      </c>
      <c r="BP34" s="8" t="n">
        <v>2.02118929906994</v>
      </c>
      <c r="BR34" s="20" t="n">
        <f aca="false">(BV34)^2</f>
        <v>0.0486918728600772</v>
      </c>
      <c r="BS34" s="8" t="n">
        <v>2.87283479667699</v>
      </c>
      <c r="BT34" s="8" t="n">
        <v>2.09694789166543</v>
      </c>
      <c r="BU34" s="0" t="n">
        <v>2.3176102420111</v>
      </c>
      <c r="BV34" s="0" t="n">
        <v>0.220662350345675</v>
      </c>
      <c r="BW34" s="20" t="n">
        <f aca="false">(BV34)^2</f>
        <v>0.0486918728600772</v>
      </c>
      <c r="BZ34" s="0" t="n">
        <v>1.52762990087134</v>
      </c>
      <c r="CA34" s="0" t="n">
        <v>40.2972558919165</v>
      </c>
      <c r="CB34" s="0" t="n">
        <v>39.9963150223595</v>
      </c>
      <c r="CC34" s="0" t="n">
        <v>-0.300940869557046</v>
      </c>
      <c r="CD34" s="20" t="n">
        <f aca="false">(CC34)^2</f>
        <v>0.0905654069697508</v>
      </c>
      <c r="CF34" s="20"/>
      <c r="CG34" s="0" t="n">
        <v>1.52762990087134</v>
      </c>
      <c r="CH34" s="0" t="n">
        <v>40.6688799065193</v>
      </c>
      <c r="CI34" s="0" t="n">
        <v>40.4667860464016</v>
      </c>
      <c r="CJ34" s="0" t="n">
        <v>-0.202093860117671</v>
      </c>
      <c r="CK34" s="20" t="n">
        <f aca="false">(CJ34)^2</f>
        <v>0.0408419282972608</v>
      </c>
      <c r="CM34" s="20"/>
      <c r="CN34" s="0" t="n">
        <v>1.52762990087134</v>
      </c>
      <c r="CO34" s="0" t="n">
        <v>40.5537657443376</v>
      </c>
      <c r="CP34" s="0" t="n">
        <v>40.4667860464016</v>
      </c>
      <c r="CQ34" s="0" t="n">
        <v>-0.0869796979359805</v>
      </c>
      <c r="CR34" s="20" t="n">
        <f aca="false">(CQ34)^2</f>
        <v>0.00756546785303441</v>
      </c>
      <c r="CU34" s="0" t="n">
        <v>39.9963150223595</v>
      </c>
      <c r="CV34" s="0" t="n">
        <v>40.4438893994024</v>
      </c>
      <c r="CW34" s="0" t="n">
        <v>40.4667860464016</v>
      </c>
      <c r="CX34" s="0" t="n">
        <v>0.0228966469992216</v>
      </c>
      <c r="CY34" s="20" t="n">
        <f aca="false">(CX34)^2</f>
        <v>0.000524256443806962</v>
      </c>
      <c r="DC34" s="0" t="n">
        <v>1.53781909507327</v>
      </c>
      <c r="DD34" s="0" t="e">
        <v>#VALUE!</v>
      </c>
      <c r="DE34" s="0" t="n">
        <v>0</v>
      </c>
      <c r="DF34" s="0" t="e">
        <v>#VALUE!</v>
      </c>
      <c r="DJ34" s="0" t="n">
        <v>1.53781909507327</v>
      </c>
      <c r="DK34" s="0" t="n">
        <v>93.6128411575305</v>
      </c>
      <c r="DL34" s="0" t="n">
        <v>40.5363222856562</v>
      </c>
      <c r="DM34" s="0" t="n">
        <v>-53.0765188718743</v>
      </c>
      <c r="DQ34" s="0" t="n">
        <v>1.53781909507327</v>
      </c>
      <c r="DR34" s="0" t="n">
        <v>96.1926424422105</v>
      </c>
      <c r="DS34" s="0" t="n">
        <v>40.8519069419647</v>
      </c>
      <c r="DT34" s="0" t="n">
        <v>-55.3407355002458</v>
      </c>
      <c r="DX34" s="0" t="n">
        <v>1.53781909507327</v>
      </c>
      <c r="DY34" s="0" t="n">
        <v>93.9745072844081</v>
      </c>
      <c r="DZ34" s="0" t="n">
        <v>40.8519069419647</v>
      </c>
      <c r="EA34" s="0" t="n">
        <v>-53.1226003424434</v>
      </c>
    </row>
    <row r="35" customFormat="false" ht="12.8" hidden="false" customHeight="false" outlineLevel="0" collapsed="false">
      <c r="A35" s="0" t="s">
        <v>166</v>
      </c>
      <c r="B35" s="8" t="n">
        <v>47.08</v>
      </c>
      <c r="C35" s="8" t="n">
        <v>643.65</v>
      </c>
      <c r="D35" s="8" t="n">
        <v>51.78</v>
      </c>
      <c r="E35" s="8" t="n">
        <v>738.27</v>
      </c>
      <c r="F35" s="8" t="n">
        <v>730.2</v>
      </c>
      <c r="G35" s="8" t="n">
        <f aca="false">B35+(D35-B35)*((F35-C35)/(E35-C35))</f>
        <v>51.3791439441979</v>
      </c>
      <c r="H35" s="15" t="n">
        <v>0.4</v>
      </c>
      <c r="I35" s="8" t="n">
        <v>4.96</v>
      </c>
      <c r="J35" s="0" t="s">
        <v>167</v>
      </c>
      <c r="K35" s="8" t="n">
        <v>2.98</v>
      </c>
      <c r="L35" s="8" t="n">
        <v>16.878</v>
      </c>
      <c r="M35" s="8" t="n">
        <v>3.25</v>
      </c>
      <c r="N35" s="8" t="n">
        <v>20.803</v>
      </c>
      <c r="O35" s="8" t="n">
        <f aca="false">41.214/2</f>
        <v>20.607</v>
      </c>
      <c r="P35" s="8" t="n">
        <f aca="false">K35+(M35-K35)*((O35-L35)/(N35-L35))</f>
        <v>3.23651719745223</v>
      </c>
      <c r="Q35" s="15" t="n">
        <v>0.06</v>
      </c>
      <c r="R35" s="8" t="n">
        <v>14.34</v>
      </c>
      <c r="S35" s="8" t="n">
        <v>1.52</v>
      </c>
      <c r="T35" s="8" t="n">
        <v>6.78</v>
      </c>
      <c r="U35" s="8" t="n">
        <v>0.3</v>
      </c>
      <c r="V35" s="8" t="n">
        <v>0.05</v>
      </c>
      <c r="W35" s="8" t="n">
        <v>12</v>
      </c>
      <c r="X35" s="8"/>
      <c r="Y35" s="8" t="n">
        <v>0.05</v>
      </c>
      <c r="Z35" s="8" t="n">
        <v>21.3</v>
      </c>
      <c r="AA35" s="8" t="n">
        <v>49</v>
      </c>
      <c r="AB35" s="8" t="n">
        <v>8.01</v>
      </c>
      <c r="AC35" s="8" t="n">
        <v>0.805</v>
      </c>
      <c r="AD35" s="8" t="n">
        <v>17.7</v>
      </c>
      <c r="AE35" s="8" t="n">
        <v>0.4</v>
      </c>
      <c r="AF35" s="8" t="n">
        <v>39.86</v>
      </c>
      <c r="AG35" s="8" t="n">
        <f aca="false">AF35-LOG(2.87)</f>
        <v>39.402118103266</v>
      </c>
      <c r="AH35" s="8" t="n">
        <v>39.65</v>
      </c>
      <c r="AI35" s="8" t="n">
        <v>39.32</v>
      </c>
      <c r="AJ35" s="8" t="n">
        <v>71</v>
      </c>
      <c r="AK35" s="8" t="n">
        <v>1.469822</v>
      </c>
      <c r="AL35" s="8" t="n">
        <v>0.0139255</v>
      </c>
      <c r="AM35" s="8"/>
      <c r="AN35" s="8" t="n">
        <f aca="false">G35*SQRT(1-H35)*0.161</f>
        <v>6.40749631659236</v>
      </c>
      <c r="AO35" s="0" t="n">
        <f aca="false">SQRT(G35^2*(1-H35)-I35^2)*0.161</f>
        <v>6.35753969500346</v>
      </c>
      <c r="AP35" s="8" t="n">
        <f aca="false">SQRT(G35^2*(1-H35)-I35^2)*(0.161*PI())/(180*3600)*(Sheet2!N35*10^6)</f>
        <v>651.526166117708</v>
      </c>
      <c r="AQ35" s="8" t="n">
        <f aca="false">LOG(AP35)</f>
        <v>2.81393186221643</v>
      </c>
      <c r="AR35" s="8"/>
      <c r="AS35" s="8" t="n">
        <f aca="false">P35*SQRT(1-Q35)*0.161</f>
        <v>0.505205095085917</v>
      </c>
      <c r="AT35" s="0" t="e">
        <f aca="false">SQRT(P35^2*(1-Q35)-I35^2)*0.161</f>
        <v>#VALUE!</v>
      </c>
      <c r="AU35" s="8" t="e">
        <f aca="false">SQRT(P35^2*(1-Q35)-I35^2)*(0.161*PI())/(180*3600)*(Sheet2!N35*10^6)</f>
        <v>#VALUE!</v>
      </c>
      <c r="AV35" s="8" t="e">
        <f aca="false">LOG(AU35)</f>
        <v>#VALUE!</v>
      </c>
      <c r="AW35" s="0" t="n">
        <f aca="false">LOG(AD35)</f>
        <v>1.24797326636181</v>
      </c>
      <c r="AX35" s="0" t="n">
        <f aca="false">LOG(4*$B$85)+2*LOG($B$81*Z35)+LOG(W35*10^(-14))+Y35*(1+$B$86) - LOG(2.87)</f>
        <v>39.3876198532141</v>
      </c>
      <c r="AY35" s="0" t="n">
        <f aca="false">LOG(4*$B$85)+2*LOG($B$81*Z35)+LOG(R35*10^(-14))+Y35</f>
        <v>39.9396196552323</v>
      </c>
      <c r="AZ35" s="0" t="n">
        <f aca="false">LOG(4*$B$85)+2*LOG($B$81*Z35)+LOG(T35*10^(-14))+Y35</f>
        <v>39.6143001977675</v>
      </c>
      <c r="BA35" s="0" t="n">
        <f aca="false">LOG(AA35)</f>
        <v>1.69019608002851</v>
      </c>
      <c r="BB35" s="0" t="n">
        <f aca="false">LOG(AJ35)</f>
        <v>1.85125834871908</v>
      </c>
      <c r="BC35" s="0" t="n">
        <f aca="false">I35*0.161</f>
        <v>0.79856</v>
      </c>
      <c r="BD35" s="1" t="n">
        <f aca="false">LOG(4*$B$85)+2*LOG($B$81*Z35)+LOG(W35*10^(-14))+Y35*(1+$B$86)</f>
        <v>39.8455017499481</v>
      </c>
      <c r="BE35" s="8" t="n">
        <v>39.86</v>
      </c>
      <c r="BF35" s="8" t="n">
        <v>39.3876198532141</v>
      </c>
      <c r="BG35" s="8" t="n">
        <v>39.9396196552323</v>
      </c>
      <c r="BH35" s="8" t="n">
        <v>39.6143001977675</v>
      </c>
      <c r="BI35" s="8"/>
      <c r="BJ35" s="16" t="n">
        <v>2.81672091333267</v>
      </c>
      <c r="BK35" s="16"/>
      <c r="BL35" s="16" t="n">
        <v>1.58373370004733</v>
      </c>
      <c r="BM35" s="8" t="n">
        <v>1.24797326636181</v>
      </c>
      <c r="BN35" s="8" t="n">
        <v>8.01</v>
      </c>
      <c r="BO35" s="8" t="n">
        <v>1.69019608002851</v>
      </c>
      <c r="BP35" s="8" t="n">
        <v>1.85125834871908</v>
      </c>
      <c r="BR35" s="20" t="n">
        <f aca="false">(BV35)^2</f>
        <v>0.11452151908538</v>
      </c>
      <c r="BS35" s="8" t="n">
        <v>2.8057379010057</v>
      </c>
      <c r="BT35" s="8" t="n">
        <v>2.05638730523231</v>
      </c>
      <c r="BU35" s="0" t="n">
        <v>2.39479758741265</v>
      </c>
      <c r="BV35" s="0" t="n">
        <v>0.338410282180343</v>
      </c>
      <c r="BW35" s="20" t="n">
        <f aca="false">(BV35)^2</f>
        <v>0.11452151908538</v>
      </c>
      <c r="BZ35" s="0" t="n">
        <v>1.54530711646582</v>
      </c>
      <c r="CA35" s="0" t="n">
        <v>40.3464905734296</v>
      </c>
      <c r="CB35" s="0" t="n">
        <v>40.3308782653967</v>
      </c>
      <c r="CC35" s="0" t="n">
        <v>-0.0156123080328783</v>
      </c>
      <c r="CD35" s="20" t="n">
        <f aca="false">(CC35)^2</f>
        <v>0.000243744162113475</v>
      </c>
      <c r="CF35" s="20"/>
      <c r="CG35" s="0" t="n">
        <v>1.54530711646582</v>
      </c>
      <c r="CH35" s="0" t="n">
        <v>40.7070360891678</v>
      </c>
      <c r="CI35" s="0" t="n">
        <v>40.6750396842358</v>
      </c>
      <c r="CJ35" s="0" t="n">
        <v>-0.0319964049319452</v>
      </c>
      <c r="CK35" s="20" t="n">
        <f aca="false">(CJ35)^2</f>
        <v>0.00102376992856901</v>
      </c>
      <c r="CM35" s="20"/>
      <c r="CN35" s="0" t="n">
        <v>1.54530711646582</v>
      </c>
      <c r="CO35" s="0" t="n">
        <v>40.6005637357066</v>
      </c>
      <c r="CP35" s="0" t="n">
        <v>40.6750396842358</v>
      </c>
      <c r="CQ35" s="0" t="n">
        <v>0.0744759485291979</v>
      </c>
      <c r="CR35" s="20" t="n">
        <f aca="false">(CQ35)^2</f>
        <v>0.00554666690932374</v>
      </c>
      <c r="CU35" s="0" t="n">
        <v>40.3308782653967</v>
      </c>
      <c r="CV35" s="0" t="n">
        <v>40.7220168430671</v>
      </c>
      <c r="CW35" s="0" t="n">
        <v>40.6750396842358</v>
      </c>
      <c r="CX35" s="0" t="n">
        <v>-0.0469771588312682</v>
      </c>
      <c r="CY35" s="20" t="n">
        <f aca="false">(CX35)^2</f>
        <v>0.0022068534518582</v>
      </c>
      <c r="DC35" s="0" t="n">
        <v>1.51719589794997</v>
      </c>
      <c r="DD35" s="0" t="e">
        <v>#VALUE!</v>
      </c>
      <c r="DE35" s="0" t="n">
        <v>0</v>
      </c>
      <c r="DF35" s="0" t="e">
        <v>#VALUE!</v>
      </c>
      <c r="DJ35" s="0" t="n">
        <v>1.51719589794997</v>
      </c>
      <c r="DK35" s="0" t="n">
        <v>92.8524325331132</v>
      </c>
      <c r="DL35" s="0" t="n">
        <v>39.7119114592515</v>
      </c>
      <c r="DM35" s="0" t="n">
        <v>-53.1405210738617</v>
      </c>
      <c r="DQ35" s="0" t="n">
        <v>1.51719589794997</v>
      </c>
      <c r="DR35" s="0" t="n">
        <v>95.4109477064636</v>
      </c>
      <c r="DS35" s="0" t="n">
        <v>40.3675165950432</v>
      </c>
      <c r="DT35" s="0" t="n">
        <v>-55.0434311114204</v>
      </c>
      <c r="DX35" s="0" t="n">
        <v>1.51719589794997</v>
      </c>
      <c r="DY35" s="0" t="n">
        <v>93.2108378833646</v>
      </c>
      <c r="DZ35" s="0" t="n">
        <v>40.3675165950432</v>
      </c>
      <c r="EA35" s="0" t="n">
        <v>-52.8433212883214</v>
      </c>
    </row>
    <row r="36" customFormat="false" ht="12.8" hidden="false" customHeight="false" outlineLevel="0" collapsed="false">
      <c r="A36" s="0" t="s">
        <v>168</v>
      </c>
      <c r="B36" s="8" t="n">
        <v>17.27</v>
      </c>
      <c r="C36" s="8" t="n">
        <v>248.38</v>
      </c>
      <c r="D36" s="8" t="n">
        <v>20.75</v>
      </c>
      <c r="E36" s="8" t="n">
        <v>277.74</v>
      </c>
      <c r="F36" s="8" t="n">
        <v>269.28</v>
      </c>
      <c r="G36" s="8" t="n">
        <f aca="false">B36+(D36-B36)*((F36-C36)/(E36-C36))</f>
        <v>19.7472479564033</v>
      </c>
      <c r="H36" s="15" t="n">
        <v>0.4403</v>
      </c>
      <c r="I36" s="8" t="n">
        <v>7.82</v>
      </c>
      <c r="J36" s="0" t="s">
        <v>169</v>
      </c>
      <c r="K36" s="8" t="n">
        <v>4.21</v>
      </c>
      <c r="L36" s="8" t="n">
        <v>40.38</v>
      </c>
      <c r="M36" s="8" t="n">
        <v>4.59</v>
      </c>
      <c r="N36" s="8" t="n">
        <v>48.857</v>
      </c>
      <c r="O36" s="8" t="n">
        <f aca="false">86.973/2</f>
        <v>43.4865</v>
      </c>
      <c r="P36" s="8" t="n">
        <f aca="false">K36+(M36-K36)*((O36-L36)/(N36-L36))</f>
        <v>4.34925563288899</v>
      </c>
      <c r="Q36" s="15" t="n">
        <v>0.063</v>
      </c>
      <c r="R36" s="8" t="n">
        <v>2.82</v>
      </c>
      <c r="S36" s="8" t="n">
        <v>0.11</v>
      </c>
      <c r="T36" s="8" t="n">
        <v>2.82</v>
      </c>
      <c r="U36" s="8" t="n">
        <v>0.11</v>
      </c>
      <c r="V36" s="8" t="n">
        <v>0.26</v>
      </c>
      <c r="W36" s="8" t="n">
        <v>2</v>
      </c>
      <c r="X36" s="8"/>
      <c r="Y36" s="8" t="n">
        <v>0.48</v>
      </c>
      <c r="Z36" s="8" t="n">
        <v>60.3</v>
      </c>
      <c r="AA36" s="8" t="n">
        <v>29</v>
      </c>
      <c r="AB36" s="8" t="n">
        <v>7.74</v>
      </c>
      <c r="AC36" s="8" t="n">
        <v>0.998</v>
      </c>
      <c r="AD36" s="8" t="n">
        <v>22.6</v>
      </c>
      <c r="AE36" s="8" t="n">
        <v>2.2</v>
      </c>
      <c r="AF36" s="8" t="n">
        <v>40.25</v>
      </c>
      <c r="AG36" s="8" t="n">
        <f aca="false">AF36-LOG(2.87)</f>
        <v>39.792118103266</v>
      </c>
      <c r="AH36" s="8" t="n">
        <v>40.25</v>
      </c>
      <c r="AI36" s="8" t="n">
        <v>40.25</v>
      </c>
      <c r="AJ36" s="8" t="n">
        <v>33</v>
      </c>
      <c r="AK36" s="8" t="n">
        <v>6.174651</v>
      </c>
      <c r="AL36" s="8" t="n">
        <v>0.5000635</v>
      </c>
      <c r="AM36" s="8"/>
      <c r="AN36" s="8" t="n">
        <f aca="false">G36*SQRT(1-H36)*0.161</f>
        <v>2.37853808063212</v>
      </c>
      <c r="AO36" s="0" t="n">
        <f aca="false">SQRT(G36^2*(1-H36)-I36^2)*0.161</f>
        <v>2.0179970368207</v>
      </c>
      <c r="AP36" s="8" t="n">
        <f aca="false">SQRT(G36^2*(1-H36)-I36^2)*(0.161*PI())/(180*3600)*(Sheet2!N36*10^6)</f>
        <v>574.833893804667</v>
      </c>
      <c r="AQ36" s="8" t="n">
        <f aca="false">LOG(AP36)</f>
        <v>2.75954236742733</v>
      </c>
      <c r="AR36" s="8"/>
      <c r="AS36" s="8" t="n">
        <f aca="false">P36*SQRT(1-Q36)*0.161</f>
        <v>0.677814111279765</v>
      </c>
      <c r="AT36" s="0" t="e">
        <f aca="false">SQRT(P36^2*(1-Q36)-I36^2)*0.161</f>
        <v>#VALUE!</v>
      </c>
      <c r="AU36" s="8" t="e">
        <f aca="false">SQRT(P36^2*(1-Q36)-I36^2)*(0.161*PI())/(180*3600)*(Sheet2!N36*10^6)</f>
        <v>#VALUE!</v>
      </c>
      <c r="AV36" s="8" t="e">
        <f aca="false">LOG(AU36)</f>
        <v>#VALUE!</v>
      </c>
      <c r="AW36" s="0" t="n">
        <f aca="false">LOG(AD36)</f>
        <v>1.3541084391474</v>
      </c>
      <c r="AX36" s="0" t="n">
        <f aca="false">LOG(4*$B$85)+2*LOG($B$81*Z36)+LOG(W36*10^(-14))+Y36*(1+$B$86) - LOG(2.87)</f>
        <v>39.7992940202333</v>
      </c>
      <c r="AY36" s="0" t="n">
        <f aca="false">LOG(4*$B$85)+2*LOG($B$81*Z36)+LOG(R36*10^(-14))+Y36</f>
        <v>40.5671950296227</v>
      </c>
      <c r="AZ36" s="0" t="n">
        <f aca="false">LOG(4*$B$85)+2*LOG($B$81*Z36)+LOG(T36*10^(-14))+Y36</f>
        <v>40.5671950296227</v>
      </c>
      <c r="BA36" s="0" t="n">
        <f aca="false">LOG(AA36)</f>
        <v>1.46239799789896</v>
      </c>
      <c r="BB36" s="0" t="n">
        <f aca="false">LOG(AJ36)</f>
        <v>1.51851393987789</v>
      </c>
      <c r="BC36" s="0" t="n">
        <f aca="false">I36*0.161</f>
        <v>1.25902</v>
      </c>
      <c r="BD36" s="1" t="n">
        <f aca="false">LOG(4*$B$85)+2*LOG($B$81*Z36)+LOG(W36*10^(-14))+Y36*(1+$B$86)</f>
        <v>40.2571759169673</v>
      </c>
      <c r="BE36" s="8" t="n">
        <v>40.25</v>
      </c>
      <c r="BF36" s="8" t="n">
        <v>39.7992940202333</v>
      </c>
      <c r="BG36" s="8" t="n">
        <v>40.5671950296227</v>
      </c>
      <c r="BH36" s="8" t="n">
        <v>40.5671950296227</v>
      </c>
      <c r="BI36" s="8"/>
      <c r="BJ36" s="16" t="n">
        <v>2.81967486601435</v>
      </c>
      <c r="BK36" s="16"/>
      <c r="BL36" s="16" t="n">
        <v>2.07441923117618</v>
      </c>
      <c r="BM36" s="8" t="n">
        <v>1.3541084391474</v>
      </c>
      <c r="BN36" s="8" t="n">
        <v>7.74</v>
      </c>
      <c r="BO36" s="8" t="n">
        <v>1.46239799789896</v>
      </c>
      <c r="BP36" s="8" t="n">
        <v>1.51851393987789</v>
      </c>
      <c r="BR36" s="20" t="n">
        <f aca="false">(BV36)^2</f>
        <v>0.167771793107621</v>
      </c>
      <c r="BS36" s="8" t="n">
        <v>2.72333943354249</v>
      </c>
      <c r="BT36" s="8" t="n">
        <v>2.00657680166041</v>
      </c>
      <c r="BU36" s="0" t="n">
        <v>2.41617635379349</v>
      </c>
      <c r="BV36" s="0" t="n">
        <v>0.409599552133081</v>
      </c>
      <c r="BW36" s="20" t="n">
        <f aca="false">(BV36)^2</f>
        <v>0.167771793107621</v>
      </c>
      <c r="BZ36" s="0" t="n">
        <v>1.44247976906445</v>
      </c>
      <c r="CA36" s="0" t="n">
        <v>40.0600952600343</v>
      </c>
      <c r="CB36" s="0" t="n">
        <v>40.4850090486329</v>
      </c>
      <c r="CC36" s="0" t="n">
        <v>0.424913788598566</v>
      </c>
      <c r="CD36" s="20" t="n">
        <f aca="false">(CC36)^2</f>
        <v>0.180551727741187</v>
      </c>
      <c r="CF36" s="20"/>
      <c r="CG36" s="0" t="n">
        <v>1.44247976906445</v>
      </c>
      <c r="CH36" s="0" t="n">
        <v>40.4850837671103</v>
      </c>
      <c r="CI36" s="0" t="n">
        <v>40.9096967114523</v>
      </c>
      <c r="CJ36" s="0" t="n">
        <v>0.424612944341995</v>
      </c>
      <c r="CK36" s="20" t="n">
        <f aca="false">(CJ36)^2</f>
        <v>0.180296152502778</v>
      </c>
      <c r="CM36" s="20"/>
      <c r="CN36" s="0" t="n">
        <v>1.44247976906445</v>
      </c>
      <c r="CO36" s="0" t="n">
        <v>40.3283425088698</v>
      </c>
      <c r="CP36" s="0" t="n">
        <v>40.9096967114523</v>
      </c>
      <c r="CQ36" s="0" t="n">
        <v>0.581354202582531</v>
      </c>
      <c r="CR36" s="20" t="n">
        <f aca="false">(CQ36)^2</f>
        <v>0.337972708860371</v>
      </c>
      <c r="CU36" s="0" t="n">
        <v>40.4850090486329</v>
      </c>
      <c r="CV36" s="0" t="n">
        <v>40.8501480757224</v>
      </c>
      <c r="CW36" s="0" t="n">
        <v>40.9096967114523</v>
      </c>
      <c r="CX36" s="0" t="n">
        <v>0.0595486357299038</v>
      </c>
      <c r="CY36" s="20" t="n">
        <f aca="false">(CX36)^2</f>
        <v>0.00354604001729277</v>
      </c>
      <c r="DC36" s="0" t="n">
        <v>1.32221929473392</v>
      </c>
      <c r="DD36" s="0" t="e">
        <v>#VALUE!</v>
      </c>
      <c r="DE36" s="0" t="n">
        <v>0</v>
      </c>
      <c r="DF36" s="0" t="e">
        <v>#VALUE!</v>
      </c>
      <c r="DJ36" s="0" t="n">
        <v>1.32221929473392</v>
      </c>
      <c r="DK36" s="0" t="n">
        <v>85.6633488154595</v>
      </c>
      <c r="DL36" s="0" t="n">
        <v>39.8158956218551</v>
      </c>
      <c r="DM36" s="0" t="n">
        <v>-45.8474531936044</v>
      </c>
      <c r="DQ36" s="0" t="n">
        <v>1.32221929473392</v>
      </c>
      <c r="DR36" s="0" t="n">
        <v>88.020620037258</v>
      </c>
      <c r="DS36" s="0" t="n">
        <v>40.2813702480347</v>
      </c>
      <c r="DT36" s="0" t="n">
        <v>-47.7392497892233</v>
      </c>
      <c r="DX36" s="0" t="n">
        <v>1.32221929473392</v>
      </c>
      <c r="DY36" s="0" t="n">
        <v>85.9909260091154</v>
      </c>
      <c r="DZ36" s="0" t="n">
        <v>40.2813702480347</v>
      </c>
      <c r="EA36" s="0" t="n">
        <v>-45.7095557610808</v>
      </c>
    </row>
    <row r="37" customFormat="false" ht="13.2" hidden="false" customHeight="false" outlineLevel="0" collapsed="false">
      <c r="A37" s="0" t="s">
        <v>170</v>
      </c>
      <c r="B37" s="8" t="n">
        <v>51.42</v>
      </c>
      <c r="C37" s="8" t="n">
        <v>773.24</v>
      </c>
      <c r="D37" s="8" t="n">
        <v>56.04</v>
      </c>
      <c r="E37" s="8" t="n">
        <v>883.79</v>
      </c>
      <c r="F37" s="8" t="n">
        <f aca="false">1726.2/2</f>
        <v>863.1</v>
      </c>
      <c r="G37" s="8" t="n">
        <f aca="false">B37+(D37-B37)*((F37-C37)/(E37-C37))</f>
        <v>55.1753432835821</v>
      </c>
      <c r="H37" s="15" t="n">
        <v>0.4086</v>
      </c>
      <c r="I37" s="8" t="n">
        <v>4.6953</v>
      </c>
      <c r="J37" s="0" t="s">
        <v>171</v>
      </c>
      <c r="K37" s="8" t="n">
        <v>4.21</v>
      </c>
      <c r="L37" s="8" t="n">
        <v>29.796</v>
      </c>
      <c r="M37" s="8" t="n">
        <v>4.59</v>
      </c>
      <c r="N37" s="8" t="n">
        <v>36.146</v>
      </c>
      <c r="O37" s="8" t="n">
        <f aca="false">62.566/2</f>
        <v>31.283</v>
      </c>
      <c r="P37" s="8" t="n">
        <f aca="false">K37+(M37-K37)*((O37-L37)/(N37-L37))</f>
        <v>4.29898582677165</v>
      </c>
      <c r="Q37" s="15" t="n">
        <v>0.067</v>
      </c>
      <c r="R37" s="8" t="n">
        <v>8.5</v>
      </c>
      <c r="S37" s="8" t="n">
        <v>0.9</v>
      </c>
      <c r="T37" s="8" t="n">
        <v>2.3</v>
      </c>
      <c r="U37" s="8" t="n">
        <v>0.35</v>
      </c>
      <c r="V37" s="8" t="n">
        <v>0.05</v>
      </c>
      <c r="W37" s="8" t="n">
        <v>8.9</v>
      </c>
      <c r="X37" s="8"/>
      <c r="Y37" s="8" t="n">
        <v>0.06</v>
      </c>
      <c r="Z37" s="8" t="n">
        <v>29.3</v>
      </c>
      <c r="AA37" s="8" t="n">
        <v>44</v>
      </c>
      <c r="AB37" s="8" t="n">
        <v>7.95</v>
      </c>
      <c r="AC37" s="8" t="n">
        <v>0.757</v>
      </c>
      <c r="AD37" s="8" t="n">
        <v>16.1</v>
      </c>
      <c r="AE37" s="8" t="n">
        <v>0.7</v>
      </c>
      <c r="AF37" s="8" t="n">
        <v>40</v>
      </c>
      <c r="AG37" s="8" t="n">
        <f aca="false">AF37-LOG(2.87)</f>
        <v>39.542118103266</v>
      </c>
      <c r="AH37" s="8" t="n">
        <v>39.85</v>
      </c>
      <c r="AI37" s="8" t="n">
        <v>39.28</v>
      </c>
      <c r="AJ37" s="8" t="n">
        <v>50</v>
      </c>
      <c r="AK37" s="8" t="n">
        <v>15.64165</v>
      </c>
      <c r="AL37" s="8" t="n">
        <v>1.526686</v>
      </c>
      <c r="AM37" s="8"/>
      <c r="AN37" s="8" t="n">
        <f aca="false">G37*SQRT(1-H37)*0.161</f>
        <v>6.83142933034778</v>
      </c>
      <c r="AO37" s="0" t="n">
        <f aca="false">SQRT(G37^2*(1-H37)-I37^2)*0.161</f>
        <v>6.78947541587132</v>
      </c>
      <c r="AP37" s="8" t="n">
        <f aca="false">SQRT(G37^2*(1-H37)-I37^2)*(0.161*PI())/(180*3600)*(Sheet2!N37*10^6)</f>
        <v>953.508423136508</v>
      </c>
      <c r="AQ37" s="8" t="n">
        <f aca="false">LOG(AP37)</f>
        <v>2.97932453388496</v>
      </c>
      <c r="AR37" s="8"/>
      <c r="AS37" s="8" t="n">
        <f aca="false">P37*SQRT(1-Q37)*0.161</f>
        <v>0.668548180542831</v>
      </c>
      <c r="AT37" s="0" t="e">
        <f aca="false">SQRT(P37^2*(1-Q37)-I37^2)*0.161</f>
        <v>#VALUE!</v>
      </c>
      <c r="AU37" s="8" t="e">
        <f aca="false">SQRT(P37^2*(1-Q37)-I37^2)*(0.161*PI())/(180*3600)*(Sheet2!N37*10^6)</f>
        <v>#VALUE!</v>
      </c>
      <c r="AV37" s="8" t="e">
        <f aca="false">LOG(AU37)</f>
        <v>#VALUE!</v>
      </c>
      <c r="AW37" s="0" t="n">
        <f aca="false">LOG(AD37)</f>
        <v>1.20682587603185</v>
      </c>
      <c r="AX37" s="0" t="n">
        <f aca="false">LOG(4*$B$85)+2*LOG($B$81*Z37)+LOG(W37*10^(-14))+Y37*(1+$B$86) - LOG(2.87)</f>
        <v>39.5414546476421</v>
      </c>
      <c r="AY37" s="0" t="n">
        <f aca="false">LOG(4*$B$85)+2*LOG($B$81*Z37)+LOG(R37*10^(-14))+Y37</f>
        <v>39.9994654634455</v>
      </c>
      <c r="AZ37" s="0" t="n">
        <f aca="false">LOG(4*$B$85)+2*LOG($B$81*Z37)+LOG(T37*10^(-14))+Y37</f>
        <v>39.4317743737488</v>
      </c>
      <c r="BA37" s="0" t="n">
        <f aca="false">LOG(AA37)</f>
        <v>1.64345267648619</v>
      </c>
      <c r="BB37" s="0" t="n">
        <f aca="false">LOG(AJ37)</f>
        <v>1.69897000433602</v>
      </c>
      <c r="BC37" s="0" t="n">
        <f aca="false">I37*0.161</f>
        <v>0.7559433</v>
      </c>
      <c r="BD37" s="1" t="n">
        <f aca="false">LOG(4*$B$85)+2*LOG($B$81*Z37)+LOG(W37*10^(-14))+Y37*(1+$B$86)</f>
        <v>39.9993365443761</v>
      </c>
      <c r="BE37" s="8" t="n">
        <v>40</v>
      </c>
      <c r="BF37" s="8" t="n">
        <v>39.5414546476421</v>
      </c>
      <c r="BG37" s="8" t="n">
        <v>39.9994654634455</v>
      </c>
      <c r="BH37" s="8" t="n">
        <v>39.4317743737488</v>
      </c>
      <c r="BI37" s="8"/>
      <c r="BJ37" s="16" t="n">
        <v>2.98153856858654</v>
      </c>
      <c r="BK37" s="16"/>
      <c r="BL37" s="16" t="n">
        <v>1.91822534255641</v>
      </c>
      <c r="BM37" s="8" t="n">
        <v>1.20682587603185</v>
      </c>
      <c r="BN37" s="8" t="n">
        <v>7.95</v>
      </c>
      <c r="BO37" s="8" t="n">
        <v>1.64345267648619</v>
      </c>
      <c r="BP37" s="8" t="n">
        <v>1.69897000433602</v>
      </c>
      <c r="BR37" s="20" t="n">
        <f aca="false">(BV37)^2</f>
        <v>0.082335675320271</v>
      </c>
      <c r="BS37" s="8" t="n">
        <v>2.52960348518892</v>
      </c>
      <c r="BT37" s="8" t="n">
        <v>1.88946193964214</v>
      </c>
      <c r="BU37" s="0" t="n">
        <v>2.17640387683549</v>
      </c>
      <c r="BV37" s="0" t="n">
        <v>0.286941937193347</v>
      </c>
      <c r="BW37" s="20" t="n">
        <f aca="false">(BV37)^2</f>
        <v>0.082335675320271</v>
      </c>
      <c r="BZ37" s="0" t="n">
        <v>1.53781909507327</v>
      </c>
      <c r="CA37" s="0" t="n">
        <v>40.3256348936165</v>
      </c>
      <c r="CB37" s="0" t="n">
        <v>40.5363222856562</v>
      </c>
      <c r="CC37" s="0" t="n">
        <v>0.210687392039688</v>
      </c>
      <c r="CD37" s="20" t="n">
        <f aca="false">(CC37)^2</f>
        <v>0.0443891771644851</v>
      </c>
      <c r="CF37" s="20"/>
      <c r="CG37" s="0" t="n">
        <v>1.53781909507327</v>
      </c>
      <c r="CH37" s="0" t="n">
        <v>40.6908732319348</v>
      </c>
      <c r="CI37" s="0" t="n">
        <v>40.8519069419647</v>
      </c>
      <c r="CJ37" s="0" t="n">
        <v>0.161033710029912</v>
      </c>
      <c r="CK37" s="20" t="n">
        <f aca="false">(CJ37)^2</f>
        <v>0.0259318557659978</v>
      </c>
      <c r="CM37" s="20"/>
      <c r="CN37" s="0" t="n">
        <v>1.53781909507327</v>
      </c>
      <c r="CO37" s="0" t="n">
        <v>40.5807402313415</v>
      </c>
      <c r="CP37" s="0" t="n">
        <v>40.8519069419647</v>
      </c>
      <c r="CQ37" s="0" t="n">
        <v>0.271166710623177</v>
      </c>
      <c r="CR37" s="20" t="n">
        <f aca="false">(CQ37)^2</f>
        <v>0.0735313849501939</v>
      </c>
      <c r="CU37" s="0" t="n">
        <v>40.5363222856562</v>
      </c>
      <c r="CV37" s="0" t="n">
        <v>40.8928055395546</v>
      </c>
      <c r="CW37" s="0" t="n">
        <v>40.8519069419647</v>
      </c>
      <c r="CX37" s="0" t="n">
        <v>-0.0408985975899157</v>
      </c>
      <c r="CY37" s="20" t="n">
        <f aca="false">(CX37)^2</f>
        <v>0.00167269528482185</v>
      </c>
      <c r="DC37" s="0" t="n">
        <v>1.23299611039215</v>
      </c>
      <c r="DD37" s="0" t="e">
        <v>#VALUE!</v>
      </c>
      <c r="DE37" s="0" t="n">
        <v>0</v>
      </c>
      <c r="DF37" s="0" t="e">
        <v>#VALUE!</v>
      </c>
      <c r="DJ37" s="0" t="n">
        <v>1.23299611039215</v>
      </c>
      <c r="DK37" s="0" t="n">
        <v>82.3735543929057</v>
      </c>
      <c r="DL37" s="0" t="n">
        <v>39.9770046637507</v>
      </c>
      <c r="DM37" s="0" t="n">
        <v>-42.396549729155</v>
      </c>
      <c r="DQ37" s="0" t="n">
        <v>1.23299611039215</v>
      </c>
      <c r="DR37" s="0" t="n">
        <v>84.6387344309888</v>
      </c>
      <c r="DS37" s="0" t="n">
        <v>40.5618565782759</v>
      </c>
      <c r="DT37" s="0" t="n">
        <v>-44.0768778527129</v>
      </c>
      <c r="DX37" s="0" t="n">
        <v>1.23299611039215</v>
      </c>
      <c r="DY37" s="0" t="n">
        <v>82.6870243231595</v>
      </c>
      <c r="DZ37" s="0" t="n">
        <v>40.2717584423895</v>
      </c>
      <c r="EA37" s="0" t="n">
        <v>-42.41526588077</v>
      </c>
    </row>
    <row r="38" customFormat="false" ht="13.2" hidden="false" customHeight="false" outlineLevel="0" collapsed="false">
      <c r="A38" s="0" t="s">
        <v>172</v>
      </c>
      <c r="B38" s="8" t="n">
        <v>22.39</v>
      </c>
      <c r="C38" s="8" t="n">
        <v>387.45</v>
      </c>
      <c r="D38" s="8" t="n">
        <v>24.62</v>
      </c>
      <c r="E38" s="8" t="n">
        <v>432.77</v>
      </c>
      <c r="F38" s="8" t="n">
        <v>425.34</v>
      </c>
      <c r="G38" s="8" t="n">
        <f aca="false">B38+(D38-B38)*((F38-C38)/(E38-C38))</f>
        <v>24.2544020300088</v>
      </c>
      <c r="H38" s="15" t="n">
        <v>0.15</v>
      </c>
      <c r="I38" s="8" t="n">
        <f aca="false">4.9229</f>
        <v>4.9229</v>
      </c>
      <c r="J38" s="0" t="s">
        <v>173</v>
      </c>
      <c r="K38" s="8" t="n">
        <v>2.98</v>
      </c>
      <c r="L38" s="8" t="n">
        <v>65.622</v>
      </c>
      <c r="M38" s="8" t="n">
        <v>3.25</v>
      </c>
      <c r="N38" s="8" t="n">
        <v>80.147</v>
      </c>
      <c r="O38" s="8" t="n">
        <f aca="false">139.93/2</f>
        <v>69.965</v>
      </c>
      <c r="P38" s="8" t="n">
        <f aca="false">K38+(M38-K38)*((O38-L38)/(N38-L38))</f>
        <v>3.06073046471601</v>
      </c>
      <c r="Q38" s="15" t="n">
        <v>0.05</v>
      </c>
      <c r="R38" s="8" t="n">
        <v>12.75</v>
      </c>
      <c r="S38" s="8" t="n">
        <v>1.1</v>
      </c>
      <c r="T38" s="8" t="n">
        <v>10.5</v>
      </c>
      <c r="U38" s="8" t="n">
        <v>0.3</v>
      </c>
      <c r="V38" s="8" t="n">
        <v>0.4</v>
      </c>
      <c r="W38" s="8" t="n">
        <v>11</v>
      </c>
      <c r="X38" s="8"/>
      <c r="Y38" s="8" t="n">
        <v>0.05</v>
      </c>
      <c r="Z38" s="8" t="n">
        <v>20</v>
      </c>
      <c r="AA38" s="8" t="n">
        <v>155</v>
      </c>
      <c r="AB38" s="8" t="n">
        <v>7.77</v>
      </c>
      <c r="AC38" s="8" t="n">
        <v>0.669</v>
      </c>
      <c r="AD38" s="8" t="n">
        <v>12.5</v>
      </c>
      <c r="AE38" s="8" t="n">
        <v>0.4</v>
      </c>
      <c r="AF38" s="8" t="n">
        <v>39.77</v>
      </c>
      <c r="AG38" s="8" t="n">
        <f aca="false">AF38-LOG(2.87)</f>
        <v>39.312118103266</v>
      </c>
      <c r="AH38" s="8" t="n">
        <v>39.9</v>
      </c>
      <c r="AI38" s="8" t="n">
        <v>39.81</v>
      </c>
      <c r="AJ38" s="8" t="n">
        <v>113</v>
      </c>
      <c r="AK38" s="8" t="n">
        <v>11.06276</v>
      </c>
      <c r="AL38" s="8" t="n">
        <v>0.5383597</v>
      </c>
      <c r="AM38" s="8"/>
      <c r="AN38" s="8" t="n">
        <f aca="false">G38*SQRT(1-H38)*0.161</f>
        <v>3.60019405859161</v>
      </c>
      <c r="AO38" s="0" t="n">
        <f aca="false">SQRT(G38^2*(1-H38)-I38^2)*0.161</f>
        <v>3.51186606599208</v>
      </c>
      <c r="AP38" s="8" t="n">
        <f aca="false">SQRT(G38^2*(1-H38)-I38^2)*(0.161*PI())/(180*3600)*(Sheet2!N38*10^6)</f>
        <v>338.135479593274</v>
      </c>
      <c r="AQ38" s="8" t="n">
        <f aca="false">LOG(AP38)</f>
        <v>2.52909074244031</v>
      </c>
      <c r="AR38" s="8"/>
      <c r="AS38" s="8" t="n">
        <f aca="false">P38*SQRT(1-Q38)*0.161</f>
        <v>0.480300197190104</v>
      </c>
      <c r="AT38" s="0" t="e">
        <f aca="false">SQRT(P38^2*(1-Q38)-I38^2)*0.161</f>
        <v>#VALUE!</v>
      </c>
      <c r="AU38" s="8" t="e">
        <f aca="false">SQRT(P38^2*(1-Q38)-I38^2)*(0.161*PI())/(180*3600)*(Sheet2!N38*10^6)</f>
        <v>#VALUE!</v>
      </c>
      <c r="AV38" s="8" t="e">
        <f aca="false">LOG(AU38)</f>
        <v>#VALUE!</v>
      </c>
      <c r="AW38" s="0" t="n">
        <f aca="false">LOG(AD38)</f>
        <v>1.09691001300806</v>
      </c>
      <c r="AX38" s="0" t="n">
        <f aca="false">LOG(4*$B$85)+2*LOG($B$81*Z38)+LOG(W38*10^(-14))+Y38*(1+$B$86) - LOG(2.87)</f>
        <v>39.2951320767752</v>
      </c>
      <c r="AY38" s="0" t="n">
        <f aca="false">LOG(4*$B$85)+2*LOG($B$81*Z38)+LOG(R38*10^(-14))+Y38</f>
        <v>39.8338814731209</v>
      </c>
      <c r="AZ38" s="0" t="n">
        <f aca="false">LOG(4*$B$85)+2*LOG($B$81*Z38)+LOG(T38*10^(-14))+Y38</f>
        <v>39.7495605874209</v>
      </c>
      <c r="BA38" s="0" t="n">
        <f aca="false">LOG(AA38)</f>
        <v>2.19033169817029</v>
      </c>
      <c r="BB38" s="0" t="n">
        <f aca="false">LOG(AJ38)</f>
        <v>2.05307844348342</v>
      </c>
      <c r="BC38" s="0" t="n">
        <f aca="false">I38*0.161</f>
        <v>0.7925869</v>
      </c>
      <c r="BD38" s="1" t="n">
        <f aca="false">LOG(4*$B$85)+2*LOG($B$81*Z38)+LOG(W38*10^(-14))+Y38*(1+$B$86)</f>
        <v>39.7530139735092</v>
      </c>
      <c r="BE38" s="8" t="n">
        <v>39.77</v>
      </c>
      <c r="BF38" s="8" t="n">
        <v>39.2951320767752</v>
      </c>
      <c r="BG38" s="8" t="n">
        <v>39.8338814731209</v>
      </c>
      <c r="BH38" s="8" t="n">
        <v>39.7495605874209</v>
      </c>
      <c r="BI38" s="8"/>
      <c r="BJ38" s="16" t="n">
        <v>2.5381406092624</v>
      </c>
      <c r="BK38" s="16"/>
      <c r="BL38" s="16" t="n">
        <v>1.53606284006086</v>
      </c>
      <c r="BM38" s="8" t="n">
        <v>1.09691001300806</v>
      </c>
      <c r="BN38" s="8" t="n">
        <v>7.77</v>
      </c>
      <c r="BO38" s="8" t="n">
        <v>2.19033169817029</v>
      </c>
      <c r="BP38" s="8" t="n">
        <v>2.05307844348342</v>
      </c>
      <c r="BR38" s="20" t="n">
        <f aca="false">(BV38)^2</f>
        <v>0.0625097363019586</v>
      </c>
      <c r="BS38" s="8" t="n">
        <v>2.40587460839648</v>
      </c>
      <c r="BT38" s="8" t="n">
        <v>1.81466688763261</v>
      </c>
      <c r="BU38" s="0" t="n">
        <v>2.06468635947822</v>
      </c>
      <c r="BV38" s="0" t="n">
        <v>0.250019471845612</v>
      </c>
      <c r="BW38" s="20" t="n">
        <f aca="false">(BV38)^2</f>
        <v>0.0625097363019586</v>
      </c>
      <c r="BZ38" s="0" t="n">
        <v>1.3541084391474</v>
      </c>
      <c r="CA38" s="0" t="n">
        <v>39.8139629288369</v>
      </c>
      <c r="CB38" s="0" t="n">
        <v>39.9166540391504</v>
      </c>
      <c r="CC38" s="0" t="n">
        <v>0.102691110313508</v>
      </c>
      <c r="CD38" s="20" t="n">
        <f aca="false">(CC38)^2</f>
        <v>0.010545464137421</v>
      </c>
      <c r="CF38" s="20"/>
      <c r="CG38" s="0" t="n">
        <v>1.3541084391474</v>
      </c>
      <c r="CH38" s="0" t="n">
        <v>40.2943346874727</v>
      </c>
      <c r="CI38" s="0" t="n">
        <v>40.3823661888664</v>
      </c>
      <c r="CJ38" s="0" t="n">
        <v>0.0880315013937505</v>
      </c>
      <c r="CK38" s="20" t="n">
        <f aca="false">(CJ38)^2</f>
        <v>0.00774954523763789</v>
      </c>
      <c r="CM38" s="20"/>
      <c r="CN38" s="0" t="n">
        <v>1.3541084391474</v>
      </c>
      <c r="CO38" s="0" t="n">
        <v>40.0943915954681</v>
      </c>
      <c r="CP38" s="0" t="n">
        <v>40.3823661888664</v>
      </c>
      <c r="CQ38" s="0" t="n">
        <v>0.287974593398317</v>
      </c>
      <c r="CR38" s="20" t="n">
        <f aca="false">(CQ38)^2</f>
        <v>0.0829293664429262</v>
      </c>
      <c r="CU38" s="0" t="n">
        <v>39.9166540391504</v>
      </c>
      <c r="CV38" s="0" t="n">
        <v>40.3776660288413</v>
      </c>
      <c r="CW38" s="0" t="n">
        <v>40.3823661888664</v>
      </c>
      <c r="CX38" s="0" t="n">
        <v>0.00470016002507379</v>
      </c>
      <c r="CY38" s="20" t="n">
        <f aca="false">(CX38)^2</f>
        <v>2.20915042613016E-005</v>
      </c>
      <c r="DC38" s="0" t="n">
        <v>1.23299611039215</v>
      </c>
      <c r="DD38" s="0" t="e">
        <v>#VALUE!</v>
      </c>
      <c r="DE38" s="0" t="n">
        <v>0</v>
      </c>
      <c r="DF38" s="0" t="e">
        <v>#VALUE!</v>
      </c>
      <c r="DJ38" s="0" t="n">
        <v>1.23299611039215</v>
      </c>
      <c r="DK38" s="0" t="n">
        <v>82.3735543929057</v>
      </c>
      <c r="DL38" s="0" t="n">
        <v>39.0888685217564</v>
      </c>
      <c r="DM38" s="0" t="n">
        <v>-43.2846858711493</v>
      </c>
      <c r="DQ38" s="0" t="n">
        <v>1.23299611039215</v>
      </c>
      <c r="DR38" s="0" t="n">
        <v>84.6387344309888</v>
      </c>
      <c r="DS38" s="0" t="n">
        <v>39.807392282766</v>
      </c>
      <c r="DT38" s="0" t="n">
        <v>-44.8313421482228</v>
      </c>
      <c r="DX38" s="0" t="n">
        <v>1.23299611039215</v>
      </c>
      <c r="DY38" s="0" t="n">
        <v>82.6870243231595</v>
      </c>
      <c r="DZ38" s="0" t="n">
        <v>39.2678630647137</v>
      </c>
      <c r="EA38" s="0" t="n">
        <v>-43.4191612584458</v>
      </c>
    </row>
    <row r="39" customFormat="false" ht="13.2" hidden="false" customHeight="false" outlineLevel="0" collapsed="false">
      <c r="A39" s="0" t="s">
        <v>174</v>
      </c>
      <c r="B39" s="8" t="n">
        <v>12.86</v>
      </c>
      <c r="C39" s="8" t="n">
        <v>93.261</v>
      </c>
      <c r="D39" s="8" t="n">
        <v>14.15</v>
      </c>
      <c r="E39" s="8" t="n">
        <v>104.18</v>
      </c>
      <c r="F39" s="8" t="n">
        <v>101.56</v>
      </c>
      <c r="G39" s="8" t="n">
        <f aca="false">B39+(D39-B39)*((F39-C39)/(E39-C39))</f>
        <v>13.8404661599048</v>
      </c>
      <c r="H39" s="15" t="n">
        <v>0.1647</v>
      </c>
      <c r="I39" s="8" t="n">
        <v>5.2106</v>
      </c>
      <c r="J39" s="0" t="s">
        <v>175</v>
      </c>
      <c r="K39" s="8" t="n">
        <v>3.1</v>
      </c>
      <c r="L39" s="8" t="n">
        <v>19.599</v>
      </c>
      <c r="M39" s="8" t="n">
        <v>3.42</v>
      </c>
      <c r="N39" s="8" t="n">
        <v>22.367</v>
      </c>
      <c r="O39" s="8" t="n">
        <f aca="false">44.404/2</f>
        <v>22.202</v>
      </c>
      <c r="P39" s="8" t="n">
        <f aca="false">K39+(M39-K39)*((O39-L39)/(N39-L39))</f>
        <v>3.40092485549133</v>
      </c>
      <c r="Q39" s="15" t="n">
        <v>0.225</v>
      </c>
      <c r="R39" s="8" t="n">
        <v>2.79</v>
      </c>
      <c r="S39" s="8" t="n">
        <v>0.4</v>
      </c>
      <c r="T39" s="8" t="n">
        <v>2.79</v>
      </c>
      <c r="U39" s="8" t="n">
        <v>0.4</v>
      </c>
      <c r="V39" s="8" t="n">
        <v>0.01</v>
      </c>
      <c r="W39" s="8" t="n">
        <v>3.3</v>
      </c>
      <c r="X39" s="8"/>
      <c r="Y39" s="8" t="n">
        <v>0.17</v>
      </c>
      <c r="Z39" s="8" t="n">
        <v>24.9</v>
      </c>
      <c r="AA39" s="8" t="n">
        <v>74</v>
      </c>
      <c r="AB39" s="8" t="n">
        <v>7.92</v>
      </c>
      <c r="AC39" s="8" t="n">
        <v>0.849</v>
      </c>
      <c r="AD39" s="8" t="n">
        <v>19.2</v>
      </c>
      <c r="AE39" s="8" t="n">
        <v>2.2</v>
      </c>
      <c r="AF39" s="8" t="n">
        <v>39.5</v>
      </c>
      <c r="AG39" s="8" t="n">
        <f aca="false">AF39-LOG(2.87)</f>
        <v>39.042118103266</v>
      </c>
      <c r="AH39" s="8" t="n">
        <v>39.11</v>
      </c>
      <c r="AI39" s="8" t="n">
        <v>39.11</v>
      </c>
      <c r="AJ39" s="8" t="n">
        <v>95</v>
      </c>
      <c r="AK39" s="8" t="n">
        <v>3.832713</v>
      </c>
      <c r="AL39" s="8" t="n">
        <v>0.1285465</v>
      </c>
      <c r="AM39" s="8"/>
      <c r="AN39" s="8" t="n">
        <f aca="false">G39*SQRT(1-H39)*0.161</f>
        <v>2.03656293082255</v>
      </c>
      <c r="AO39" s="0" t="n">
        <f aca="false">SQRT(G39^2*(1-H39)-I39^2)*0.161</f>
        <v>1.85575437159043</v>
      </c>
      <c r="AP39" s="8" t="n">
        <f aca="false">SQRT(G39^2*(1-H39)-I39^2)*(0.161*PI())/(180*3600)*(Sheet2!N39*10^6)</f>
        <v>221.941845193262</v>
      </c>
      <c r="AQ39" s="8" t="n">
        <f aca="false">LOG(AP39)</f>
        <v>2.34623919237724</v>
      </c>
      <c r="AR39" s="8"/>
      <c r="AS39" s="8" t="n">
        <f aca="false">P39*SQRT(1-Q39)*0.161</f>
        <v>0.482029661781745</v>
      </c>
      <c r="AT39" s="0" t="e">
        <f aca="false">SQRT(P39^2*(1-Q39)-I39^2)*0.161</f>
        <v>#VALUE!</v>
      </c>
      <c r="AU39" s="8" t="e">
        <f aca="false">SQRT(P39^2*(1-Q39)-I39^2)*(0.161*PI())/(180*3600)*(Sheet2!N39*10^6)</f>
        <v>#VALUE!</v>
      </c>
      <c r="AV39" s="8" t="e">
        <f aca="false">LOG(AU39)</f>
        <v>#VALUE!</v>
      </c>
      <c r="AW39" s="0" t="n">
        <f aca="false">LOG(AD39)</f>
        <v>1.28330122870355</v>
      </c>
      <c r="AX39" s="0" t="n">
        <f aca="false">LOG(4*$B$85)+2*LOG($B$81*Z39)+LOG(W39*10^(-14))+Y39*(1+$B$86) - LOG(2.87)</f>
        <v>39.0423920343584</v>
      </c>
      <c r="AY39" s="0" t="n">
        <f aca="false">LOG(4*$B$85)+2*LOG($B$81*Z39)+LOG(R39*10^(-14))+Y39</f>
        <v>39.4843141944881</v>
      </c>
      <c r="AZ39" s="0" t="n">
        <f aca="false">LOG(4*$B$85)+2*LOG($B$81*Z39)+LOG(T39*10^(-14))+Y39</f>
        <v>39.4843141944881</v>
      </c>
      <c r="BA39" s="0" t="n">
        <f aca="false">LOG(AA39)</f>
        <v>1.86923171973098</v>
      </c>
      <c r="BB39" s="0" t="n">
        <f aca="false">LOG(AJ39)</f>
        <v>1.97772360528885</v>
      </c>
      <c r="BC39" s="0" t="n">
        <f aca="false">I39*0.161</f>
        <v>0.8389066</v>
      </c>
      <c r="BD39" s="1" t="n">
        <f aca="false">LOG(4*$B$85)+2*LOG($B$81*Z39)+LOG(W39*10^(-14))+Y39*(1+$B$86)</f>
        <v>39.5002739310924</v>
      </c>
      <c r="BE39" s="8" t="n">
        <v>39.5</v>
      </c>
      <c r="BF39" s="8" t="n">
        <v>39.0423920343584</v>
      </c>
      <c r="BG39" s="8" t="n">
        <v>39.4843141944881</v>
      </c>
      <c r="BH39" s="8" t="n">
        <v>39.4843141944881</v>
      </c>
      <c r="BI39" s="8"/>
      <c r="BJ39" s="16" t="n">
        <v>2.37977395062333</v>
      </c>
      <c r="BK39" s="16"/>
      <c r="BL39" s="16" t="n">
        <v>1.58559671011752</v>
      </c>
      <c r="BM39" s="8" t="n">
        <v>1.28330122870355</v>
      </c>
      <c r="BN39" s="8" t="n">
        <v>7.92</v>
      </c>
      <c r="BO39" s="8" t="n">
        <v>1.86923171973098</v>
      </c>
      <c r="BP39" s="8" t="n">
        <v>1.97772360528885</v>
      </c>
      <c r="BR39" s="20" t="n">
        <f aca="false">(BV39)^2</f>
        <v>0.00539693026508362</v>
      </c>
      <c r="BS39" s="8" t="n">
        <v>3.06295399039048</v>
      </c>
      <c r="BT39" s="8" t="n">
        <v>2.2118763978513</v>
      </c>
      <c r="BU39" s="0" t="n">
        <v>2.28534020026503</v>
      </c>
      <c r="BV39" s="0" t="n">
        <v>0.0734638024137304</v>
      </c>
      <c r="BW39" s="20" t="n">
        <f aca="false">(BV39)^2</f>
        <v>0.00539693026508362</v>
      </c>
      <c r="BZ39" s="0" t="n">
        <v>1.42488163663107</v>
      </c>
      <c r="CA39" s="0" t="n">
        <v>40.0110808413918</v>
      </c>
      <c r="CB39" s="0" t="n">
        <v>39.9203081956583</v>
      </c>
      <c r="CC39" s="0" t="n">
        <v>-0.090772645733523</v>
      </c>
      <c r="CD39" s="20" t="n">
        <f aca="false">(CC39)^2</f>
        <v>0.00823967321346366</v>
      </c>
      <c r="CF39" s="20"/>
      <c r="CG39" s="0" t="n">
        <v>1.42488163663107</v>
      </c>
      <c r="CH39" s="0" t="n">
        <v>40.4470982850749</v>
      </c>
      <c r="CI39" s="0" t="n">
        <v>39.8052047714277</v>
      </c>
      <c r="CJ39" s="0" t="n">
        <v>-0.641893513647204</v>
      </c>
      <c r="CK39" s="20" t="n">
        <f aca="false">(CJ39)^2</f>
        <v>0.412027282862354</v>
      </c>
      <c r="CM39" s="20"/>
      <c r="CN39" s="0" t="n">
        <v>1.42488163663107</v>
      </c>
      <c r="CO39" s="0" t="n">
        <v>40.2817538792676</v>
      </c>
      <c r="CP39" s="0" t="n">
        <v>39.8052047714277</v>
      </c>
      <c r="CQ39" s="0" t="n">
        <v>-0.476549107839936</v>
      </c>
      <c r="CR39" s="20" t="n">
        <f aca="false">(CQ39)^2</f>
        <v>0.227099052183039</v>
      </c>
      <c r="CU39" s="0" t="n">
        <v>39.9203081956583</v>
      </c>
      <c r="CV39" s="0" t="n">
        <v>40.3807037839727</v>
      </c>
      <c r="CW39" s="0" t="n">
        <v>39.8052047714277</v>
      </c>
      <c r="CX39" s="0" t="n">
        <v>-0.575499012544967</v>
      </c>
      <c r="CY39" s="20" t="n">
        <f aca="false">(CX39)^2</f>
        <v>0.331199113440232</v>
      </c>
      <c r="DC39" s="0" t="n">
        <v>1.48572142648158</v>
      </c>
      <c r="DD39" s="0" t="e">
        <v>#VALUE!</v>
      </c>
      <c r="DE39" s="0" t="n">
        <v>0</v>
      </c>
      <c r="DF39" s="0" t="e">
        <v>#VALUE!</v>
      </c>
      <c r="DJ39" s="0" t="n">
        <v>1.48572142648158</v>
      </c>
      <c r="DK39" s="0" t="n">
        <v>91.691920930065</v>
      </c>
      <c r="DL39" s="0" t="n">
        <v>40.3263420583806</v>
      </c>
      <c r="DM39" s="0" t="n">
        <v>-51.3655788716844</v>
      </c>
      <c r="DQ39" s="0" t="n">
        <v>1.48572142648158</v>
      </c>
      <c r="DR39" s="0" t="n">
        <v>94.2179499132426</v>
      </c>
      <c r="DS39" s="0" t="n">
        <v>40.3264007404092</v>
      </c>
      <c r="DT39" s="0" t="n">
        <v>-53.8915491728334</v>
      </c>
      <c r="DX39" s="0" t="n">
        <v>1.48572142648158</v>
      </c>
      <c r="DY39" s="0" t="n">
        <v>92.0453497861156</v>
      </c>
      <c r="DZ39" s="0" t="n">
        <v>40.3264007404092</v>
      </c>
      <c r="EA39" s="0" t="n">
        <v>-51.7189490457064</v>
      </c>
    </row>
    <row r="40" customFormat="false" ht="13.2" hidden="false" customHeight="false" outlineLevel="0" collapsed="false">
      <c r="A40" s="0" t="s">
        <v>176</v>
      </c>
      <c r="B40" s="8" t="n">
        <v>18.83</v>
      </c>
      <c r="C40" s="8" t="n">
        <v>555.09</v>
      </c>
      <c r="D40" s="8" t="n">
        <v>20.71</v>
      </c>
      <c r="E40" s="8" t="n">
        <v>602.92</v>
      </c>
      <c r="F40" s="8" t="n">
        <v>596.4</v>
      </c>
      <c r="G40" s="8" t="n">
        <f aca="false">B40+(D40-B40)*((F40-C40)/(E40-C40))</f>
        <v>20.4537256951704</v>
      </c>
      <c r="H40" s="15" t="n">
        <v>0.0391</v>
      </c>
      <c r="I40" s="8" t="n">
        <v>3.4975</v>
      </c>
      <c r="J40" s="0" t="s">
        <v>177</v>
      </c>
      <c r="K40" s="8" t="n">
        <v>3.1</v>
      </c>
      <c r="L40" s="8" t="n">
        <v>64.997</v>
      </c>
      <c r="M40" s="8" t="n">
        <v>3.42</v>
      </c>
      <c r="N40" s="8" t="n">
        <v>81.598</v>
      </c>
      <c r="O40" s="8" t="n">
        <f aca="false">148.75/2</f>
        <v>74.375</v>
      </c>
      <c r="P40" s="8" t="n">
        <f aca="false">K40+(M40-K40)*((O40-L40)/(N40-L40))</f>
        <v>3.28076983314258</v>
      </c>
      <c r="Q40" s="15" t="n">
        <v>0.05</v>
      </c>
      <c r="R40" s="8" t="n">
        <v>2.7</v>
      </c>
      <c r="S40" s="8" t="n">
        <v>0.05</v>
      </c>
      <c r="T40" s="8" t="n">
        <v>1.62</v>
      </c>
      <c r="U40" s="8" t="n">
        <v>0.4</v>
      </c>
      <c r="V40" s="8" t="n">
        <v>0.45</v>
      </c>
      <c r="W40" s="8" t="n">
        <v>4.7</v>
      </c>
      <c r="X40" s="8"/>
      <c r="Y40" s="8" t="n">
        <v>0.45</v>
      </c>
      <c r="Z40" s="8" t="n">
        <v>38.4</v>
      </c>
      <c r="AA40" s="8" t="n">
        <v>19</v>
      </c>
      <c r="AB40" s="8" t="n">
        <v>7.85</v>
      </c>
      <c r="AC40" s="8" t="n">
        <v>0.816</v>
      </c>
      <c r="AD40" s="8" t="n">
        <v>17.2</v>
      </c>
      <c r="AE40" s="8" t="n">
        <v>0.7</v>
      </c>
      <c r="AF40" s="8" t="n">
        <v>40.22</v>
      </c>
      <c r="AG40" s="8" t="n">
        <f aca="false">AF40-LOG(2.87)</f>
        <v>39.762118103266</v>
      </c>
      <c r="AH40" s="8" t="n">
        <v>39.99</v>
      </c>
      <c r="AI40" s="8" t="n">
        <v>39.77</v>
      </c>
      <c r="AJ40" s="8" t="n">
        <v>12</v>
      </c>
      <c r="AK40" s="8" t="n">
        <v>7.205763</v>
      </c>
      <c r="AL40" s="8" t="n">
        <v>0.145475</v>
      </c>
      <c r="AM40" s="8"/>
      <c r="AN40" s="8" t="n">
        <f aca="false">G40*SQRT(1-H40)*0.161</f>
        <v>3.22802879460861</v>
      </c>
      <c r="AO40" s="0" t="n">
        <f aca="false">SQRT(G40^2*(1-H40)-I40^2)*0.161</f>
        <v>3.17853600016046</v>
      </c>
      <c r="AP40" s="8" t="n">
        <f aca="false">SQRT(G40^2*(1-H40)-I40^2)*(0.161*PI())/(180*3600)*(Sheet2!N40*10^6)</f>
        <v>582.480109869658</v>
      </c>
      <c r="AQ40" s="8" t="n">
        <f aca="false">LOG(AP40)</f>
        <v>2.76528109996186</v>
      </c>
      <c r="AR40" s="8"/>
      <c r="AS40" s="8" t="n">
        <f aca="false">P40*SQRT(1-Q40)*0.161</f>
        <v>0.514829520586333</v>
      </c>
      <c r="AT40" s="0" t="e">
        <f aca="false">SQRT(P40^2*(1-Q40)-I40^2)*0.161</f>
        <v>#VALUE!</v>
      </c>
      <c r="AU40" s="8" t="e">
        <f aca="false">SQRT(P40^2*(1-Q40)-I40^2)*(0.161*PI())/(180*3600)*(Sheet2!N40*10^6)</f>
        <v>#VALUE!</v>
      </c>
      <c r="AV40" s="8" t="e">
        <f aca="false">LOG(AU40)</f>
        <v>#VALUE!</v>
      </c>
      <c r="AW40" s="0" t="n">
        <f aca="false">LOG(AD40)</f>
        <v>1.23552844690755</v>
      </c>
      <c r="AX40" s="0" t="n">
        <f aca="false">LOG(4*$B$85)+2*LOG($B$81*Z40)+LOG(W40*10^(-14))+Y40*(1+$B$86) - LOG(2.87)</f>
        <v>39.7584397069598</v>
      </c>
      <c r="AY40" s="0" t="n">
        <f aca="false">LOG(4*$B$85)+2*LOG($B$81*Z40)+LOG(R40*10^(-14))+Y40</f>
        <v>40.1263375099171</v>
      </c>
      <c r="AZ40" s="0" t="n">
        <f aca="false">LOG(4*$B$85)+2*LOG($B$81*Z40)+LOG(T40*10^(-14))+Y40</f>
        <v>39.9044887603007</v>
      </c>
      <c r="BA40" s="0" t="n">
        <f aca="false">LOG(AA40)</f>
        <v>1.27875360095283</v>
      </c>
      <c r="BB40" s="0" t="n">
        <f aca="false">LOG(AJ40)</f>
        <v>1.07918124604762</v>
      </c>
      <c r="BC40" s="0" t="n">
        <f aca="false">I40*0.161</f>
        <v>0.5630975</v>
      </c>
      <c r="BD40" s="1" t="n">
        <f aca="false">LOG(4*$B$85)+2*LOG($B$81*Z40)+LOG(W40*10^(-14))+Y40*(1+$B$86)</f>
        <v>40.2163216036938</v>
      </c>
      <c r="BE40" s="8" t="n">
        <v>40.22</v>
      </c>
      <c r="BF40" s="8" t="n">
        <v>39.7584397069598</v>
      </c>
      <c r="BG40" s="8" t="n">
        <v>40.1263375099171</v>
      </c>
      <c r="BH40" s="8" t="n">
        <v>39.9044887603007</v>
      </c>
      <c r="BI40" s="8"/>
      <c r="BJ40" s="16" t="n">
        <v>2.77079593079515</v>
      </c>
      <c r="BK40" s="16"/>
      <c r="BL40" s="16" t="n">
        <v>1.92192076742725</v>
      </c>
      <c r="BM40" s="8" t="n">
        <v>1.23552844690755</v>
      </c>
      <c r="BN40" s="8" t="n">
        <v>7.85</v>
      </c>
      <c r="BO40" s="8" t="n">
        <v>1.27875360095283</v>
      </c>
      <c r="BP40" s="8" t="n">
        <v>1.07918124604762</v>
      </c>
      <c r="BR40" s="20" t="n">
        <f aca="false">(BV40)^2</f>
        <v>0.00816251205697271</v>
      </c>
      <c r="BS40" s="8" t="n">
        <v>2.96671683363053</v>
      </c>
      <c r="BT40" s="8" t="n">
        <v>2.15370030079366</v>
      </c>
      <c r="BU40" s="0" t="n">
        <v>2.24404692251784</v>
      </c>
      <c r="BV40" s="0" t="n">
        <v>0.0903466217241835</v>
      </c>
      <c r="BW40" s="20" t="n">
        <f aca="false">(BV40)^2</f>
        <v>0.00816251205697271</v>
      </c>
      <c r="BZ40" s="0" t="n">
        <v>1.43775056282039</v>
      </c>
      <c r="CA40" s="0" t="n">
        <v>40.0469234478792</v>
      </c>
      <c r="CB40" s="0" t="n">
        <v>40.0555420750015</v>
      </c>
      <c r="CC40" s="0" t="n">
        <v>0.00861862712226724</v>
      </c>
      <c r="CD40" s="20" t="n">
        <f aca="false">(CC40)^2</f>
        <v>7.42807334726805E-005</v>
      </c>
      <c r="CF40" s="20"/>
      <c r="CG40" s="0" t="n">
        <v>1.43775056282039</v>
      </c>
      <c r="CH40" s="0" t="n">
        <v>40.4748757987645</v>
      </c>
      <c r="CI40" s="0" t="n">
        <v>40.1409607062428</v>
      </c>
      <c r="CJ40" s="0" t="n">
        <v>-0.333915092521686</v>
      </c>
      <c r="CK40" s="20" t="n">
        <f aca="false">(CJ40)^2</f>
        <v>0.111499289013766</v>
      </c>
      <c r="CM40" s="20"/>
      <c r="CN40" s="0" t="n">
        <v>1.43775056282039</v>
      </c>
      <c r="CO40" s="0" t="n">
        <v>40.31582258729</v>
      </c>
      <c r="CP40" s="0" t="n">
        <v>40.1409607062428</v>
      </c>
      <c r="CQ40" s="0" t="n">
        <v>-0.174861881047178</v>
      </c>
      <c r="CR40" s="20" t="n">
        <f aca="false">(CQ40)^2</f>
        <v>0.0305766774433575</v>
      </c>
      <c r="CU40" s="0" t="n">
        <v>40.0555420750015</v>
      </c>
      <c r="CV40" s="0" t="n">
        <v>40.4931257368959</v>
      </c>
      <c r="CW40" s="0" t="n">
        <v>40.1409607062428</v>
      </c>
      <c r="CX40" s="0" t="n">
        <v>-0.352165030653126</v>
      </c>
      <c r="CY40" s="20" t="n">
        <f aca="false">(CX40)^2</f>
        <v>0.124020208814917</v>
      </c>
      <c r="DC40" s="0" t="n">
        <v>1.25527250510331</v>
      </c>
      <c r="DD40" s="0" t="e">
        <v>#VALUE!</v>
      </c>
      <c r="DE40" s="0" t="n">
        <v>0</v>
      </c>
      <c r="DF40" s="0" t="e">
        <v>#VALUE!</v>
      </c>
      <c r="DJ40" s="0" t="n">
        <v>1.25527250510331</v>
      </c>
      <c r="DK40" s="0" t="n">
        <v>83.1949189251854</v>
      </c>
      <c r="DL40" s="0" t="n">
        <v>39.8138398098754</v>
      </c>
      <c r="DM40" s="0" t="n">
        <v>-43.38107911531</v>
      </c>
      <c r="DQ40" s="0" t="n">
        <v>1.25527250510331</v>
      </c>
      <c r="DR40" s="0" t="n">
        <v>85.4830914127422</v>
      </c>
      <c r="DS40" s="0" t="n">
        <v>40.2861528339909</v>
      </c>
      <c r="DT40" s="0" t="n">
        <v>-45.1969385787513</v>
      </c>
      <c r="DX40" s="0" t="n">
        <v>1.25527250510331</v>
      </c>
      <c r="DY40" s="0" t="n">
        <v>83.5119110225772</v>
      </c>
      <c r="DZ40" s="0" t="n">
        <v>39.8999512285901</v>
      </c>
      <c r="EA40" s="0" t="n">
        <v>-43.6119597939871</v>
      </c>
    </row>
    <row r="41" customFormat="false" ht="13.2" hidden="false" customHeight="false" outlineLevel="0" collapsed="false">
      <c r="A41" s="0" t="s">
        <v>178</v>
      </c>
      <c r="B41" s="8" t="n">
        <v>4.72</v>
      </c>
      <c r="C41" s="8" t="n">
        <v>43.181</v>
      </c>
      <c r="D41" s="8" t="n">
        <v>5</v>
      </c>
      <c r="E41" s="8" t="n">
        <v>44.746</v>
      </c>
      <c r="F41" s="8" t="n">
        <f aca="false">87.318/2</f>
        <v>43.659</v>
      </c>
      <c r="G41" s="8" t="n">
        <f aca="false">B41+(D41-B41)*((F41-C41)/(E41-C41))</f>
        <v>4.80552076677316</v>
      </c>
      <c r="H41" s="15" t="n">
        <v>0.1</v>
      </c>
      <c r="I41" s="8" t="n">
        <v>4.5482</v>
      </c>
      <c r="J41" s="0" t="s">
        <v>179</v>
      </c>
      <c r="K41" s="8" t="n">
        <v>3.76</v>
      </c>
      <c r="L41" s="8" t="n">
        <v>32.392</v>
      </c>
      <c r="M41" s="8" t="n">
        <v>4.13</v>
      </c>
      <c r="N41" s="8" t="n">
        <v>36.319</v>
      </c>
      <c r="O41" s="8" t="n">
        <f aca="false">67.466/2</f>
        <v>33.733</v>
      </c>
      <c r="P41" s="8" t="n">
        <f aca="false">K41+(M41-K41)*((O41-L41)/(N41-L41))</f>
        <v>3.88634835752483</v>
      </c>
      <c r="Q41" s="15" t="n">
        <v>0.05</v>
      </c>
      <c r="R41" s="8" t="n">
        <v>10.43</v>
      </c>
      <c r="S41" s="8" t="n">
        <v>0.97</v>
      </c>
      <c r="T41" s="8" t="n">
        <v>4.18</v>
      </c>
      <c r="U41" s="8" t="n">
        <v>0.76</v>
      </c>
      <c r="V41" s="8" t="n">
        <v>0.26</v>
      </c>
      <c r="W41" s="8" t="n">
        <v>5</v>
      </c>
      <c r="X41" s="8"/>
      <c r="Y41" s="8" t="n">
        <v>0</v>
      </c>
      <c r="Z41" s="8" t="n">
        <v>22.5</v>
      </c>
      <c r="AA41" s="8" t="n">
        <v>535</v>
      </c>
      <c r="AB41" s="8" t="n">
        <v>7.72</v>
      </c>
      <c r="AC41" s="8" t="n">
        <v>0.794</v>
      </c>
      <c r="AD41" s="8" t="n">
        <v>16.9</v>
      </c>
      <c r="AE41" s="8" t="n">
        <v>0.7</v>
      </c>
      <c r="AF41" s="8" t="n">
        <v>39.48</v>
      </c>
      <c r="AG41" s="8" t="n">
        <f aca="false">AF41-LOG(2.87)</f>
        <v>39.022118103266</v>
      </c>
      <c r="AH41" s="8" t="n">
        <v>39.83</v>
      </c>
      <c r="AI41" s="8" t="n">
        <v>39.43</v>
      </c>
      <c r="AJ41" s="8" t="n">
        <v>52</v>
      </c>
      <c r="AK41" s="8" t="n">
        <v>1.515531</v>
      </c>
      <c r="AL41" s="8" t="n">
        <v>0.1101915</v>
      </c>
      <c r="AM41" s="8"/>
      <c r="AN41" s="8" t="n">
        <f aca="false">G41*SQRT(1-H41)*0.161</f>
        <v>0.733985683669488</v>
      </c>
      <c r="AO41" s="0" t="n">
        <f aca="false">SQRT(G41^2*(1-H41)-I41^2)*0.161</f>
        <v>0.0502989396282421</v>
      </c>
      <c r="AP41" s="8" t="n">
        <f aca="false">SQRT(G41^2*(1-H41)-I41^2)*(0.161*PI())/(180*3600)*(Sheet2!N41*10^6)</f>
        <v>5.43998795262593</v>
      </c>
      <c r="AQ41" s="8" t="n">
        <f aca="false">LOG(AP41)</f>
        <v>0.735597937912541</v>
      </c>
      <c r="AR41" s="8"/>
      <c r="AS41" s="8" t="n">
        <f aca="false">P41*SQRT(1-Q41)*0.161</f>
        <v>0.609858954908598</v>
      </c>
      <c r="AT41" s="0" t="e">
        <f aca="false">SQRT(P41^2*(1-Q41)-I41^2)*0.161</f>
        <v>#VALUE!</v>
      </c>
      <c r="AU41" s="8" t="e">
        <f aca="false">SQRT(P41^2*(1-Q41)-I41^2)*(0.161*PI())/(180*3600)*(Sheet2!N41*10^6)</f>
        <v>#VALUE!</v>
      </c>
      <c r="AV41" s="8" t="e">
        <f aca="false">LOG(AU41)</f>
        <v>#VALUE!</v>
      </c>
      <c r="AW41" s="0" t="n">
        <f aca="false">LOG(AD41)</f>
        <v>1.22788670461367</v>
      </c>
      <c r="AX41" s="0" t="n">
        <f aca="false">LOG(4*$B$85)+2*LOG($B$81*Z41)+LOG(W41*10^(-14))+Y41*(1+$B$86) - LOG(2.87)</f>
        <v>39.0217644408478</v>
      </c>
      <c r="AY41" s="0" t="n">
        <f aca="false">LOG(4*$B$85)+2*LOG($B$81*Z41)+LOG(R41*10^(-14))+Y41</f>
        <v>39.7989606416723</v>
      </c>
      <c r="AZ41" s="0" t="n">
        <f aca="false">LOG(4*$B$85)+2*LOG($B$81*Z41)+LOG(T41*10^(-14))+Y41</f>
        <v>39.4018526150208</v>
      </c>
      <c r="BA41" s="0" t="n">
        <f aca="false">LOG(AA41)</f>
        <v>2.72835378202123</v>
      </c>
      <c r="BB41" s="0" t="n">
        <f aca="false">LOG(AJ41)</f>
        <v>1.7160033436348</v>
      </c>
      <c r="BC41" s="0" t="n">
        <f aca="false">I41*0.161</f>
        <v>0.7322602</v>
      </c>
      <c r="BD41" s="1" t="n">
        <f aca="false">LOG(4*$B$85)+2*LOG($B$81*Z41)+LOG(W41*10^(-14))+Y41*(1+$B$86)</f>
        <v>39.4796463375817</v>
      </c>
      <c r="BE41" s="8" t="n">
        <v>39.48</v>
      </c>
      <c r="BF41" s="8" t="n">
        <v>39.0217644408478</v>
      </c>
      <c r="BG41" s="8" t="n">
        <v>39.7989606416723</v>
      </c>
      <c r="BH41" s="8" t="n">
        <v>39.4018526150208</v>
      </c>
      <c r="BI41" s="8"/>
      <c r="BJ41" s="16" t="n">
        <v>1.8572240799594</v>
      </c>
      <c r="BK41" s="16"/>
      <c r="BL41" s="16" t="n">
        <v>1.75461831766389</v>
      </c>
      <c r="BM41" s="8" t="n">
        <v>1.22788670461367</v>
      </c>
      <c r="BN41" s="8" t="n">
        <v>7.72</v>
      </c>
      <c r="BO41" s="8" t="n">
        <v>2.72835378202123</v>
      </c>
      <c r="BP41" s="8" t="n">
        <v>1.7160033436348</v>
      </c>
      <c r="BR41" s="20" t="n">
        <f aca="false">(BV41)^2</f>
        <v>0.028512864705412</v>
      </c>
      <c r="BS41" s="8" t="n">
        <v>2.33023762449035</v>
      </c>
      <c r="BT41" s="8" t="n">
        <v>1.76894375256695</v>
      </c>
      <c r="BU41" s="0" t="n">
        <v>1.60008622473531</v>
      </c>
      <c r="BV41" s="0" t="n">
        <v>-0.168857527831637</v>
      </c>
      <c r="BW41" s="20" t="n">
        <f aca="false">(BV41)^2</f>
        <v>0.028512864705412</v>
      </c>
      <c r="BZ41" s="0" t="n">
        <v>1.31386722036915</v>
      </c>
      <c r="CA41" s="0" t="n">
        <v>39.7018828571959</v>
      </c>
      <c r="CB41" s="0" t="n">
        <v>39.6009701741581</v>
      </c>
      <c r="CC41" s="0" t="n">
        <v>-0.100912683037755</v>
      </c>
      <c r="CD41" s="20" t="n">
        <f aca="false">(CC41)^2</f>
        <v>0.0101833695978785</v>
      </c>
      <c r="CF41" s="20"/>
      <c r="CG41" s="0" t="n">
        <v>1.31386722036915</v>
      </c>
      <c r="CH41" s="0" t="n">
        <v>40.2074742152736</v>
      </c>
      <c r="CI41" s="0" t="n">
        <v>39.9728485150304</v>
      </c>
      <c r="CJ41" s="0" t="n">
        <v>-0.234625700243242</v>
      </c>
      <c r="CK41" s="20" t="n">
        <f aca="false">(CJ41)^2</f>
        <v>0.0550492192146318</v>
      </c>
      <c r="CM41" s="20"/>
      <c r="CN41" s="0" t="n">
        <v>1.31386722036915</v>
      </c>
      <c r="CO41" s="0" t="n">
        <v>39.9878585162624</v>
      </c>
      <c r="CP41" s="0" t="n">
        <v>39.9728485150304</v>
      </c>
      <c r="CQ41" s="0" t="n">
        <v>-0.015010001231957</v>
      </c>
      <c r="CR41" s="20" t="n">
        <f aca="false">(CQ41)^2</f>
        <v>0.000225300136983349</v>
      </c>
      <c r="CU41" s="0" t="n">
        <v>39.6009701741581</v>
      </c>
      <c r="CV41" s="0" t="n">
        <v>40.1152332954082</v>
      </c>
      <c r="CW41" s="0" t="n">
        <v>39.9728485150304</v>
      </c>
      <c r="CX41" s="0" t="n">
        <v>-0.142384780377824</v>
      </c>
      <c r="CY41" s="20" t="n">
        <f aca="false">(CX41)^2</f>
        <v>0.0202734256832413</v>
      </c>
      <c r="DC41" s="0" t="n">
        <v>1.39269695325967</v>
      </c>
      <c r="DD41" s="0" t="e">
        <v>#VALUE!</v>
      </c>
      <c r="DE41" s="0" t="n">
        <v>0</v>
      </c>
      <c r="DF41" s="0" t="e">
        <v>#VALUE!</v>
      </c>
      <c r="DJ41" s="0" t="n">
        <v>1.39269695325967</v>
      </c>
      <c r="DK41" s="0" t="n">
        <v>88.2619672086848</v>
      </c>
      <c r="DL41" s="0" t="n">
        <v>39.5808250944804</v>
      </c>
      <c r="DM41" s="0" t="n">
        <v>-48.6811421142044</v>
      </c>
      <c r="DQ41" s="0" t="n">
        <v>1.39269695325967</v>
      </c>
      <c r="DR41" s="0" t="n">
        <v>90.6919815302394</v>
      </c>
      <c r="DS41" s="0" t="n">
        <v>40.2880850465456</v>
      </c>
      <c r="DT41" s="0" t="n">
        <v>-50.4038964836938</v>
      </c>
      <c r="DX41" s="0" t="n">
        <v>1.39269695325967</v>
      </c>
      <c r="DY41" s="0" t="n">
        <v>88.6006877716357</v>
      </c>
      <c r="DZ41" s="0" t="n">
        <v>39.4996349548837</v>
      </c>
      <c r="EA41" s="0" t="n">
        <v>-49.101052816752</v>
      </c>
    </row>
    <row r="42" customFormat="false" ht="12.8" hidden="false" customHeight="false" outlineLevel="0" collapsed="false"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Z42" s="8"/>
      <c r="AA42" s="8"/>
      <c r="AB42" s="8"/>
      <c r="AC42" s="8"/>
      <c r="AD42" s="8"/>
      <c r="AE42" s="8"/>
      <c r="AF42" s="8"/>
      <c r="AG42" s="2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BF42" s="29"/>
      <c r="BJ42" s="20"/>
      <c r="BK42" s="20"/>
      <c r="BL42" s="20"/>
      <c r="BM42" s="20"/>
      <c r="BN42" s="20"/>
      <c r="BO42" s="20"/>
      <c r="BP42" s="20"/>
      <c r="BR42" s="20" t="n">
        <f aca="false">(BV42)^2</f>
        <v>0.133954035073867</v>
      </c>
      <c r="BS42" s="8" t="n">
        <v>2.28501935429668</v>
      </c>
      <c r="BT42" s="8" t="n">
        <v>1.74160896251151</v>
      </c>
      <c r="BU42" s="0" t="n">
        <v>1.37561164684667</v>
      </c>
      <c r="BV42" s="0" t="n">
        <v>-0.365997315664837</v>
      </c>
      <c r="BW42" s="20" t="n">
        <f aca="false">(BV42)^2</f>
        <v>0.133954035073867</v>
      </c>
      <c r="BZ42" s="0" t="n">
        <v>1.51719589794997</v>
      </c>
      <c r="CA42" s="0" t="n">
        <v>40.2681950475774</v>
      </c>
      <c r="CB42" s="0" t="n">
        <v>39.7119114592515</v>
      </c>
      <c r="CC42" s="0" t="n">
        <v>-0.556283588325947</v>
      </c>
      <c r="CD42" s="20" t="n">
        <f aca="false">(CC42)^2</f>
        <v>0.309451430640791</v>
      </c>
      <c r="CF42" s="20"/>
      <c r="CG42" s="0" t="n">
        <v>1.51719589794997</v>
      </c>
      <c r="CH42" s="0" t="n">
        <v>40.6463581626906</v>
      </c>
      <c r="CI42" s="0" t="n">
        <v>40.3675165950432</v>
      </c>
      <c r="CJ42" s="0" t="n">
        <v>-0.278841567647433</v>
      </c>
      <c r="CK42" s="20" t="n">
        <f aca="false">(CJ42)^2</f>
        <v>0.0777526198480779</v>
      </c>
      <c r="CM42" s="20"/>
      <c r="CN42" s="0" t="n">
        <v>1.51719589794997</v>
      </c>
      <c r="CO42" s="0" t="n">
        <v>40.5261431599974</v>
      </c>
      <c r="CP42" s="0" t="n">
        <v>40.3675165950432</v>
      </c>
      <c r="CQ42" s="0" t="n">
        <v>-0.158626564954169</v>
      </c>
      <c r="CR42" s="20" t="n">
        <f aca="false">(CQ42)^2</f>
        <v>0.0251623871091591</v>
      </c>
      <c r="CU42" s="0" t="n">
        <v>39.7119114592515</v>
      </c>
      <c r="CV42" s="0" t="n">
        <v>40.2074604502498</v>
      </c>
      <c r="CW42" s="0" t="n">
        <v>40.3675165950432</v>
      </c>
      <c r="CX42" s="0" t="n">
        <v>0.160056144793366</v>
      </c>
      <c r="CY42" s="20" t="n">
        <f aca="false">(CX42)^2</f>
        <v>0.0256179694861148</v>
      </c>
      <c r="DC42" s="0" t="n">
        <v>1.50379068305718</v>
      </c>
      <c r="DD42" s="0" t="e">
        <v>#VALUE!</v>
      </c>
      <c r="DE42" s="0" t="n">
        <v>0</v>
      </c>
      <c r="DF42" s="0" t="e">
        <v>#VALUE!</v>
      </c>
      <c r="DJ42" s="0" t="n">
        <v>1.50379068305718</v>
      </c>
      <c r="DK42" s="0" t="n">
        <v>92.3581618845954</v>
      </c>
      <c r="DL42" s="0" t="n">
        <v>40.3643638589132</v>
      </c>
      <c r="DM42" s="0" t="n">
        <v>-51.9937980256822</v>
      </c>
      <c r="DQ42" s="0" t="n">
        <v>1.50379068305718</v>
      </c>
      <c r="DR42" s="0" t="n">
        <v>94.9028409444227</v>
      </c>
      <c r="DS42" s="0" t="n">
        <v>41.0286745143046</v>
      </c>
      <c r="DT42" s="0" t="n">
        <v>-53.8741664301181</v>
      </c>
      <c r="DX42" s="0" t="n">
        <v>1.50379068305718</v>
      </c>
      <c r="DY42" s="0" t="n">
        <v>92.7144477084159</v>
      </c>
      <c r="DZ42" s="0" t="n">
        <v>40.3849932800756</v>
      </c>
      <c r="EA42" s="0" t="n">
        <v>-52.3294544283404</v>
      </c>
    </row>
    <row r="43" customFormat="false" ht="12.8" hidden="false" customHeight="false" outlineLevel="0" collapsed="false">
      <c r="J43" s="8"/>
      <c r="K43" s="8"/>
      <c r="L43" s="8"/>
      <c r="M43" s="8"/>
      <c r="N43" s="8"/>
      <c r="O43" s="8"/>
      <c r="P43" s="8"/>
      <c r="Q43" s="8"/>
      <c r="Z43" s="8"/>
      <c r="AA43" s="8"/>
      <c r="AB43" s="8"/>
      <c r="AC43" s="8"/>
      <c r="AD43" s="8"/>
      <c r="AE43" s="8"/>
      <c r="AF43" s="8"/>
      <c r="AG43" s="2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BJ43" s="20"/>
      <c r="BK43" s="20"/>
      <c r="BL43" s="20"/>
      <c r="BM43" s="20"/>
      <c r="BN43" s="20"/>
      <c r="BO43" s="20"/>
      <c r="BP43" s="20"/>
      <c r="BR43" s="20" t="n">
        <f aca="false">(BV43)^2</f>
        <v>1.1063355145735E-006</v>
      </c>
      <c r="BS43" s="8" t="n">
        <v>2.18948247828467</v>
      </c>
      <c r="BT43" s="8" t="n">
        <v>1.6838561905201</v>
      </c>
      <c r="BU43" s="0" t="n">
        <v>1.68490801536986</v>
      </c>
      <c r="BV43" s="0" t="n">
        <v>0.00105182484976041</v>
      </c>
      <c r="BW43" s="20" t="n">
        <f aca="false">(BV43)^2</f>
        <v>1.1063355145735E-006</v>
      </c>
      <c r="BZ43" s="0" t="n">
        <v>1.32221929473392</v>
      </c>
      <c r="CA43" s="0" t="n">
        <v>39.7251451022663</v>
      </c>
      <c r="CB43" s="0" t="n">
        <v>39.8158956218551</v>
      </c>
      <c r="CC43" s="0" t="n">
        <v>0.0907505195887595</v>
      </c>
      <c r="CD43" s="20" t="n">
        <f aca="false">(CC43)^2</f>
        <v>0.00823565680562981</v>
      </c>
      <c r="CF43" s="20"/>
      <c r="CG43" s="0" t="n">
        <v>1.32221929473392</v>
      </c>
      <c r="CH43" s="0" t="n">
        <v>40.2255021265843</v>
      </c>
      <c r="CI43" s="0" t="n">
        <v>40.2813702480347</v>
      </c>
      <c r="CJ43" s="0" t="n">
        <v>0.0558681214504446</v>
      </c>
      <c r="CK43" s="20" t="n">
        <f aca="false">(CJ43)^2</f>
        <v>0.00312124699440163</v>
      </c>
      <c r="CM43" s="20"/>
      <c r="CN43" s="0" t="n">
        <v>1.32221929473392</v>
      </c>
      <c r="CO43" s="0" t="n">
        <v>40.0099694817562</v>
      </c>
      <c r="CP43" s="0" t="n">
        <v>40.2813702480347</v>
      </c>
      <c r="CQ43" s="0" t="n">
        <v>0.271400766278546</v>
      </c>
      <c r="CR43" s="20" t="n">
        <f aca="false">(CQ43)^2</f>
        <v>0.0736583759365821</v>
      </c>
      <c r="CU43" s="0" t="n">
        <v>39.8158956218551</v>
      </c>
      <c r="CV43" s="0" t="n">
        <v>40.2939040447822</v>
      </c>
      <c r="CW43" s="0" t="n">
        <v>40.2813702480347</v>
      </c>
      <c r="CX43" s="0" t="n">
        <v>-0.0125337967475332</v>
      </c>
      <c r="CY43" s="20" t="n">
        <f aca="false">(CX43)^2</f>
        <v>0.000157096060908474</v>
      </c>
      <c r="DC43" s="0" t="n">
        <v>1.24303804868629</v>
      </c>
      <c r="DD43" s="0" t="e">
        <v>#VALUE!</v>
      </c>
      <c r="DE43" s="0" t="n">
        <v>0</v>
      </c>
      <c r="DF43" s="0" t="e">
        <v>#VALUE!</v>
      </c>
      <c r="DJ43" s="0" t="n">
        <v>1.24303804868629</v>
      </c>
      <c r="DK43" s="0" t="n">
        <v>82.7438159211779</v>
      </c>
      <c r="DL43" s="0" t="n">
        <v>39.8907352023789</v>
      </c>
      <c r="DM43" s="0" t="n">
        <v>-42.853080718799</v>
      </c>
      <c r="DQ43" s="0" t="n">
        <v>1.24303804868629</v>
      </c>
      <c r="DR43" s="0" t="n">
        <v>85.0193606866704</v>
      </c>
      <c r="DS43" s="0" t="n">
        <v>40.3666338830954</v>
      </c>
      <c r="DT43" s="0" t="n">
        <v>-44.652726803575</v>
      </c>
      <c r="DX43" s="0" t="n">
        <v>1.24303804868629</v>
      </c>
      <c r="DY43" s="0" t="n">
        <v>83.0588736031985</v>
      </c>
      <c r="DZ43" s="0" t="n">
        <v>40.0674853105121</v>
      </c>
      <c r="EA43" s="0" t="n">
        <v>-42.9913882926864</v>
      </c>
    </row>
    <row r="44" customFormat="false" ht="12.8" hidden="false" customHeight="false" outlineLevel="0" collapsed="false">
      <c r="J44" s="8"/>
      <c r="K44" s="8"/>
      <c r="L44" s="8"/>
      <c r="M44" s="8"/>
      <c r="N44" s="8"/>
      <c r="O44" s="8"/>
      <c r="P44" s="8"/>
      <c r="Q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BR44" s="20" t="n">
        <f aca="false">(BV44)^2</f>
        <v>0.109539839355492</v>
      </c>
      <c r="BS44" s="8" t="n">
        <v>3.01277417174865</v>
      </c>
      <c r="BT44" s="0" t="n">
        <v>2.18154231382465</v>
      </c>
      <c r="BU44" s="0" t="n">
        <v>1.85057428008802</v>
      </c>
      <c r="BV44" s="0" t="n">
        <v>-0.330968033736631</v>
      </c>
      <c r="BW44" s="20" t="n">
        <f aca="false">(BV44)^2</f>
        <v>0.109539839355492</v>
      </c>
      <c r="BZ44" s="0" t="n">
        <v>1.23299611039215</v>
      </c>
      <c r="CA44" s="0" t="n">
        <v>39.4766401812754</v>
      </c>
      <c r="CB44" s="0" t="n">
        <v>39.9770046637507</v>
      </c>
      <c r="CC44" s="0" t="n">
        <v>0.50036448247527</v>
      </c>
      <c r="CD44" s="20" t="n">
        <f aca="false">(CC44)^2</f>
        <v>0.250364615322745</v>
      </c>
      <c r="CF44" s="20"/>
      <c r="CG44" s="0" t="n">
        <v>1.23299611039215</v>
      </c>
      <c r="CH44" s="0" t="n">
        <v>40.0329143233735</v>
      </c>
      <c r="CI44" s="0" t="n">
        <v>40.5618565782759</v>
      </c>
      <c r="CJ44" s="0" t="n">
        <v>0.528942254902361</v>
      </c>
      <c r="CK44" s="20" t="n">
        <f aca="false">(CJ44)^2</f>
        <v>0.279779909021194</v>
      </c>
      <c r="CM44" s="20"/>
      <c r="CN44" s="0" t="n">
        <v>1.23299611039215</v>
      </c>
      <c r="CO44" s="0" t="n">
        <v>39.7737634011986</v>
      </c>
      <c r="CP44" s="0" t="n">
        <v>40.2717584423895</v>
      </c>
      <c r="CQ44" s="0" t="n">
        <v>0.497995041190883</v>
      </c>
      <c r="CR44" s="20" t="n">
        <f aca="false">(CQ44)^2</f>
        <v>0.247999061050709</v>
      </c>
      <c r="CU44" s="0" t="n">
        <v>39.9770046637507</v>
      </c>
      <c r="CV44" s="0" t="n">
        <v>40.4278364085617</v>
      </c>
      <c r="CW44" s="0" t="n">
        <v>40.5618565782759</v>
      </c>
      <c r="CX44" s="0" t="n">
        <v>0.134020169714226</v>
      </c>
      <c r="CY44" s="20" t="n">
        <f aca="false">(CX44)^2</f>
        <v>0.01796140589023</v>
      </c>
      <c r="DC44" s="0" t="n">
        <v>1.3096301674259</v>
      </c>
      <c r="DD44" s="0" t="e">
        <v>#VALUE!</v>
      </c>
      <c r="DE44" s="0" t="n">
        <v>0</v>
      </c>
      <c r="DF44" s="0" t="e">
        <v>#VALUE!</v>
      </c>
      <c r="DJ44" s="0" t="n">
        <v>1.3096301674259</v>
      </c>
      <c r="DK44" s="0" t="n">
        <v>85.1991685566144</v>
      </c>
      <c r="DL44" s="0" t="n">
        <v>39.8855611883631</v>
      </c>
      <c r="DM44" s="0" t="n">
        <v>-45.3136073682513</v>
      </c>
      <c r="DQ44" s="0" t="n">
        <v>1.3096301674259</v>
      </c>
      <c r="DR44" s="0" t="n">
        <v>87.5434459848794</v>
      </c>
      <c r="DS44" s="0" t="n">
        <v>40.3210963526474</v>
      </c>
      <c r="DT44" s="0" t="n">
        <v>-47.222349632232</v>
      </c>
      <c r="DX44" s="0" t="n">
        <v>1.3096301674259</v>
      </c>
      <c r="DY44" s="0" t="n">
        <v>85.5247552571463</v>
      </c>
      <c r="DZ44" s="0" t="n">
        <v>40.3210963526474</v>
      </c>
      <c r="EA44" s="0" t="n">
        <v>-45.2036589044989</v>
      </c>
    </row>
    <row r="45" customFormat="false" ht="12.8" hidden="false" customHeight="false" outlineLevel="0" collapsed="false">
      <c r="A45" s="30" t="s">
        <v>180</v>
      </c>
      <c r="B45" s="31" t="n">
        <v>34.52</v>
      </c>
      <c r="C45" s="31" t="n">
        <v>276.73</v>
      </c>
      <c r="D45" s="31" t="n">
        <v>37.97</v>
      </c>
      <c r="E45" s="31" t="n">
        <v>322.5</v>
      </c>
      <c r="F45" s="31" t="n">
        <f aca="false">586.5/2</f>
        <v>293.25</v>
      </c>
      <c r="G45" s="31" t="n">
        <f aca="false">B45+(D45-B45)*((F45-C45)/(E45-C45))</f>
        <v>35.7652261306533</v>
      </c>
      <c r="H45" s="31"/>
      <c r="I45" s="31" t="n">
        <f aca="false">(5.35+5.46+5.27+5.36)/4</f>
        <v>5.36</v>
      </c>
      <c r="J45" s="30" t="s">
        <v>181</v>
      </c>
      <c r="K45" s="31" t="n">
        <v>8.92</v>
      </c>
      <c r="L45" s="31" t="n">
        <v>64.294</v>
      </c>
      <c r="M45" s="31" t="n">
        <v>9.81</v>
      </c>
      <c r="N45" s="31" t="n">
        <v>69.818</v>
      </c>
      <c r="O45" s="31" t="n">
        <f aca="false">134.21/2</f>
        <v>67.105</v>
      </c>
      <c r="P45" s="31" t="n">
        <f aca="false">K45+(M45-K45)*((O45-L45)/(N45-L45))</f>
        <v>9.37289464156409</v>
      </c>
      <c r="Q45" s="31"/>
      <c r="R45" s="31" t="n">
        <v>7.36</v>
      </c>
      <c r="S45" s="31" t="n">
        <v>0.47</v>
      </c>
      <c r="T45" s="31" t="n">
        <v>3.42</v>
      </c>
      <c r="U45" s="31" t="n">
        <v>0.78</v>
      </c>
      <c r="V45" s="31" t="n">
        <v>0.22</v>
      </c>
      <c r="W45" s="31" t="s">
        <v>95</v>
      </c>
      <c r="X45" s="31"/>
      <c r="Y45" s="31" t="s">
        <v>95</v>
      </c>
      <c r="Z45" s="31" t="n">
        <f aca="false">(B84*0.0121)/B83</f>
        <v>51.0913907295775</v>
      </c>
      <c r="AA45" s="31" t="n">
        <v>0</v>
      </c>
      <c r="AB45" s="31" t="n">
        <v>0</v>
      </c>
      <c r="AC45" s="31" t="s">
        <v>182</v>
      </c>
      <c r="AD45" s="31" t="s">
        <v>182</v>
      </c>
      <c r="AE45" s="31"/>
      <c r="AF45" s="31"/>
      <c r="AG45" s="31" t="n">
        <v>0</v>
      </c>
      <c r="AH45" s="31" t="n">
        <v>40.58</v>
      </c>
      <c r="AI45" s="31" t="n">
        <v>40.25</v>
      </c>
      <c r="AJ45" s="31" t="n">
        <v>106</v>
      </c>
      <c r="AK45" s="31"/>
      <c r="AL45" s="31"/>
      <c r="AM45" s="31"/>
      <c r="AN45" s="31"/>
      <c r="AO45" s="31"/>
      <c r="AP45" s="8" t="n">
        <f aca="false">((G45^2-I45^2)^0.5)*$B$87*Z45*10^6</f>
        <v>1410.18709404656</v>
      </c>
      <c r="AQ45" s="8"/>
      <c r="AR45" s="8"/>
      <c r="AS45" s="8"/>
      <c r="AT45" s="8"/>
      <c r="AU45" s="8"/>
      <c r="AV45" s="8"/>
      <c r="BR45" s="20" t="n">
        <f aca="false">(BV45)^2</f>
        <v>0.0274937373080591</v>
      </c>
      <c r="BS45" s="8" t="n">
        <v>2.23419219759188</v>
      </c>
      <c r="BT45" s="0" t="n">
        <v>1.71088355767647</v>
      </c>
      <c r="BU45" s="0" t="n">
        <v>1.54507120196056</v>
      </c>
      <c r="BV45" s="0" t="n">
        <v>-0.165812355715909</v>
      </c>
      <c r="BW45" s="20" t="n">
        <f aca="false">(BV45)^2</f>
        <v>0.0274937373080591</v>
      </c>
      <c r="BZ45" s="0" t="n">
        <v>1.23299611039215</v>
      </c>
      <c r="CA45" s="0" t="n">
        <v>39.4766401812754</v>
      </c>
      <c r="CB45" s="0" t="n">
        <v>39.0888685217564</v>
      </c>
      <c r="CC45" s="0" t="n">
        <v>-0.387771659519025</v>
      </c>
      <c r="CD45" s="20" t="n">
        <f aca="false">(CC45)^2</f>
        <v>0.150366859926139</v>
      </c>
      <c r="CF45" s="20"/>
      <c r="CG45" s="0" t="n">
        <v>1.23299611039215</v>
      </c>
      <c r="CH45" s="0" t="n">
        <v>40.0329143233735</v>
      </c>
      <c r="CI45" s="0" t="n">
        <v>39.807392282766</v>
      </c>
      <c r="CJ45" s="0" t="n">
        <v>-0.225522040607537</v>
      </c>
      <c r="CK45" s="20" t="n">
        <f aca="false">(CJ45)^2</f>
        <v>0.0508601907997874</v>
      </c>
      <c r="CM45" s="20"/>
      <c r="CN45" s="0" t="n">
        <v>1.23299611039215</v>
      </c>
      <c r="CO45" s="0" t="n">
        <v>39.7737634011986</v>
      </c>
      <c r="CP45" s="0" t="n">
        <v>39.2678630647137</v>
      </c>
      <c r="CQ45" s="0" t="n">
        <v>-0.505900336484913</v>
      </c>
      <c r="CR45" s="20" t="n">
        <f aca="false">(CQ45)^2</f>
        <v>0.255935150455548</v>
      </c>
      <c r="CU45" s="0" t="n">
        <v>39.0888685217564</v>
      </c>
      <c r="CV45" s="0" t="n">
        <v>39.6895155082839</v>
      </c>
      <c r="CW45" s="0" t="n">
        <v>39.807392282766</v>
      </c>
      <c r="CX45" s="0" t="n">
        <v>0.117876774482134</v>
      </c>
      <c r="CY45" s="20" t="n">
        <f aca="false">(CX45)^2</f>
        <v>0.0138949339623119</v>
      </c>
      <c r="DC45" s="0" t="n">
        <v>1.54900326202579</v>
      </c>
      <c r="DD45" s="0" t="e">
        <v>#VALUE!</v>
      </c>
      <c r="DE45" s="0" t="n">
        <v>0</v>
      </c>
      <c r="DF45" s="0" t="e">
        <v>#VALUE!</v>
      </c>
      <c r="DJ45" s="0" t="n">
        <v>1.54900326202579</v>
      </c>
      <c r="DK45" s="0" t="n">
        <v>94.0252183925816</v>
      </c>
      <c r="DL45" s="0" t="n">
        <v>40.8602418490241</v>
      </c>
      <c r="DM45" s="0" t="n">
        <v>-53.1649765435575</v>
      </c>
      <c r="DQ45" s="0" t="n">
        <v>1.54900326202579</v>
      </c>
      <c r="DR45" s="0" t="n">
        <v>96.6165633492469</v>
      </c>
      <c r="DS45" s="0" t="n">
        <v>41.2889669095893</v>
      </c>
      <c r="DT45" s="0" t="n">
        <v>-55.3275964396576</v>
      </c>
      <c r="DX45" s="0" t="n">
        <v>1.54900326202579</v>
      </c>
      <c r="DY45" s="0" t="n">
        <v>94.3886528713769</v>
      </c>
      <c r="DZ45" s="0" t="n">
        <v>40.7432526092177</v>
      </c>
      <c r="EA45" s="0" t="n">
        <v>-53.6454002621592</v>
      </c>
    </row>
    <row r="46" customFormat="false" ht="12.8" hidden="false" customHeight="false" outlineLevel="0" collapsed="false">
      <c r="A46" s="30" t="s">
        <v>183</v>
      </c>
      <c r="B46" s="31" t="n">
        <v>30.38</v>
      </c>
      <c r="C46" s="31" t="n">
        <v>1878.9</v>
      </c>
      <c r="D46" s="31" t="n">
        <v>33.42</v>
      </c>
      <c r="E46" s="31" t="n">
        <v>2028.6</v>
      </c>
      <c r="F46" s="31" t="n">
        <f aca="false">3893.8/2</f>
        <v>1946.9</v>
      </c>
      <c r="G46" s="31" t="n">
        <f aca="false">B46+(D46-B46)*((F46-C46)/(E46-C46))</f>
        <v>31.7608951235805</v>
      </c>
      <c r="H46" s="31"/>
      <c r="I46" s="31" t="n">
        <f aca="false">(4.83+4.81+4.78+4.9+4.85+4.84)/6</f>
        <v>4.835</v>
      </c>
      <c r="J46" s="30" t="s">
        <v>184</v>
      </c>
      <c r="K46" s="31" t="n">
        <v>12.88</v>
      </c>
      <c r="L46" s="31" t="n">
        <v>1027.6</v>
      </c>
      <c r="M46" s="31" t="n">
        <v>14.17</v>
      </c>
      <c r="N46" s="31" t="n">
        <v>1130.6</v>
      </c>
      <c r="O46" s="31" t="n">
        <f aca="false">2213.1/2</f>
        <v>1106.55</v>
      </c>
      <c r="P46" s="31" t="n">
        <f aca="false">K46+(M46-K46)*((O46-L46)/(N46-L46))</f>
        <v>13.8687912621359</v>
      </c>
      <c r="Q46" s="31"/>
      <c r="R46" s="31" t="n">
        <v>6.95</v>
      </c>
      <c r="S46" s="31" t="n">
        <v>0.2</v>
      </c>
      <c r="T46" s="31" t="n">
        <v>2.23</v>
      </c>
      <c r="U46" s="31" t="n">
        <v>0.24</v>
      </c>
      <c r="V46" s="31" t="n">
        <v>0.35</v>
      </c>
      <c r="W46" s="31" t="s">
        <v>95</v>
      </c>
      <c r="X46" s="31"/>
      <c r="Y46" s="31" t="s">
        <v>95</v>
      </c>
      <c r="Z46" s="31" t="n">
        <f aca="false">(B84*0.0168)/B83</f>
        <v>70.9368069633803</v>
      </c>
      <c r="AA46" s="31" t="n">
        <v>0</v>
      </c>
      <c r="AB46" s="31" t="n">
        <v>0</v>
      </c>
      <c r="AC46" s="31" t="s">
        <v>182</v>
      </c>
      <c r="AD46" s="31" t="s">
        <v>182</v>
      </c>
      <c r="AE46" s="31"/>
      <c r="AF46" s="31"/>
      <c r="AG46" s="31" t="n">
        <v>0</v>
      </c>
      <c r="AH46" s="31" t="n">
        <v>40.97</v>
      </c>
      <c r="AI46" s="31" t="n">
        <v>40.48</v>
      </c>
      <c r="AJ46" s="31" t="n">
        <v>63</v>
      </c>
      <c r="AK46" s="31"/>
      <c r="AL46" s="31"/>
      <c r="AM46" s="31"/>
      <c r="AN46" s="31"/>
      <c r="AO46" s="31"/>
      <c r="AP46" s="8" t="n">
        <f aca="false">((G46^2-I46^2)^0.5)*$B$87*Z46*10^6</f>
        <v>1738.09552292828</v>
      </c>
      <c r="AQ46" s="8"/>
      <c r="AR46" s="8"/>
      <c r="AS46" s="8"/>
      <c r="AT46" s="8"/>
      <c r="AU46" s="8"/>
      <c r="AV46" s="8"/>
      <c r="BR46" s="20" t="n">
        <f aca="false">(BV46)^2</f>
        <v>0.00740197734835873</v>
      </c>
      <c r="BS46" s="8" t="n">
        <v>2.51128671835605</v>
      </c>
      <c r="BT46" s="0" t="n">
        <v>1.87838931404796</v>
      </c>
      <c r="BU46" s="0" t="n">
        <v>1.96442405905461</v>
      </c>
      <c r="BV46" s="0" t="n">
        <v>0.0860347450066468</v>
      </c>
      <c r="BW46" s="20" t="n">
        <f aca="false">(BV46)^2</f>
        <v>0.00740197734835873</v>
      </c>
      <c r="BZ46" s="0" t="n">
        <v>1.3541084391474</v>
      </c>
      <c r="CA46" s="0" t="n">
        <v>39.8139629288369</v>
      </c>
      <c r="CB46" s="0" t="n">
        <v>39.3364926286811</v>
      </c>
      <c r="CC46" s="0" t="n">
        <v>-0.477470300155794</v>
      </c>
      <c r="CD46" s="20" t="n">
        <f aca="false">(CC46)^2</f>
        <v>0.227977887530864</v>
      </c>
      <c r="CF46" s="20"/>
      <c r="CG46" s="0" t="n">
        <v>1.3541084391474</v>
      </c>
      <c r="CH46" s="0" t="n">
        <v>40.2943346874727</v>
      </c>
      <c r="CI46" s="0" t="n">
        <v>39.6234285182525</v>
      </c>
      <c r="CJ46" s="0" t="n">
        <v>-0.670906169220146</v>
      </c>
      <c r="CK46" s="20" t="n">
        <f aca="false">(CJ46)^2</f>
        <v>0.450115087897651</v>
      </c>
      <c r="CM46" s="20"/>
      <c r="CN46" s="0" t="n">
        <v>1.3541084391474</v>
      </c>
      <c r="CO46" s="0" t="n">
        <v>40.0943915954681</v>
      </c>
      <c r="CP46" s="0" t="n">
        <v>39.6234285182525</v>
      </c>
      <c r="CQ46" s="0" t="n">
        <v>-0.470963077215579</v>
      </c>
      <c r="CR46" s="20" t="n">
        <f aca="false">(CQ46)^2</f>
        <v>0.221806220100367</v>
      </c>
      <c r="CU46" s="0" t="n">
        <v>39.3364926286811</v>
      </c>
      <c r="CV46" s="0" t="n">
        <v>39.8953691436788</v>
      </c>
      <c r="CW46" s="0" t="n">
        <v>39.6234285182525</v>
      </c>
      <c r="CX46" s="0" t="n">
        <v>-0.271940625426268</v>
      </c>
      <c r="CY46" s="20" t="n">
        <f aca="false">(CX46)^2</f>
        <v>0.0739517037572298</v>
      </c>
      <c r="DC46" s="0" t="n">
        <v>1.38021124171161</v>
      </c>
      <c r="DD46" s="0" t="e">
        <v>#VALUE!</v>
      </c>
      <c r="DE46" s="0" t="n">
        <v>0</v>
      </c>
      <c r="DF46" s="0" t="e">
        <v>#VALUE!</v>
      </c>
      <c r="DJ46" s="0" t="n">
        <v>1.38021124171161</v>
      </c>
      <c r="DK46" s="0" t="n">
        <v>87.8016000460976</v>
      </c>
      <c r="DL46" s="0" t="n">
        <v>39.5307026003539</v>
      </c>
      <c r="DM46" s="0" t="n">
        <v>-48.2708974457437</v>
      </c>
      <c r="DQ46" s="0" t="n">
        <v>1.38021124171161</v>
      </c>
      <c r="DR46" s="0" t="n">
        <v>90.2187273140856</v>
      </c>
      <c r="DS46" s="0" t="n">
        <v>40.3112205857885</v>
      </c>
      <c r="DT46" s="0" t="n">
        <v>-49.9075067282971</v>
      </c>
      <c r="DX46" s="0" t="n">
        <v>1.38021124171161</v>
      </c>
      <c r="DY46" s="0" t="n">
        <v>88.1383464672055</v>
      </c>
      <c r="DZ46" s="0" t="n">
        <v>39.8411325938</v>
      </c>
      <c r="EA46" s="0" t="n">
        <v>-48.2972138734055</v>
      </c>
    </row>
    <row r="47" customFormat="false" ht="12.8" hidden="false" customHeight="false" outlineLevel="0" collapsed="false">
      <c r="A47" s="30" t="s">
        <v>185</v>
      </c>
      <c r="B47" s="31" t="n">
        <v>38.91</v>
      </c>
      <c r="C47" s="31" t="n">
        <v>1806.7</v>
      </c>
      <c r="D47" s="31" t="n">
        <v>42.8</v>
      </c>
      <c r="E47" s="31" t="n">
        <v>2032.3</v>
      </c>
      <c r="F47" s="31" t="n">
        <v>1974.45</v>
      </c>
      <c r="G47" s="31" t="n">
        <f aca="false">B47+(D47-B47)*((F47-C47)/(E47-C47))</f>
        <v>41.8024977836879</v>
      </c>
      <c r="H47" s="31"/>
      <c r="I47" s="31" t="n">
        <f aca="false">(4.23+4.35+4.26)/3</f>
        <v>4.28</v>
      </c>
      <c r="J47" s="30" t="s">
        <v>186</v>
      </c>
      <c r="K47" s="31" t="n">
        <v>14.17</v>
      </c>
      <c r="L47" s="31" t="n">
        <v>452.12</v>
      </c>
      <c r="M47" s="31" t="n">
        <v>15.59</v>
      </c>
      <c r="N47" s="31" t="n">
        <v>504.13</v>
      </c>
      <c r="O47" s="31" t="n">
        <f aca="false">961.83/2</f>
        <v>480.915</v>
      </c>
      <c r="P47" s="31" t="n">
        <f aca="false">K47+(M47-K47)*((O47-L47)/(N47-L47))</f>
        <v>14.9561738127283</v>
      </c>
      <c r="Q47" s="31"/>
      <c r="R47" s="31" t="n">
        <v>45.14</v>
      </c>
      <c r="S47" s="31" t="n">
        <v>1.98</v>
      </c>
      <c r="T47" s="31" t="n">
        <v>6.16</v>
      </c>
      <c r="U47" s="31" t="n">
        <v>0.56</v>
      </c>
      <c r="V47" s="31" t="n">
        <v>0.38</v>
      </c>
      <c r="W47" s="31" t="s">
        <v>95</v>
      </c>
      <c r="X47" s="31"/>
      <c r="Y47" s="31" t="s">
        <v>95</v>
      </c>
      <c r="Z47" s="31" t="n">
        <f aca="false">(0.0035*B84)/B83</f>
        <v>14.7785014507042</v>
      </c>
      <c r="AA47" s="31" t="n">
        <v>0</v>
      </c>
      <c r="AB47" s="31" t="n">
        <v>0</v>
      </c>
      <c r="AC47" s="31" t="s">
        <v>182</v>
      </c>
      <c r="AD47" s="31" t="s">
        <v>182</v>
      </c>
      <c r="AE47" s="31"/>
      <c r="AF47" s="31"/>
      <c r="AG47" s="31" t="n">
        <v>0</v>
      </c>
      <c r="AH47" s="31" t="n">
        <v>40.45</v>
      </c>
      <c r="AI47" s="31" t="n">
        <v>39.58</v>
      </c>
      <c r="AJ47" s="31" t="n">
        <v>85</v>
      </c>
      <c r="AK47" s="31" t="n">
        <v>12.4155</v>
      </c>
      <c r="AL47" s="31" t="n">
        <v>0.7952994</v>
      </c>
      <c r="AM47" s="31"/>
      <c r="AN47" s="31"/>
      <c r="AO47" s="31"/>
      <c r="AP47" s="8" t="n">
        <f aca="false">((G47^2-I47^2)^0.5)*$B$87*Z47*10^6</f>
        <v>479.672716949271</v>
      </c>
      <c r="AQ47" s="8"/>
      <c r="AR47" s="8"/>
      <c r="AS47" s="8"/>
      <c r="AT47" s="8"/>
      <c r="AU47" s="8"/>
      <c r="AV47" s="8"/>
      <c r="BJ47" s="20"/>
      <c r="BK47" s="20"/>
      <c r="BL47" s="20"/>
      <c r="BM47" s="20"/>
      <c r="BN47" s="20"/>
      <c r="BO47" s="20"/>
      <c r="BP47" s="20"/>
      <c r="BQ47" s="32"/>
      <c r="BR47" s="20" t="n">
        <f aca="false">(BV47)^2</f>
        <v>0.0373743014750974</v>
      </c>
      <c r="BS47" s="8" t="n">
        <v>2.98461060088215</v>
      </c>
      <c r="BT47" s="0" t="n">
        <v>2.16451721990686</v>
      </c>
      <c r="BU47" s="0" t="n">
        <v>2.35784156259318</v>
      </c>
      <c r="BV47" s="0" t="n">
        <v>0.193324342686319</v>
      </c>
      <c r="BW47" s="20" t="n">
        <f aca="false">(BV47)^2</f>
        <v>0.0373743014750974</v>
      </c>
      <c r="BZ47" s="0" t="n">
        <v>1.48572142648158</v>
      </c>
      <c r="CA47" s="0" t="n">
        <v>40.1805321704544</v>
      </c>
      <c r="CB47" s="0" t="n">
        <v>40.3263420583806</v>
      </c>
      <c r="CC47" s="0" t="n">
        <v>0.145809887926227</v>
      </c>
      <c r="CD47" s="20" t="n">
        <f aca="false">(CC47)^2</f>
        <v>0.0212605234170588</v>
      </c>
      <c r="CF47" s="20"/>
      <c r="CG47" s="0" t="n">
        <v>1.48572142648158</v>
      </c>
      <c r="CH47" s="0" t="n">
        <v>40.5784206713084</v>
      </c>
      <c r="CI47" s="0" t="n">
        <v>40.3264007404092</v>
      </c>
      <c r="CJ47" s="0" t="n">
        <v>-0.252019930899188</v>
      </c>
      <c r="CK47" s="20" t="n">
        <f aca="false">(CJ47)^2</f>
        <v>0.0635140455704314</v>
      </c>
      <c r="CM47" s="20"/>
      <c r="CN47" s="0" t="n">
        <v>1.48572142648158</v>
      </c>
      <c r="CO47" s="0" t="n">
        <v>40.4428188357422</v>
      </c>
      <c r="CP47" s="0" t="n">
        <v>40.3264007404092</v>
      </c>
      <c r="CQ47" s="0" t="n">
        <v>-0.116418095333046</v>
      </c>
      <c r="CR47" s="20" t="n">
        <f aca="false">(CQ47)^2</f>
        <v>0.0135531729209741</v>
      </c>
      <c r="CU47" s="0" t="n">
        <v>40.3263420583806</v>
      </c>
      <c r="CV47" s="0" t="n">
        <v>40.7182458261141</v>
      </c>
      <c r="CW47" s="0" t="n">
        <v>40.3264007404092</v>
      </c>
      <c r="CX47" s="0" t="n">
        <v>-0.391845085704936</v>
      </c>
      <c r="CY47" s="20" t="n">
        <f aca="false">(CX47)^2</f>
        <v>0.153542571191109</v>
      </c>
      <c r="DC47" s="0" t="n">
        <v>1.23552844690755</v>
      </c>
      <c r="DD47" s="0" t="e">
        <v>#VALUE!</v>
      </c>
      <c r="DE47" s="0" t="n">
        <v>0</v>
      </c>
      <c r="DF47" s="0" t="e">
        <v>#VALUE!</v>
      </c>
      <c r="DJ47" s="0" t="n">
        <v>1.23552844690755</v>
      </c>
      <c r="DK47" s="0" t="n">
        <v>82.4669254892845</v>
      </c>
      <c r="DL47" s="0" t="n">
        <v>39.7584397069598</v>
      </c>
      <c r="DM47" s="0" t="n">
        <v>-42.7084857823247</v>
      </c>
      <c r="DQ47" s="0" t="n">
        <v>1.23552844690755</v>
      </c>
      <c r="DR47" s="0" t="n">
        <v>84.7347192635729</v>
      </c>
      <c r="DS47" s="0" t="n">
        <v>40.1263375099171</v>
      </c>
      <c r="DT47" s="0" t="n">
        <v>-44.6083817536558</v>
      </c>
      <c r="DX47" s="0" t="n">
        <v>1.23552844690755</v>
      </c>
      <c r="DY47" s="0" t="n">
        <v>82.780795812536</v>
      </c>
      <c r="DZ47" s="0" t="n">
        <v>39.9044887603007</v>
      </c>
      <c r="EA47" s="0" t="n">
        <v>-42.8763070522353</v>
      </c>
    </row>
    <row r="48" customFormat="false" ht="12.8" hidden="false" customHeight="false" outlineLevel="0" collapsed="false">
      <c r="A48" s="0" t="s">
        <v>187</v>
      </c>
      <c r="B48" s="8" t="s">
        <v>8</v>
      </c>
      <c r="C48" s="8" t="s">
        <v>9</v>
      </c>
      <c r="D48" s="8" t="s">
        <v>10</v>
      </c>
      <c r="E48" s="8" t="s">
        <v>11</v>
      </c>
      <c r="F48" s="8" t="s">
        <v>12</v>
      </c>
      <c r="G48" s="8" t="s">
        <v>188</v>
      </c>
      <c r="H48" s="8"/>
      <c r="I48" s="8"/>
      <c r="K48" s="8" t="s">
        <v>8</v>
      </c>
      <c r="L48" s="8" t="s">
        <v>9</v>
      </c>
      <c r="M48" s="8" t="s">
        <v>10</v>
      </c>
      <c r="N48" s="8" t="s">
        <v>11</v>
      </c>
      <c r="O48" s="8" t="s">
        <v>12</v>
      </c>
      <c r="P48" s="8" t="s">
        <v>188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BJ48" s="20"/>
      <c r="BK48" s="20"/>
      <c r="BL48" s="20"/>
      <c r="BM48" s="20"/>
      <c r="BN48" s="20"/>
      <c r="BO48" s="20"/>
      <c r="BP48" s="20"/>
      <c r="BQ48" s="32"/>
      <c r="BR48" s="20" t="n">
        <f aca="false">(BV48)^2</f>
        <v>0.00746512042655672</v>
      </c>
      <c r="BS48" s="8" t="n">
        <v>2.65208067517048</v>
      </c>
      <c r="BT48" s="0" t="n">
        <v>1.96350033740453</v>
      </c>
      <c r="BU48" s="0" t="n">
        <v>2.04990126579397</v>
      </c>
      <c r="BV48" s="0" t="n">
        <v>0.0864009283894376</v>
      </c>
      <c r="BW48" s="20" t="n">
        <f aca="false">(BV48)^2</f>
        <v>0.00746512042655672</v>
      </c>
      <c r="BZ48" s="0" t="n">
        <v>1.39967372148104</v>
      </c>
      <c r="CA48" s="0" t="n">
        <v>39.9408716126032</v>
      </c>
      <c r="CB48" s="0" t="n">
        <v>39.7238406799932</v>
      </c>
      <c r="CC48" s="0" t="n">
        <v>-0.217030932609966</v>
      </c>
      <c r="CD48" s="20" t="n">
        <f aca="false">(CC48)^2</f>
        <v>0.0471024257095514</v>
      </c>
      <c r="CF48" s="20"/>
      <c r="CG48" s="0" t="n">
        <v>1.39967372148104</v>
      </c>
      <c r="CH48" s="0" t="n">
        <v>40.3926871245892</v>
      </c>
      <c r="CI48" s="0" t="n">
        <v>40.2529720067542</v>
      </c>
      <c r="CJ48" s="0" t="n">
        <v>-0.139715117834989</v>
      </c>
      <c r="CK48" s="20" t="n">
        <f aca="false">(CJ48)^2</f>
        <v>0.0195203141516448</v>
      </c>
      <c r="CM48" s="20"/>
      <c r="CN48" s="0" t="n">
        <v>1.39967372148104</v>
      </c>
      <c r="CO48" s="0" t="n">
        <v>40.2150193989805</v>
      </c>
      <c r="CP48" s="0" t="n">
        <v>40.0756659371669</v>
      </c>
      <c r="CQ48" s="0" t="n">
        <v>-0.139353461813549</v>
      </c>
      <c r="CR48" s="20" t="n">
        <f aca="false">(CQ48)^2</f>
        <v>0.0194193873194203</v>
      </c>
      <c r="CU48" s="0" t="n">
        <v>39.7238406799932</v>
      </c>
      <c r="CV48" s="0" t="n">
        <v>40.2173773904363</v>
      </c>
      <c r="CW48" s="0" t="n">
        <v>40.2529720067542</v>
      </c>
      <c r="CX48" s="0" t="n">
        <v>0.0355946163178658</v>
      </c>
      <c r="CY48" s="20" t="n">
        <f aca="false">(CX48)^2</f>
        <v>0.00126697671081608</v>
      </c>
    </row>
    <row r="49" customFormat="false" ht="13.2" hidden="false" customHeight="false" outlineLevel="0" collapsed="false">
      <c r="A49" s="0" t="s">
        <v>189</v>
      </c>
      <c r="B49" s="8"/>
      <c r="C49" s="8"/>
      <c r="D49" s="8"/>
      <c r="E49" s="8"/>
      <c r="F49" s="8"/>
      <c r="G49" s="8"/>
      <c r="H49" s="8"/>
      <c r="J49" s="0" t="s">
        <v>190</v>
      </c>
      <c r="K49" s="8" t="n">
        <v>12.05</v>
      </c>
      <c r="L49" s="8" t="n">
        <v>170.97</v>
      </c>
      <c r="M49" s="8" t="n">
        <v>12.89</v>
      </c>
      <c r="N49" s="8" t="n">
        <v>189.55</v>
      </c>
      <c r="O49" s="8" t="n">
        <f aca="false">363.96/2</f>
        <v>181.98</v>
      </c>
      <c r="P49" s="8" t="n">
        <f aca="false">K49+(M49-K49)*((O49-L49)/(N49-L49))</f>
        <v>12.5477610333692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BJ49" s="20"/>
      <c r="BK49" s="20"/>
      <c r="BL49" s="20"/>
      <c r="BM49" s="20"/>
      <c r="BN49" s="20"/>
      <c r="BO49" s="20"/>
      <c r="BP49" s="20"/>
      <c r="BQ49" s="32"/>
      <c r="BR49" s="20" t="n">
        <f aca="false">(BV49)^2</f>
        <v>0.00304817811011249</v>
      </c>
      <c r="BS49" s="8" t="n">
        <v>3.14327666168951</v>
      </c>
      <c r="BT49" s="0" t="n">
        <v>2.26043206677113</v>
      </c>
      <c r="BU49" s="0" t="n">
        <v>2.20522175876517</v>
      </c>
      <c r="BV49" s="0" t="n">
        <v>-0.0552103080059556</v>
      </c>
      <c r="BW49" s="20" t="n">
        <f aca="false">(BV49)^2</f>
        <v>0.00304817811011249</v>
      </c>
      <c r="BZ49" s="0" t="n">
        <v>1.3384564936046</v>
      </c>
      <c r="CA49" s="0" t="n">
        <v>39.770369041002</v>
      </c>
      <c r="CB49" s="0" t="n">
        <v>40.069553025812</v>
      </c>
      <c r="CC49" s="0" t="n">
        <v>0.299183984810007</v>
      </c>
      <c r="CD49" s="20" t="n">
        <f aca="false">(CC49)^2</f>
        <v>0.0895110567667946</v>
      </c>
      <c r="CF49" s="20"/>
      <c r="CG49" s="0" t="n">
        <v>1.3384564936046</v>
      </c>
      <c r="CH49" s="0" t="n">
        <v>40.2605500402389</v>
      </c>
      <c r="CI49" s="0" t="n">
        <v>41.2641577153917</v>
      </c>
      <c r="CJ49" s="0" t="n">
        <v>1.00360767515284</v>
      </c>
      <c r="CK49" s="20" t="n">
        <f aca="false">(CJ49)^2</f>
        <v>1.00722836562568</v>
      </c>
      <c r="CM49" s="20"/>
      <c r="CN49" s="0" t="n">
        <v>1.3384564936046</v>
      </c>
      <c r="CO49" s="0" t="n">
        <v>40.0529552273644</v>
      </c>
      <c r="CP49" s="0" t="n">
        <v>40.7238661685937</v>
      </c>
      <c r="CQ49" s="0" t="n">
        <v>0.670910941229259</v>
      </c>
      <c r="CR49" s="20" t="n">
        <f aca="false">(CQ49)^2</f>
        <v>0.45012149106113</v>
      </c>
      <c r="CU49" s="0" t="n">
        <v>40.069553025812</v>
      </c>
      <c r="CV49" s="0" t="n">
        <v>40.5047732505225</v>
      </c>
      <c r="CW49" s="0" t="n">
        <v>41.2641577153917</v>
      </c>
      <c r="CX49" s="0" t="n">
        <v>0.759384464869171</v>
      </c>
      <c r="CY49" s="20" t="n">
        <f aca="false">(CX49)^2</f>
        <v>0.576664765484638</v>
      </c>
      <c r="DC49" s="14" t="s">
        <v>191</v>
      </c>
      <c r="DJ49" s="14" t="s">
        <v>192</v>
      </c>
      <c r="DQ49" s="14" t="s">
        <v>193</v>
      </c>
      <c r="DX49" s="14" t="s">
        <v>194</v>
      </c>
    </row>
    <row r="50" customFormat="false" ht="13.2" hidden="false" customHeight="false" outlineLevel="0" collapsed="false">
      <c r="A50" s="0" t="s">
        <v>195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BR50" s="20" t="n">
        <f aca="false">(BV50)^2</f>
        <v>0.00137240254214301</v>
      </c>
      <c r="BS50" s="8" t="n">
        <v>2.72075204192537</v>
      </c>
      <c r="BT50" s="0" t="n">
        <v>2.00501270364555</v>
      </c>
      <c r="BU50" s="0" t="n">
        <v>1.96796675188098</v>
      </c>
      <c r="BV50" s="0" t="n">
        <v>-0.0370459517645723</v>
      </c>
      <c r="BW50" s="20" t="n">
        <f aca="false">(BV50)^2</f>
        <v>0.00137240254214301</v>
      </c>
      <c r="BZ50" s="0" t="n">
        <v>1.25527250510331</v>
      </c>
      <c r="CA50" s="0" t="n">
        <v>39.5386845226481</v>
      </c>
      <c r="CB50" s="0" t="n">
        <v>39.8138398098754</v>
      </c>
      <c r="CC50" s="0" t="n">
        <v>0.275155287227278</v>
      </c>
      <c r="CD50" s="20" t="n">
        <f aca="false">(CC50)^2</f>
        <v>0.075710432089126</v>
      </c>
      <c r="CF50" s="20"/>
      <c r="CG50" s="0" t="n">
        <v>1.25527250510331</v>
      </c>
      <c r="CH50" s="0" t="n">
        <v>40.0809978114549</v>
      </c>
      <c r="CI50" s="0" t="n">
        <v>40.2861528339909</v>
      </c>
      <c r="CJ50" s="0" t="n">
        <v>0.205155022536019</v>
      </c>
      <c r="CK50" s="20" t="n">
        <f aca="false">(CJ50)^2</f>
        <v>0.0420885832717544</v>
      </c>
      <c r="CM50" s="20"/>
      <c r="CN50" s="0" t="n">
        <v>1.25527250510331</v>
      </c>
      <c r="CO50" s="0" t="n">
        <v>39.8327370852528</v>
      </c>
      <c r="CP50" s="0" t="n">
        <v>39.8999512285901</v>
      </c>
      <c r="CQ50" s="0" t="n">
        <v>0.0672141433373454</v>
      </c>
      <c r="CR50" s="20" t="n">
        <f aca="false">(CQ50)^2</f>
        <v>0.00451774106457322</v>
      </c>
      <c r="CU50" s="0" t="n">
        <v>39.8138398098754</v>
      </c>
      <c r="CV50" s="0" t="n">
        <v>40.2921950174385</v>
      </c>
      <c r="CW50" s="0" t="n">
        <v>40.2861528339909</v>
      </c>
      <c r="CX50" s="0" t="n">
        <v>-0.00604218344756902</v>
      </c>
      <c r="CY50" s="20" t="n">
        <f aca="false">(CX50)^2</f>
        <v>3.6507980814077E-005</v>
      </c>
      <c r="DC50" s="0" t="s">
        <v>78</v>
      </c>
      <c r="DD50" s="0" t="s">
        <v>79</v>
      </c>
      <c r="DJ50" s="0" t="s">
        <v>78</v>
      </c>
      <c r="DK50" s="0" t="s">
        <v>79</v>
      </c>
      <c r="DQ50" s="0" t="s">
        <v>78</v>
      </c>
      <c r="DR50" s="0" t="s">
        <v>79</v>
      </c>
      <c r="DX50" s="0" t="s">
        <v>78</v>
      </c>
      <c r="DY50" s="0" t="s">
        <v>79</v>
      </c>
    </row>
    <row r="51" customFormat="false" ht="13.2" hidden="false" customHeight="false" outlineLevel="0" collapsed="false">
      <c r="A51" s="0" t="s">
        <v>196</v>
      </c>
      <c r="B51" s="8"/>
      <c r="C51" s="8"/>
      <c r="D51" s="8"/>
      <c r="E51" s="8"/>
      <c r="F51" s="8"/>
      <c r="G51" s="8"/>
      <c r="H51" s="8"/>
      <c r="I51" s="8" t="s">
        <v>197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BE51" s="18" t="s">
        <v>198</v>
      </c>
      <c r="BF51" s="18"/>
      <c r="BG51" s="18"/>
      <c r="BH51" s="18" t="s">
        <v>199</v>
      </c>
      <c r="BI51" s="18"/>
      <c r="BJ51" s="18"/>
      <c r="BL51" s="12"/>
      <c r="BM51" s="12"/>
      <c r="BN51" s="8"/>
      <c r="BO51" s="12" t="s">
        <v>200</v>
      </c>
      <c r="BP51" s="12"/>
      <c r="BR51" s="20" t="n">
        <f aca="false">(BV51)^2</f>
        <v>0.000964189414074726</v>
      </c>
      <c r="BS51" s="8" t="n">
        <v>2.48769573000203</v>
      </c>
      <c r="BT51" s="0" t="n">
        <v>1.86412838121936</v>
      </c>
      <c r="BU51" s="0" t="n">
        <v>1.83307698166838</v>
      </c>
      <c r="BV51" s="0" t="n">
        <v>-0.031051399550982</v>
      </c>
      <c r="BW51" s="20" t="n">
        <f aca="false">(BV51)^2</f>
        <v>0.000964189414074726</v>
      </c>
      <c r="BZ51" s="0" t="n">
        <v>1.22010808804006</v>
      </c>
      <c r="CA51" s="0" t="n">
        <v>39.4407443880468</v>
      </c>
      <c r="CB51" s="0" t="n">
        <v>39.0981383321098</v>
      </c>
      <c r="CC51" s="0" t="n">
        <v>-0.342606055936962</v>
      </c>
      <c r="CD51" s="20" t="n">
        <f aca="false">(CC51)^2</f>
        <v>0.117378909564681</v>
      </c>
      <c r="CF51" s="20"/>
      <c r="CG51" s="0" t="n">
        <v>1.22010808804006</v>
      </c>
      <c r="CH51" s="0" t="n">
        <v>40.0050955907108</v>
      </c>
      <c r="CI51" s="0" t="n">
        <v>39.9333875133335</v>
      </c>
      <c r="CJ51" s="0" t="n">
        <v>-0.0717080773773233</v>
      </c>
      <c r="CK51" s="20" t="n">
        <f aca="false">(CJ51)^2</f>
        <v>0.00514204836115219</v>
      </c>
      <c r="CM51" s="20"/>
      <c r="CN51" s="0" t="n">
        <v>1.22010808804006</v>
      </c>
      <c r="CO51" s="0" t="n">
        <v>39.7396441387179</v>
      </c>
      <c r="CP51" s="0" t="n">
        <v>39.7399913960693</v>
      </c>
      <c r="CQ51" s="0" t="n">
        <v>0.000347257351435815</v>
      </c>
      <c r="CR51" s="20" t="n">
        <f aca="false">(CQ51)^2</f>
        <v>1.20587668126217E-007</v>
      </c>
      <c r="CU51" s="0" t="n">
        <v>39.0981383321098</v>
      </c>
      <c r="CV51" s="0" t="n">
        <v>39.6972216407132</v>
      </c>
      <c r="CW51" s="0" t="n">
        <v>39.9333875133335</v>
      </c>
      <c r="CX51" s="0" t="n">
        <v>0.236165872620255</v>
      </c>
      <c r="CY51" s="20" t="n">
        <f aca="false">(CX51)^2</f>
        <v>0.0557743193904865</v>
      </c>
    </row>
    <row r="52" customFormat="false" ht="13.2" hidden="false" customHeight="false" outlineLevel="0" collapsed="false">
      <c r="A52" s="33" t="s">
        <v>201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 t="n">
        <f aca="false">SQRT((G35^2)-(I35)^2)*0.161</f>
        <v>8.2334065654285</v>
      </c>
      <c r="AI52" s="8"/>
      <c r="AJ52" s="8"/>
      <c r="AK52" s="8"/>
      <c r="AL52" s="8"/>
      <c r="BE52" s="0" t="str">
        <f aca="false">BP2</f>
        <v>log (Whβ) NTT</v>
      </c>
      <c r="BF52" s="12" t="str">
        <f aca="false">BJ2</f>
        <v>log (R)</v>
      </c>
      <c r="BG52" s="8" t="str">
        <f aca="false">BM2</f>
        <v>log (σHβ) (Km s-¹)</v>
      </c>
      <c r="BH52" s="0" t="str">
        <f aca="false">BP2</f>
        <v>log (Whβ) NTT</v>
      </c>
      <c r="BI52" s="12" t="str">
        <f aca="false">BL2</f>
        <v>log (r)</v>
      </c>
      <c r="BJ52" s="8" t="str">
        <f aca="false">BM2</f>
        <v>log (σHβ) (Km s-¹)</v>
      </c>
      <c r="BL52" s="0" t="str">
        <f aca="false">BM2</f>
        <v>log (σHβ) (Km s-¹)</v>
      </c>
      <c r="BM52" s="8" t="str">
        <f aca="false">BL2</f>
        <v>log (r)</v>
      </c>
      <c r="BN52" s="0" t="str">
        <f aca="false">BO2</f>
        <v>log (Whβ) FEROS</v>
      </c>
      <c r="BO52" s="8" t="str">
        <f aca="false">BN2</f>
        <v>log(O/H)</v>
      </c>
      <c r="BP52" s="8" t="str">
        <f aca="false">BM2</f>
        <v>log (σHβ) (Km s-¹)</v>
      </c>
      <c r="BR52" s="20" t="n">
        <f aca="false">(BV52)^2</f>
        <v>0.0364669242444819</v>
      </c>
      <c r="BS52" s="8" t="n">
        <v>2.80181789701222</v>
      </c>
      <c r="BT52" s="0" t="n">
        <v>2.05401763284724</v>
      </c>
      <c r="BU52" s="0" t="n">
        <v>2.24498078176473</v>
      </c>
      <c r="BV52" s="0" t="n">
        <v>0.190963148917486</v>
      </c>
      <c r="BW52" s="20" t="n">
        <f aca="false">(BV52)^2</f>
        <v>0.0364669242444819</v>
      </c>
      <c r="BZ52" s="0" t="n">
        <v>1.50514997831991</v>
      </c>
      <c r="CA52" s="0" t="n">
        <v>40.2346446836444</v>
      </c>
      <c r="CB52" s="0" t="n">
        <v>40.6295612869068</v>
      </c>
      <c r="CC52" s="0" t="n">
        <v>0.394916603262388</v>
      </c>
      <c r="CD52" s="20" t="n">
        <f aca="false">(CC52)^2</f>
        <v>0.155959123532302</v>
      </c>
      <c r="CF52" s="20"/>
      <c r="CG52" s="0" t="n">
        <v>1.50514997831991</v>
      </c>
      <c r="CH52" s="0" t="n">
        <v>40.6203571045988</v>
      </c>
      <c r="CI52" s="0" t="n">
        <v>40.9807675767649</v>
      </c>
      <c r="CJ52" s="0" t="n">
        <v>0.360410472166066</v>
      </c>
      <c r="CK52" s="20" t="n">
        <f aca="false">(CJ52)^2</f>
        <v>0.129895708446967</v>
      </c>
      <c r="CM52" s="20"/>
      <c r="CN52" s="0" t="n">
        <v>1.50514997831991</v>
      </c>
      <c r="CO52" s="0" t="n">
        <v>40.4942532483839</v>
      </c>
      <c r="CP52" s="0" t="n">
        <v>40.9807675767649</v>
      </c>
      <c r="CQ52" s="0" t="n">
        <v>0.486514328380956</v>
      </c>
      <c r="CR52" s="20" t="n">
        <f aca="false">(CQ52)^2</f>
        <v>0.236696191719973</v>
      </c>
      <c r="CU52" s="0" t="n">
        <v>40.6295612869068</v>
      </c>
      <c r="CV52" s="0" t="n">
        <v>40.9703165202358</v>
      </c>
      <c r="CW52" s="0" t="n">
        <v>40.9807675767649</v>
      </c>
      <c r="CX52" s="0" t="n">
        <v>0.0104510565291349</v>
      </c>
      <c r="CY52" s="20" t="n">
        <f aca="false">(CX52)^2</f>
        <v>0.000109224582575174</v>
      </c>
      <c r="DC52" s="0" t="s">
        <v>84</v>
      </c>
      <c r="DJ52" s="0" t="s">
        <v>84</v>
      </c>
      <c r="DQ52" s="0" t="s">
        <v>84</v>
      </c>
      <c r="DX52" s="0" t="s">
        <v>84</v>
      </c>
    </row>
    <row r="53" customFormat="false" ht="13.2" hidden="false" customHeight="false" outlineLevel="0" collapsed="false">
      <c r="A53" s="0" t="s">
        <v>202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 t="n">
        <f aca="false">SQRT((G36^2)-(I36)^2)*0.161</f>
        <v>2.91939396748662</v>
      </c>
      <c r="AI53" s="8"/>
      <c r="AJ53" s="8"/>
      <c r="AK53" s="8"/>
      <c r="AL53" s="8"/>
      <c r="BE53" s="0" t="n">
        <f aca="false">BP3</f>
        <v>1.63346845557959</v>
      </c>
      <c r="BF53" s="12" t="n">
        <f aca="false">BJ3</f>
        <v>2.62956092768934</v>
      </c>
      <c r="BG53" s="8" t="n">
        <f aca="false">BM3</f>
        <v>1.18752072083646</v>
      </c>
      <c r="BH53" s="0" t="n">
        <f aca="false">BP3</f>
        <v>1.63346845557959</v>
      </c>
      <c r="BI53" s="12" t="n">
        <f aca="false">BL3</f>
        <v>2.05463340928398</v>
      </c>
      <c r="BJ53" s="8" t="n">
        <f aca="false">BM3</f>
        <v>1.18752072083646</v>
      </c>
      <c r="BL53" s="0" t="n">
        <f aca="false">BM3</f>
        <v>1.18752072083646</v>
      </c>
      <c r="BM53" s="8" t="n">
        <f aca="false">BL3</f>
        <v>2.05463340928398</v>
      </c>
      <c r="BN53" s="0" t="n">
        <f aca="false">BO3</f>
        <v>1.64345267648619</v>
      </c>
      <c r="BO53" s="8" t="n">
        <f aca="false">BN3</f>
        <v>7.73</v>
      </c>
      <c r="BP53" s="8" t="n">
        <f aca="false">BM3</f>
        <v>1.18752072083646</v>
      </c>
      <c r="BR53" s="20" t="n">
        <f aca="false">(BV53)^2</f>
        <v>0.00601012074294473</v>
      </c>
      <c r="BS53" s="8" t="n">
        <v>3.10471867515012</v>
      </c>
      <c r="BT53" s="0" t="n">
        <v>2.23712346910694</v>
      </c>
      <c r="BU53" s="0" t="n">
        <v>2.15959850059392</v>
      </c>
      <c r="BV53" s="0" t="n">
        <v>-0.0775249685130199</v>
      </c>
      <c r="BW53" s="20" t="n">
        <f aca="false">(BV53)^2</f>
        <v>0.00601012074294473</v>
      </c>
      <c r="BZ53" s="0" t="n">
        <v>1.45788189673399</v>
      </c>
      <c r="CA53" s="0" t="n">
        <v>40.1029933537064</v>
      </c>
      <c r="CB53" s="0" t="n">
        <v>40.2970404904863</v>
      </c>
      <c r="CC53" s="0" t="n">
        <v>0.194047136779936</v>
      </c>
      <c r="CD53" s="20" t="n">
        <f aca="false">(CC53)^2</f>
        <v>0.0376542912924912</v>
      </c>
      <c r="CF53" s="20"/>
      <c r="CG53" s="0" t="n">
        <v>1.45788189673399</v>
      </c>
      <c r="CH53" s="0" t="n">
        <v>40.5183291836972</v>
      </c>
      <c r="CI53" s="0" t="n">
        <v>40.7309227353314</v>
      </c>
      <c r="CJ53" s="0" t="n">
        <v>0.212593551634235</v>
      </c>
      <c r="CK53" s="20" t="n">
        <f aca="false">(CJ53)^2</f>
        <v>0.0451960181964582</v>
      </c>
      <c r="CM53" s="20"/>
      <c r="CN53" s="0" t="n">
        <v>1.45788189673399</v>
      </c>
      <c r="CO53" s="0" t="n">
        <v>40.369117518593</v>
      </c>
      <c r="CP53" s="0" t="n">
        <v>40.7309227353314</v>
      </c>
      <c r="CQ53" s="0" t="n">
        <v>0.361805216738453</v>
      </c>
      <c r="CR53" s="20" t="n">
        <f aca="false">(CQ53)^2</f>
        <v>0.130903014859159</v>
      </c>
      <c r="CU53" s="0" t="n">
        <v>40.2970404904863</v>
      </c>
      <c r="CV53" s="0" t="n">
        <v>40.693886993088</v>
      </c>
      <c r="CW53" s="0" t="n">
        <v>40.7309227353314</v>
      </c>
      <c r="CX53" s="0" t="n">
        <v>0.0370357422433472</v>
      </c>
      <c r="CY53" s="20" t="n">
        <f aca="false">(CX53)^2</f>
        <v>0.00137164620351565</v>
      </c>
      <c r="DC53" s="0" t="e">
        <f aca="false" t="array" ref="DC53:DE57">LINEST($BE$138:$BE$153 , $BI$138:$BJ$153 , 1 , 1)</f>
        <v>#VALUE!</v>
      </c>
      <c r="DD53" s="0" t="e">
        <v>#VALUE!</v>
      </c>
      <c r="DE53" s="0" t="e">
        <v>#VALUE!</v>
      </c>
      <c r="DJ53" s="0" t="n">
        <f aca="false" t="array" ref="DJ53:DL57">LINEST($BF$138:$BF$153 , $BI$138:$BJ$153 , 1 , 1)</f>
        <v>2.0132452313651</v>
      </c>
      <c r="DK53" s="0" t="n">
        <v>0.647398647688432</v>
      </c>
      <c r="DL53" s="0" t="n">
        <v>35.3963634991882</v>
      </c>
      <c r="DQ53" s="0" t="n">
        <f aca="false" t="array" ref="DQ53:DS57">LINEST($BG$138:$BG$153 , $BI$138:$BJ$153 , 1 , 1)</f>
        <v>1.71447472625903</v>
      </c>
      <c r="DR53" s="0" t="n">
        <v>0.43342444710845</v>
      </c>
      <c r="DS53" s="0" t="n">
        <v>36.8895597456153</v>
      </c>
      <c r="DX53" s="0" t="n">
        <f aca="false" t="array" ref="DX53:DZ57">LINEST($BH$138:$BH$153 , $BI$138:$BJ$153 , 1 , 1)</f>
        <v>2.20480630514096</v>
      </c>
      <c r="DY53" s="0" t="n">
        <v>0.254466015689423</v>
      </c>
      <c r="DZ53" s="0" t="n">
        <v>36.4342454941221</v>
      </c>
    </row>
    <row r="54" customFormat="false" ht="13.2" hidden="false" customHeight="false" outlineLevel="0" collapsed="false">
      <c r="A54" s="0" t="s">
        <v>203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 t="n">
        <f aca="false">SQRT((G37^2)-(I37)^2)*0.161</f>
        <v>8.85100727223541</v>
      </c>
      <c r="AI54" s="8"/>
      <c r="AJ54" s="8"/>
      <c r="AK54" s="8"/>
      <c r="AL54" s="8"/>
      <c r="BE54" s="0" t="n">
        <f aca="false">BP4</f>
        <v>1.92427928606188</v>
      </c>
      <c r="BF54" s="12" t="n">
        <f aca="false">BJ4</f>
        <v>2.78221676211721</v>
      </c>
      <c r="BG54" s="8" t="n">
        <f aca="false">BM4</f>
        <v>1.32633586092875</v>
      </c>
      <c r="BH54" s="0" t="n">
        <f aca="false">BP4</f>
        <v>1.92427928606188</v>
      </c>
      <c r="BI54" s="12" t="n">
        <f aca="false">BL4</f>
        <v>2.08700408042741</v>
      </c>
      <c r="BJ54" s="8" t="n">
        <f aca="false">BM4</f>
        <v>1.32633586092875</v>
      </c>
      <c r="BL54" s="0" t="n">
        <f aca="false">BM4</f>
        <v>1.32633586092875</v>
      </c>
      <c r="BM54" s="8" t="n">
        <f aca="false">BL4</f>
        <v>2.08700408042741</v>
      </c>
      <c r="BN54" s="0" t="n">
        <f aca="false">BO4</f>
        <v>1.96848294855394</v>
      </c>
      <c r="BO54" s="8" t="n">
        <f aca="false">BN4</f>
        <v>8.18</v>
      </c>
      <c r="BP54" s="8" t="n">
        <f aca="false">BM4</f>
        <v>1.32633586092875</v>
      </c>
      <c r="BR54" s="20" t="n">
        <f aca="false">(BV54)^2</f>
        <v>0.138870262523107</v>
      </c>
      <c r="BS54" s="8" t="n">
        <v>2.70767614445813</v>
      </c>
      <c r="BT54" s="0" t="n">
        <v>1.99710822365278</v>
      </c>
      <c r="BU54" s="0" t="n">
        <v>1.62445521813276</v>
      </c>
      <c r="BV54" s="0" t="n">
        <v>-0.372653005520024</v>
      </c>
      <c r="BW54" s="20" t="n">
        <f aca="false">(BV54)^2</f>
        <v>0.138870262523107</v>
      </c>
      <c r="BZ54" s="0" t="n">
        <v>1.39269695325967</v>
      </c>
      <c r="CA54" s="0" t="n">
        <v>39.9214398780331</v>
      </c>
      <c r="CB54" s="0" t="n">
        <v>39.5808250944804</v>
      </c>
      <c r="CC54" s="0" t="n">
        <v>-0.340614783552724</v>
      </c>
      <c r="CD54" s="20" t="n">
        <f aca="false">(CC54)^2</f>
        <v>0.116018430774669</v>
      </c>
      <c r="CF54" s="20"/>
      <c r="CG54" s="0" t="n">
        <v>1.39269695325967</v>
      </c>
      <c r="CH54" s="0" t="n">
        <v>40.3776278048039</v>
      </c>
      <c r="CI54" s="0" t="n">
        <v>40.2880850465456</v>
      </c>
      <c r="CJ54" s="0" t="n">
        <v>-0.0895427582583039</v>
      </c>
      <c r="CK54" s="20" t="n">
        <f aca="false">(CJ54)^2</f>
        <v>0.00801790555650506</v>
      </c>
      <c r="CM54" s="20"/>
      <c r="CN54" s="0" t="n">
        <v>1.39269695325967</v>
      </c>
      <c r="CO54" s="0" t="n">
        <v>40.1965493669066</v>
      </c>
      <c r="CP54" s="0" t="n">
        <v>39.4996349548837</v>
      </c>
      <c r="CQ54" s="0" t="n">
        <v>-0.696914412022849</v>
      </c>
      <c r="CR54" s="20" t="n">
        <f aca="false">(CQ54)^2</f>
        <v>0.485689697685154</v>
      </c>
      <c r="CU54" s="0" t="n">
        <v>39.5808250944804</v>
      </c>
      <c r="CV54" s="0" t="n">
        <v>40.0984863884189</v>
      </c>
      <c r="CW54" s="0" t="n">
        <v>40.2880850465456</v>
      </c>
      <c r="CX54" s="0" t="n">
        <v>0.18959865812667</v>
      </c>
      <c r="CY54" s="20" t="n">
        <f aca="false">(CX54)^2</f>
        <v>0.0359476511634338</v>
      </c>
      <c r="DC54" s="0" t="e">
        <v>#VALUE!</v>
      </c>
      <c r="DD54" s="0" t="e">
        <v>#VALUE!</v>
      </c>
      <c r="DE54" s="0" t="e">
        <v>#VALUE!</v>
      </c>
      <c r="DJ54" s="0" t="n">
        <v>0.641472915063013</v>
      </c>
      <c r="DK54" s="0" t="n">
        <v>0.381625612246499</v>
      </c>
      <c r="DL54" s="0" t="n">
        <v>1.25640485318571</v>
      </c>
      <c r="DQ54" s="0" t="n">
        <v>0.54411344770436</v>
      </c>
      <c r="DR54" s="0" t="n">
        <v>0.323704435114509</v>
      </c>
      <c r="DS54" s="0" t="n">
        <v>1.06571417175457</v>
      </c>
      <c r="DX54" s="0" t="n">
        <v>0.674470255664331</v>
      </c>
      <c r="DY54" s="0" t="n">
        <v>0.401256418183563</v>
      </c>
      <c r="DZ54" s="0" t="n">
        <v>1.32103426761648</v>
      </c>
    </row>
    <row r="55" customFormat="false" ht="13.2" hidden="false" customHeight="false" outlineLevel="0" collapsed="false">
      <c r="A55" s="0" t="s">
        <v>204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 t="n">
        <f aca="false">SQRT((G38^2)-(I38)^2)*0.161</f>
        <v>3.82367737449242</v>
      </c>
      <c r="AI55" s="8"/>
      <c r="AJ55" s="8"/>
      <c r="AK55" s="8"/>
      <c r="AL55" s="8"/>
      <c r="BE55" s="0" t="n">
        <f aca="false">BP5</f>
        <v>2.10037054511756</v>
      </c>
      <c r="BF55" s="12" t="n">
        <f aca="false">BJ5</f>
        <v>2.87283479667699</v>
      </c>
      <c r="BG55" s="8" t="n">
        <f aca="false">BM5</f>
        <v>1.52762990087134</v>
      </c>
      <c r="BH55" s="0" t="n">
        <f aca="false">BP5</f>
        <v>2.10037054511756</v>
      </c>
      <c r="BI55" s="12" t="n">
        <f aca="false">BL5</f>
        <v>2.3176102420111</v>
      </c>
      <c r="BJ55" s="8" t="n">
        <f aca="false">BM5</f>
        <v>1.52762990087134</v>
      </c>
      <c r="BL55" s="0" t="n">
        <f aca="false">BM5</f>
        <v>1.52762990087134</v>
      </c>
      <c r="BM55" s="8" t="n">
        <f aca="false">BL5</f>
        <v>2.3176102420111</v>
      </c>
      <c r="BN55" s="0" t="n">
        <f aca="false">BO5</f>
        <v>1.57978359661681</v>
      </c>
      <c r="BO55" s="8" t="n">
        <f aca="false">BN5</f>
        <v>8.08</v>
      </c>
      <c r="BP55" s="8" t="n">
        <f aca="false">BM5</f>
        <v>1.52762990087134</v>
      </c>
      <c r="BR55" s="20" t="n">
        <f aca="false">(BV55)^2</f>
        <v>0.0432148206220026</v>
      </c>
      <c r="BS55" s="8" t="n">
        <v>2.82411303198074</v>
      </c>
      <c r="BT55" s="0" t="n">
        <v>2.06749521239666</v>
      </c>
      <c r="BU55" s="0" t="n">
        <v>1.8596134656703</v>
      </c>
      <c r="BV55" s="0" t="n">
        <v>-0.20788174672636</v>
      </c>
      <c r="BW55" s="20" t="n">
        <f aca="false">(BV55)^2</f>
        <v>0.0432148206220026</v>
      </c>
      <c r="BZ55" s="0" t="n">
        <v>1.50379068305718</v>
      </c>
      <c r="CA55" s="0" t="n">
        <v>40.23085876674</v>
      </c>
      <c r="CB55" s="0" t="n">
        <v>40.3643638589132</v>
      </c>
      <c r="CC55" s="0" t="n">
        <v>0.13350509217323</v>
      </c>
      <c r="CD55" s="20" t="n">
        <f aca="false">(CC55)^2</f>
        <v>0.0178236096361827</v>
      </c>
      <c r="CF55" s="20"/>
      <c r="CG55" s="0" t="n">
        <v>1.50379068305718</v>
      </c>
      <c r="CH55" s="0" t="n">
        <v>40.6174230724804</v>
      </c>
      <c r="CI55" s="0" t="n">
        <v>41.0286745143046</v>
      </c>
      <c r="CJ55" s="0" t="n">
        <v>0.411251441824163</v>
      </c>
      <c r="CK55" s="20" t="n">
        <f aca="false">(CJ55)^2</f>
        <v>0.169127748402453</v>
      </c>
      <c r="CM55" s="20"/>
      <c r="CN55" s="0" t="n">
        <v>1.50379068305718</v>
      </c>
      <c r="CO55" s="0" t="n">
        <v>40.4906547015634</v>
      </c>
      <c r="CP55" s="0" t="n">
        <v>40.3849932800756</v>
      </c>
      <c r="CQ55" s="0" t="n">
        <v>-0.105661421487824</v>
      </c>
      <c r="CR55" s="20" t="n">
        <f aca="false">(CQ55)^2</f>
        <v>0.0111643359908275</v>
      </c>
      <c r="CU55" s="0" t="n">
        <v>40.3643638589132</v>
      </c>
      <c r="CV55" s="0" t="n">
        <v>40.7498539193693</v>
      </c>
      <c r="CW55" s="0" t="n">
        <v>41.0286745143046</v>
      </c>
      <c r="CX55" s="0" t="n">
        <v>0.278820594935326</v>
      </c>
      <c r="CY55" s="20" t="n">
        <f aca="false">(CX55)^2</f>
        <v>0.0777409241600889</v>
      </c>
      <c r="DC55" s="0" t="e">
        <v>#VALUE!</v>
      </c>
      <c r="DD55" s="0" t="e">
        <v>#VALUE!</v>
      </c>
      <c r="DE55" s="0" t="e">
        <v>#VALUE!</v>
      </c>
      <c r="DJ55" s="0" t="n">
        <v>0.53448869745269</v>
      </c>
      <c r="DK55" s="0" t="n">
        <v>0.317791067200158</v>
      </c>
      <c r="DL55" s="0" t="e">
        <v>#N/A</v>
      </c>
      <c r="DQ55" s="0" t="n">
        <v>0.509626595437354</v>
      </c>
      <c r="DR55" s="0" t="n">
        <v>0.269558369751185</v>
      </c>
      <c r="DS55" s="0" t="e">
        <v>#N/A</v>
      </c>
      <c r="DX55" s="0" t="n">
        <v>0.482497345999848</v>
      </c>
      <c r="DY55" s="0" t="n">
        <v>0.334138226742241</v>
      </c>
      <c r="DZ55" s="0" t="e">
        <v>#N/A</v>
      </c>
    </row>
    <row r="56" customFormat="false" ht="12.8" hidden="false" customHeight="false" outlineLevel="0" collapsed="false">
      <c r="A56" s="33" t="s">
        <v>205</v>
      </c>
      <c r="B56" s="8"/>
      <c r="C56" s="8"/>
      <c r="D56" s="8"/>
      <c r="E56" s="8"/>
      <c r="F56" s="22"/>
      <c r="G56" s="8"/>
      <c r="H56" s="8"/>
      <c r="I56" s="8"/>
      <c r="J56" s="3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 t="n">
        <f aca="false">SQRT((G39^2)-(I39)^2)*0.161</f>
        <v>2.06437004587557</v>
      </c>
      <c r="AI56" s="8"/>
      <c r="AJ56" s="8"/>
      <c r="AK56" s="8"/>
      <c r="AL56" s="8"/>
      <c r="BE56" s="0" t="n">
        <f aca="false">BP6</f>
        <v>1.43136376415899</v>
      </c>
      <c r="BF56" s="12" t="n">
        <f aca="false">BJ6</f>
        <v>2.8057379010057</v>
      </c>
      <c r="BG56" s="8" t="n">
        <f aca="false">BM6</f>
        <v>1.54530711646582</v>
      </c>
      <c r="BH56" s="0" t="n">
        <f aca="false">BP6</f>
        <v>1.43136376415899</v>
      </c>
      <c r="BI56" s="12" t="n">
        <f aca="false">BL6</f>
        <v>2.39479758741265</v>
      </c>
      <c r="BJ56" s="8" t="n">
        <f aca="false">BM6</f>
        <v>1.54530711646582</v>
      </c>
      <c r="BL56" s="0" t="n">
        <f aca="false">BM6</f>
        <v>1.54530711646582</v>
      </c>
      <c r="BM56" s="8" t="n">
        <f aca="false">BL6</f>
        <v>2.39479758741265</v>
      </c>
      <c r="BN56" s="0" t="n">
        <f aca="false">BO6</f>
        <v>1.41497334797082</v>
      </c>
      <c r="BO56" s="8" t="n">
        <f aca="false">BN6</f>
        <v>8.36</v>
      </c>
      <c r="BP56" s="8" t="n">
        <f aca="false">BM6</f>
        <v>1.54530711646582</v>
      </c>
      <c r="BR56" s="20" t="n">
        <f aca="false">(BV56)^2</f>
        <v>0.0543836190822534</v>
      </c>
      <c r="BS56" s="8" t="n">
        <v>3.10408301855785</v>
      </c>
      <c r="BT56" s="0" t="n">
        <v>2.2367392098369</v>
      </c>
      <c r="BU56" s="0" t="n">
        <v>2.46994216668405</v>
      </c>
      <c r="BV56" s="0" t="n">
        <v>0.233202956847149</v>
      </c>
      <c r="BW56" s="20" t="n">
        <f aca="false">(BV56)^2</f>
        <v>0.0543836190822534</v>
      </c>
      <c r="BZ56" s="0" t="n">
        <v>1.76937732607614</v>
      </c>
      <c r="CA56" s="0" t="n">
        <v>40.9705721969047</v>
      </c>
      <c r="CB56" s="0" t="n">
        <v>41.0032839602938</v>
      </c>
      <c r="CC56" s="0" t="n">
        <v>0.0327117633891234</v>
      </c>
      <c r="CD56" s="20" t="n">
        <f aca="false">(CC56)^2</f>
        <v>0.00107005946402599</v>
      </c>
      <c r="CF56" s="20"/>
      <c r="CG56" s="0" t="n">
        <v>1.76937732607614</v>
      </c>
      <c r="CH56" s="0" t="n">
        <v>41.1906905311401</v>
      </c>
      <c r="CI56" s="0" t="n">
        <v>41.1844537060535</v>
      </c>
      <c r="CJ56" s="0" t="n">
        <v>-0.00623682508660295</v>
      </c>
      <c r="CK56" s="20" t="n">
        <f aca="false">(CJ56)^2</f>
        <v>3.88979871608799E-005</v>
      </c>
      <c r="CM56" s="20"/>
      <c r="CN56" s="0" t="n">
        <v>1.76937732607614</v>
      </c>
      <c r="CO56" s="0" t="n">
        <v>41.1937587261367</v>
      </c>
      <c r="CP56" s="0" t="n">
        <v>41.1844537060535</v>
      </c>
      <c r="CQ56" s="0" t="n">
        <v>-0.00930502008320389</v>
      </c>
      <c r="CR56" s="20" t="n">
        <f aca="false">(CQ56)^2</f>
        <v>8.65833987488276E-005</v>
      </c>
      <c r="CU56" s="0" t="n">
        <v>41.0032839602938</v>
      </c>
      <c r="CV56" s="0" t="n">
        <v>41.2809977858914</v>
      </c>
      <c r="CW56" s="0" t="n">
        <v>41.1844537060535</v>
      </c>
      <c r="CX56" s="0" t="n">
        <v>-0.096544079837912</v>
      </c>
      <c r="CY56" s="20" t="n">
        <f aca="false">(CX56)^2</f>
        <v>0.00932075935174913</v>
      </c>
      <c r="DC56" s="0" t="e">
        <v>#VALUE!</v>
      </c>
      <c r="DD56" s="0" t="e">
        <v>#VALUE!</v>
      </c>
      <c r="DE56" s="0" t="e">
        <v>#VALUE!</v>
      </c>
      <c r="DJ56" s="0" t="n">
        <v>7.46314109760935</v>
      </c>
      <c r="DK56" s="0" t="n">
        <v>13</v>
      </c>
      <c r="DL56" s="0" t="e">
        <v>#N/A</v>
      </c>
      <c r="DQ56" s="0" t="n">
        <v>6.75520499179033</v>
      </c>
      <c r="DR56" s="0" t="n">
        <v>13</v>
      </c>
      <c r="DS56" s="0" t="e">
        <v>#N/A</v>
      </c>
      <c r="DX56" s="0" t="n">
        <v>6.06032205778426</v>
      </c>
      <c r="DY56" s="0" t="n">
        <v>13</v>
      </c>
      <c r="DZ56" s="0" t="e">
        <v>#N/A</v>
      </c>
    </row>
    <row r="57" customFormat="false" ht="12.8" hidden="false" customHeight="false" outlineLevel="0" collapsed="false">
      <c r="A57" s="33" t="s">
        <v>206</v>
      </c>
      <c r="B57" s="22"/>
      <c r="C57" s="22"/>
      <c r="D57" s="22"/>
      <c r="E57" s="22"/>
      <c r="F57" s="2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BE57" s="0" t="n">
        <f aca="false">BP7</f>
        <v>2.26717172840301</v>
      </c>
      <c r="BF57" s="12" t="n">
        <f aca="false">BJ7</f>
        <v>2.72333943354249</v>
      </c>
      <c r="BG57" s="8" t="n">
        <f aca="false">BM7</f>
        <v>1.44247976906445</v>
      </c>
      <c r="BH57" s="0" t="n">
        <f aca="false">BP7</f>
        <v>2.26717172840301</v>
      </c>
      <c r="BI57" s="12" t="n">
        <f aca="false">BL7</f>
        <v>2.41617635379349</v>
      </c>
      <c r="BJ57" s="8" t="n">
        <f aca="false">BM7</f>
        <v>1.44247976906445</v>
      </c>
      <c r="BL57" s="0" t="n">
        <f aca="false">BM7</f>
        <v>1.44247976906445</v>
      </c>
      <c r="BM57" s="8" t="n">
        <f aca="false">BL7</f>
        <v>2.41617635379349</v>
      </c>
      <c r="BN57" s="0" t="n">
        <f aca="false">BO7</f>
        <v>2.20682587603185</v>
      </c>
      <c r="BO57" s="8" t="n">
        <f aca="false">BN7</f>
        <v>7.98</v>
      </c>
      <c r="BP57" s="8" t="n">
        <f aca="false">BM7</f>
        <v>1.44247976906445</v>
      </c>
      <c r="BR57" s="20" t="n">
        <f aca="false">(BV57)^2</f>
        <v>0.00782101760583665</v>
      </c>
      <c r="BS57" s="8" t="n">
        <v>2.56730132345877</v>
      </c>
      <c r="BT57" s="0" t="n">
        <v>1.91225057110099</v>
      </c>
      <c r="BU57" s="0" t="n">
        <v>1.82381405372363</v>
      </c>
      <c r="BV57" s="0" t="n">
        <v>-0.0884365173773631</v>
      </c>
      <c r="BW57" s="20" t="n">
        <f aca="false">(BV57)^2</f>
        <v>0.00782101760583665</v>
      </c>
      <c r="BZ57" s="0" t="n">
        <v>1.23044892137827</v>
      </c>
      <c r="CA57" s="0" t="n">
        <v>39.4695457359324</v>
      </c>
      <c r="CB57" s="0" t="n">
        <v>39.4879266153321</v>
      </c>
      <c r="CC57" s="0" t="n">
        <v>0.0183808793996931</v>
      </c>
      <c r="CD57" s="20" t="n">
        <f aca="false">(CC57)^2</f>
        <v>0.000337856727506063</v>
      </c>
      <c r="CF57" s="20"/>
      <c r="CG57" s="0" t="n">
        <v>1.23044892137827</v>
      </c>
      <c r="CH57" s="0" t="n">
        <v>40.0274162284539</v>
      </c>
      <c r="CI57" s="0" t="n">
        <v>39.8774043417796</v>
      </c>
      <c r="CJ57" s="0" t="n">
        <v>-0.150011886674271</v>
      </c>
      <c r="CK57" s="20" t="n">
        <f aca="false">(CJ57)^2</f>
        <v>0.0225035661435743</v>
      </c>
      <c r="CM57" s="20"/>
      <c r="CN57" s="0" t="n">
        <v>1.23044892137827</v>
      </c>
      <c r="CO57" s="0" t="n">
        <v>39.7670200694307</v>
      </c>
      <c r="CP57" s="0" t="n">
        <v>39.4378067534722</v>
      </c>
      <c r="CQ57" s="0" t="n">
        <v>-0.329213315958484</v>
      </c>
      <c r="CR57" s="20" t="n">
        <f aca="false">(CQ57)^2</f>
        <v>0.10838140740438</v>
      </c>
      <c r="CU57" s="0" t="n">
        <v>39.4879266153321</v>
      </c>
      <c r="CV57" s="0" t="n">
        <v>40.0212584888706</v>
      </c>
      <c r="CW57" s="0" t="n">
        <v>39.8774043417796</v>
      </c>
      <c r="CX57" s="0" t="n">
        <v>-0.143854147090963</v>
      </c>
      <c r="CY57" s="20" t="n">
        <f aca="false">(CX57)^2</f>
        <v>0.0206940156352683</v>
      </c>
      <c r="DC57" s="0" t="e">
        <v>#VALUE!</v>
      </c>
      <c r="DD57" s="0" t="e">
        <v>#VALUE!</v>
      </c>
      <c r="DE57" s="0" t="e">
        <v>#VALUE!</v>
      </c>
      <c r="DJ57" s="0" t="n">
        <v>1.50742258908936</v>
      </c>
      <c r="DK57" s="0" t="n">
        <v>1.3128851110988</v>
      </c>
      <c r="DL57" s="0" t="e">
        <v>#N/A</v>
      </c>
      <c r="DQ57" s="0" t="n">
        <v>0.98168955574637</v>
      </c>
      <c r="DR57" s="0" t="n">
        <v>0.944602291137912</v>
      </c>
      <c r="DS57" s="0" t="e">
        <v>#N/A</v>
      </c>
      <c r="DX57" s="0" t="n">
        <v>1.35324997183722</v>
      </c>
      <c r="DY57" s="0" t="n">
        <v>1.45142860941584</v>
      </c>
      <c r="DZ57" s="0" t="e">
        <v>#N/A</v>
      </c>
    </row>
    <row r="58" customFormat="false" ht="12.8" hidden="false" customHeight="false" outlineLevel="0" collapsed="false">
      <c r="A58" s="0" t="s">
        <v>207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BE58" s="0" t="n">
        <f aca="false">BP8</f>
        <v>1.93449845124357</v>
      </c>
      <c r="BF58" s="12" t="n">
        <f aca="false">BJ8</f>
        <v>2.52960348518892</v>
      </c>
      <c r="BG58" s="8" t="n">
        <f aca="false">BM8</f>
        <v>1.53781909507327</v>
      </c>
      <c r="BH58" s="0" t="n">
        <f aca="false">BP8</f>
        <v>1.93449845124357</v>
      </c>
      <c r="BI58" s="12" t="n">
        <f aca="false">BL8</f>
        <v>2.17640387683549</v>
      </c>
      <c r="BJ58" s="8" t="n">
        <f aca="false">BM8</f>
        <v>1.53781909507327</v>
      </c>
      <c r="BL58" s="0" t="n">
        <f aca="false">BM8</f>
        <v>1.53781909507327</v>
      </c>
      <c r="BM58" s="8" t="n">
        <f aca="false">BL8</f>
        <v>2.17640387683549</v>
      </c>
      <c r="BN58" s="0" t="n">
        <f aca="false">BO8</f>
        <v>2.03742649794062</v>
      </c>
      <c r="BO58" s="8" t="n">
        <f aca="false">BN8</f>
        <v>8.25</v>
      </c>
      <c r="BP58" s="8" t="n">
        <f aca="false">BM8</f>
        <v>1.53781909507327</v>
      </c>
      <c r="BR58" s="20" t="n">
        <f aca="false">(BV58)^2</f>
        <v>0.000281150434317043</v>
      </c>
      <c r="BS58" s="8" t="n">
        <v>2.59311533827612</v>
      </c>
      <c r="BT58" s="0" t="n">
        <v>1.92785534042317</v>
      </c>
      <c r="BU58" s="0" t="n">
        <v>1.94462288151652</v>
      </c>
      <c r="BV58" s="0" t="n">
        <v>0.0167675410933459</v>
      </c>
      <c r="BW58" s="20" t="n">
        <f aca="false">(BV58)^2</f>
        <v>0.000281150434317043</v>
      </c>
      <c r="BZ58" s="0" t="n">
        <v>1.24303804868629</v>
      </c>
      <c r="CA58" s="0" t="n">
        <v>39.5046090449827</v>
      </c>
      <c r="CB58" s="0" t="n">
        <v>39.8907352023789</v>
      </c>
      <c r="CC58" s="0" t="n">
        <v>0.386126157396234</v>
      </c>
      <c r="CD58" s="20" t="n">
        <f aca="false">(CC58)^2</f>
        <v>0.149093409425581</v>
      </c>
      <c r="CF58" s="20"/>
      <c r="CG58" s="0" t="n">
        <v>1.24303804868629</v>
      </c>
      <c r="CH58" s="0" t="n">
        <v>40.0545897976386</v>
      </c>
      <c r="CI58" s="0" t="n">
        <v>40.3666338830954</v>
      </c>
      <c r="CJ58" s="0" t="n">
        <v>0.312044085456819</v>
      </c>
      <c r="CK58" s="20" t="n">
        <f aca="false">(CJ58)^2</f>
        <v>0.0973715112685824</v>
      </c>
      <c r="CM58" s="20"/>
      <c r="CN58" s="0" t="n">
        <v>1.24303804868629</v>
      </c>
      <c r="CO58" s="0" t="n">
        <v>39.8003480484869</v>
      </c>
      <c r="CP58" s="0" t="n">
        <v>40.0674853105121</v>
      </c>
      <c r="CQ58" s="0" t="n">
        <v>0.267137262025244</v>
      </c>
      <c r="CR58" s="20" t="n">
        <f aca="false">(CQ58)^2</f>
        <v>0.0713623167623439</v>
      </c>
      <c r="CU58" s="0" t="n">
        <v>39.8907352023789</v>
      </c>
      <c r="CV58" s="0" t="n">
        <v>40.3561193109515</v>
      </c>
      <c r="CW58" s="0" t="n">
        <v>40.3666338830954</v>
      </c>
      <c r="CX58" s="0" t="n">
        <v>0.010514572143876</v>
      </c>
      <c r="CY58" s="20" t="n">
        <f aca="false">(CX58)^2</f>
        <v>0.000110556227368772</v>
      </c>
    </row>
    <row r="59" customFormat="false" ht="13.2" hidden="false" customHeight="false" outlineLevel="0" collapsed="false">
      <c r="A59" s="0" t="s">
        <v>208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BE59" s="0" t="n">
        <f aca="false">BP9</f>
        <v>1.70757017609794</v>
      </c>
      <c r="BF59" s="12" t="n">
        <f aca="false">BJ9</f>
        <v>2.40587460839648</v>
      </c>
      <c r="BG59" s="8" t="n">
        <f aca="false">BM9</f>
        <v>1.3541084391474</v>
      </c>
      <c r="BH59" s="0" t="n">
        <f aca="false">BP9</f>
        <v>1.70757017609794</v>
      </c>
      <c r="BI59" s="12" t="n">
        <f aca="false">BL9</f>
        <v>2.06468635947822</v>
      </c>
      <c r="BJ59" s="8" t="n">
        <f aca="false">BM9</f>
        <v>1.3541084391474</v>
      </c>
      <c r="BL59" s="0" t="n">
        <f aca="false">BM9</f>
        <v>1.3541084391474</v>
      </c>
      <c r="BM59" s="8" t="n">
        <f aca="false">BL9</f>
        <v>2.06468635947822</v>
      </c>
      <c r="BN59" s="0" t="n">
        <f aca="false">BO9</f>
        <v>1.75587485567249</v>
      </c>
      <c r="BO59" s="8" t="n">
        <f aca="false">BN9</f>
        <v>8.09</v>
      </c>
      <c r="BP59" s="8" t="n">
        <f aca="false">BM9</f>
        <v>1.3541084391474</v>
      </c>
      <c r="BR59" s="20" t="n">
        <f aca="false">(BV59)^2</f>
        <v>0.000249435129712357</v>
      </c>
      <c r="BS59" s="8" t="n">
        <v>2.59318251388042</v>
      </c>
      <c r="BT59" s="0" t="n">
        <v>1.92789594858958</v>
      </c>
      <c r="BU59" s="0" t="n">
        <v>1.91210243315721</v>
      </c>
      <c r="BV59" s="0" t="n">
        <v>-0.0157935154323652</v>
      </c>
      <c r="BW59" s="20" t="n">
        <f aca="false">(BV59)^2</f>
        <v>0.000249435129712357</v>
      </c>
      <c r="BZ59" s="0" t="n">
        <v>1.3096301674259</v>
      </c>
      <c r="CA59" s="0" t="n">
        <v>39.6900817932161</v>
      </c>
      <c r="CB59" s="0" t="n">
        <v>39.8855611883631</v>
      </c>
      <c r="CC59" s="0" t="n">
        <v>0.195479395147018</v>
      </c>
      <c r="CD59" s="20" t="n">
        <f aca="false">(CC59)^2</f>
        <v>0.038212193927044</v>
      </c>
      <c r="CF59" s="20"/>
      <c r="CG59" s="0" t="n">
        <v>1.3096301674259</v>
      </c>
      <c r="CH59" s="0" t="n">
        <v>40.1983285573995</v>
      </c>
      <c r="CI59" s="0" t="n">
        <v>40.3210963526474</v>
      </c>
      <c r="CJ59" s="0" t="n">
        <v>0.122767795247867</v>
      </c>
      <c r="CK59" s="20" t="n">
        <f aca="false">(CJ59)^2</f>
        <v>0.0150719315500222</v>
      </c>
      <c r="CM59" s="20"/>
      <c r="CN59" s="0" t="n">
        <v>1.3096301674259</v>
      </c>
      <c r="CO59" s="0" t="n">
        <v>39.9766415027</v>
      </c>
      <c r="CP59" s="0" t="n">
        <v>40.3210963526474</v>
      </c>
      <c r="CQ59" s="0" t="n">
        <v>0.344454849947418</v>
      </c>
      <c r="CR59" s="20" t="n">
        <f aca="false">(CQ59)^2</f>
        <v>0.118649143652298</v>
      </c>
      <c r="CU59" s="0" t="n">
        <v>39.8855611883631</v>
      </c>
      <c r="CV59" s="0" t="n">
        <v>40.3518180754702</v>
      </c>
      <c r="CW59" s="0" t="n">
        <v>40.3210963526474</v>
      </c>
      <c r="CX59" s="0" t="n">
        <v>-0.0307217228227969</v>
      </c>
      <c r="CY59" s="20" t="n">
        <f aca="false">(CX59)^2</f>
        <v>0.000943824253200763</v>
      </c>
      <c r="DC59" s="0" t="s">
        <v>100</v>
      </c>
      <c r="DJ59" s="0" t="s">
        <v>100</v>
      </c>
      <c r="DQ59" s="0" t="s">
        <v>100</v>
      </c>
      <c r="DX59" s="0" t="s">
        <v>100</v>
      </c>
    </row>
    <row r="60" customFormat="false" ht="13.2" hidden="false" customHeight="false" outlineLevel="0" collapsed="false">
      <c r="A60" s="0" t="s">
        <v>209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BE60" s="0" t="n">
        <f aca="false">BP10</f>
        <v>0.778151250383644</v>
      </c>
      <c r="BF60" s="12" t="n">
        <f aca="false">BJ10</f>
        <v>3.06295399039048</v>
      </c>
      <c r="BG60" s="8" t="n">
        <f aca="false">BM10</f>
        <v>1.42488163663107</v>
      </c>
      <c r="BH60" s="0" t="n">
        <f aca="false">BP10</f>
        <v>0.778151250383644</v>
      </c>
      <c r="BI60" s="12" t="n">
        <f aca="false">BL10</f>
        <v>2.28534020026503</v>
      </c>
      <c r="BJ60" s="8" t="n">
        <f aca="false">BM10</f>
        <v>1.42488163663107</v>
      </c>
      <c r="BL60" s="0" t="n">
        <f aca="false">BM10</f>
        <v>1.42488163663107</v>
      </c>
      <c r="BM60" s="8" t="n">
        <f aca="false">BL10</f>
        <v>2.28534020026503</v>
      </c>
      <c r="BN60" s="0" t="n">
        <f aca="false">BO10</f>
        <v>1.30102999566398</v>
      </c>
      <c r="BO60" s="8" t="n">
        <f aca="false">BN10</f>
        <v>7.96</v>
      </c>
      <c r="BP60" s="8" t="n">
        <f aca="false">BM10</f>
        <v>1.42488163663107</v>
      </c>
      <c r="BR60" s="20" t="n">
        <f aca="false">(BV60)^2</f>
        <v>0.00232657871763881</v>
      </c>
      <c r="BS60" s="8" t="n">
        <v>2.70206666441626</v>
      </c>
      <c r="BT60" s="0" t="n">
        <v>1.99371725007932</v>
      </c>
      <c r="BU60" s="0" t="n">
        <v>2.04195187164556</v>
      </c>
      <c r="BV60" s="0" t="n">
        <v>0.0482346215662444</v>
      </c>
      <c r="BW60" s="20" t="n">
        <f aca="false">(BV60)^2</f>
        <v>0.00232657871763881</v>
      </c>
      <c r="BZ60" s="0" t="n">
        <v>1.54900326202579</v>
      </c>
      <c r="CA60" s="0" t="n">
        <v>40.356785099086</v>
      </c>
      <c r="CB60" s="0" t="n">
        <v>40.8602418490241</v>
      </c>
      <c r="CC60" s="0" t="n">
        <v>0.503456749938138</v>
      </c>
      <c r="CD60" s="20" t="n">
        <f aca="false">(CC60)^2</f>
        <v>0.253468699058273</v>
      </c>
      <c r="CF60" s="20"/>
      <c r="CG60" s="0" t="n">
        <v>1.54900326202579</v>
      </c>
      <c r="CH60" s="0" t="n">
        <v>40.7150142011237</v>
      </c>
      <c r="CI60" s="0" t="n">
        <v>41.2889669095893</v>
      </c>
      <c r="CJ60" s="0" t="n">
        <v>0.57395270846564</v>
      </c>
      <c r="CK60" s="20" t="n">
        <f aca="false">(CJ60)^2</f>
        <v>0.329421711555044</v>
      </c>
      <c r="CM60" s="20"/>
      <c r="CN60" s="0" t="n">
        <v>1.54900326202579</v>
      </c>
      <c r="CO60" s="0" t="n">
        <v>40.6103487715393</v>
      </c>
      <c r="CP60" s="0" t="n">
        <v>40.7432526092177</v>
      </c>
      <c r="CQ60" s="0" t="n">
        <v>0.132903837678406</v>
      </c>
      <c r="CR60" s="20" t="n">
        <f aca="false">(CQ60)^2</f>
        <v>0.017663430069648</v>
      </c>
      <c r="CU60" s="0" t="n">
        <v>40.8602418490241</v>
      </c>
      <c r="CV60" s="0" t="n">
        <v>41.1620847326143</v>
      </c>
      <c r="CW60" s="0" t="n">
        <v>41.2889669095893</v>
      </c>
      <c r="CX60" s="0" t="n">
        <v>0.126882176974981</v>
      </c>
      <c r="CY60" s="20" t="n">
        <f aca="false">(CX60)^2</f>
        <v>0.0160990868339103</v>
      </c>
      <c r="DC60" s="0" t="s">
        <v>103</v>
      </c>
      <c r="DD60" s="0" t="e">
        <f aca="false">$DC$55</f>
        <v>#VALUE!</v>
      </c>
      <c r="DJ60" s="0" t="s">
        <v>103</v>
      </c>
      <c r="DK60" s="0" t="n">
        <f aca="false">$DJ$55</f>
        <v>0.53448869745269</v>
      </c>
      <c r="DQ60" s="0" t="s">
        <v>103</v>
      </c>
      <c r="DR60" s="0" t="n">
        <f aca="false">$DQ$55</f>
        <v>0.509626595437354</v>
      </c>
      <c r="DX60" s="0" t="s">
        <v>103</v>
      </c>
      <c r="DY60" s="0" t="n">
        <f aca="false">$DX$55</f>
        <v>0.482497345999848</v>
      </c>
    </row>
    <row r="61" customFormat="false" ht="13.2" hidden="false" customHeight="false" outlineLevel="0" collapsed="false">
      <c r="A61" s="0" t="s">
        <v>210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BE61" s="0" t="n">
        <f aca="false">BP11</f>
        <v>1.47712125471966</v>
      </c>
      <c r="BF61" s="12" t="n">
        <f aca="false">BJ11</f>
        <v>2.96671683363053</v>
      </c>
      <c r="BG61" s="8" t="n">
        <f aca="false">BM11</f>
        <v>1.43775056282039</v>
      </c>
      <c r="BH61" s="0" t="n">
        <f aca="false">BP11</f>
        <v>1.47712125471966</v>
      </c>
      <c r="BI61" s="12" t="n">
        <f aca="false">BL11</f>
        <v>2.24404692251784</v>
      </c>
      <c r="BJ61" s="8" t="n">
        <f aca="false">BM11</f>
        <v>1.43775056282039</v>
      </c>
      <c r="BL61" s="0" t="n">
        <f aca="false">BM11</f>
        <v>1.43775056282039</v>
      </c>
      <c r="BM61" s="8" t="n">
        <f aca="false">BL11</f>
        <v>2.24404692251784</v>
      </c>
      <c r="BN61" s="0" t="n">
        <f aca="false">BO11</f>
        <v>1.79239168949825</v>
      </c>
      <c r="BO61" s="8" t="n">
        <f aca="false">BN11</f>
        <v>8.01</v>
      </c>
      <c r="BP61" s="8" t="n">
        <f aca="false">BM11</f>
        <v>1.43775056282039</v>
      </c>
      <c r="BR61" s="20" t="n">
        <f aca="false">(BV61)^2</f>
        <v>0.00415972022520715</v>
      </c>
      <c r="BS61" s="8" t="n">
        <v>2.85513640282165</v>
      </c>
      <c r="BT61" s="0" t="n">
        <v>2.08624907726403</v>
      </c>
      <c r="BU61" s="0" t="n">
        <v>2.02175318417612</v>
      </c>
      <c r="BV61" s="0" t="n">
        <v>-0.0644958930879103</v>
      </c>
      <c r="BW61" s="20" t="n">
        <f aca="false">(BV61)^2</f>
        <v>0.00415972022520715</v>
      </c>
      <c r="BZ61" s="0" t="n">
        <v>1.38021124171161</v>
      </c>
      <c r="CA61" s="0" t="n">
        <v>39.8866646031463</v>
      </c>
      <c r="CB61" s="0" t="n">
        <v>39.5307026003539</v>
      </c>
      <c r="CC61" s="0" t="n">
        <v>-0.355962002792367</v>
      </c>
      <c r="CD61" s="20" t="n">
        <f aca="false">(CC61)^2</f>
        <v>0.126708947431953</v>
      </c>
      <c r="CF61" s="20"/>
      <c r="CG61" s="0" t="n">
        <v>1.38021124171161</v>
      </c>
      <c r="CH61" s="0" t="n">
        <v>40.3506774580269</v>
      </c>
      <c r="CI61" s="0" t="n">
        <v>40.3112205857885</v>
      </c>
      <c r="CJ61" s="0" t="n">
        <v>-0.0394568722383539</v>
      </c>
      <c r="CK61" s="20" t="n">
        <f aca="false">(CJ61)^2</f>
        <v>0.00155684476683378</v>
      </c>
      <c r="CM61" s="20"/>
      <c r="CN61" s="0" t="n">
        <v>1.38021124171161</v>
      </c>
      <c r="CO61" s="0" t="n">
        <v>40.1634951668184</v>
      </c>
      <c r="CP61" s="0" t="n">
        <v>39.8411325938</v>
      </c>
      <c r="CQ61" s="0" t="n">
        <v>-0.322362573018353</v>
      </c>
      <c r="CR61" s="20" t="n">
        <f aca="false">(CQ61)^2</f>
        <v>0.103917628483013</v>
      </c>
      <c r="CU61" s="0" t="n">
        <v>39.5307026003539</v>
      </c>
      <c r="CV61" s="0" t="n">
        <v>40.0568188070225</v>
      </c>
      <c r="CW61" s="0" t="n">
        <v>40.3112205857885</v>
      </c>
      <c r="CX61" s="0" t="n">
        <v>0.254401778765981</v>
      </c>
      <c r="CY61" s="20" t="n">
        <f aca="false">(CX61)^2</f>
        <v>0.0647202650392952</v>
      </c>
      <c r="DC61" s="0" t="s">
        <v>106</v>
      </c>
      <c r="DD61" s="0" t="e">
        <f aca="false">$DD$55</f>
        <v>#VALUE!</v>
      </c>
      <c r="DJ61" s="0" t="s">
        <v>106</v>
      </c>
      <c r="DK61" s="0" t="n">
        <f aca="false">$DK$55</f>
        <v>0.317791067200158</v>
      </c>
      <c r="DQ61" s="0" t="s">
        <v>106</v>
      </c>
      <c r="DR61" s="0" t="n">
        <f aca="false">$DR$55</f>
        <v>0.269558369751185</v>
      </c>
      <c r="DX61" s="0" t="s">
        <v>106</v>
      </c>
      <c r="DY61" s="0" t="n">
        <f aca="false">$DY$55</f>
        <v>0.334138226742241</v>
      </c>
    </row>
    <row r="62" customFormat="false" ht="12.8" hidden="false" customHeight="false" outlineLevel="0" collapsed="false">
      <c r="A62" s="0" t="s">
        <v>211</v>
      </c>
      <c r="B62" s="8" t="n">
        <v>16.5</v>
      </c>
      <c r="C62" s="8" t="n">
        <v>317.04</v>
      </c>
      <c r="D62" s="8" t="n">
        <v>18.15</v>
      </c>
      <c r="E62" s="8" t="n">
        <v>350.79</v>
      </c>
      <c r="F62" s="8" t="n">
        <f aca="false">645.34/2</f>
        <v>322.67</v>
      </c>
      <c r="G62" s="8" t="n">
        <f aca="false">B62+(D62-B62)*((F62-C62)/(E62-C62))</f>
        <v>16.7752444444444</v>
      </c>
      <c r="H62" s="8" t="n">
        <v>0.3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BE62" s="0" t="n">
        <f aca="false">BP12</f>
        <v>2.22530928172586</v>
      </c>
      <c r="BF62" s="12" t="n">
        <f aca="false">BJ12</f>
        <v>2.33023762449035</v>
      </c>
      <c r="BG62" s="8" t="n">
        <f aca="false">BM12</f>
        <v>1.31386722036915</v>
      </c>
      <c r="BH62" s="0" t="n">
        <f aca="false">BP12</f>
        <v>2.22530928172586</v>
      </c>
      <c r="BI62" s="12" t="n">
        <f aca="false">BL12</f>
        <v>1.60008622473531</v>
      </c>
      <c r="BJ62" s="8" t="n">
        <f aca="false">BM12</f>
        <v>1.31386722036915</v>
      </c>
      <c r="BL62" s="0" t="n">
        <f aca="false">BM12</f>
        <v>1.31386722036915</v>
      </c>
      <c r="BM62" s="8" t="n">
        <f aca="false">BL12</f>
        <v>1.60008622473531</v>
      </c>
      <c r="BN62" s="0" t="n">
        <f aca="false">BO12</f>
        <v>1.98677173426624</v>
      </c>
      <c r="BO62" s="8" t="n">
        <f aca="false">BN12</f>
        <v>7.99</v>
      </c>
      <c r="BP62" s="8" t="n">
        <f aca="false">BM12</f>
        <v>1.31386722036915</v>
      </c>
      <c r="BR62" s="20" t="n">
        <f aca="false">(BV62)^2</f>
        <v>0.00438659445371404</v>
      </c>
      <c r="BS62" s="8" t="n">
        <v>2.7281271270983</v>
      </c>
      <c r="BT62" s="0" t="n">
        <v>2.00947099901996</v>
      </c>
      <c r="BU62" s="0" t="n">
        <v>2.07570236963626</v>
      </c>
      <c r="BV62" s="0" t="n">
        <v>0.0662313706163027</v>
      </c>
      <c r="BW62" s="20" t="n">
        <f aca="false">(BV62)^2</f>
        <v>0.00438659445371404</v>
      </c>
      <c r="BZ62" s="0" t="n">
        <v>1.41161970596323</v>
      </c>
      <c r="CA62" s="0" t="n">
        <v>39.9741436365934</v>
      </c>
      <c r="CB62" s="0" t="n">
        <v>39.4259659076773</v>
      </c>
      <c r="CC62" s="0" t="n">
        <v>-0.548177728916109</v>
      </c>
      <c r="CD62" s="20" t="n">
        <f aca="false">(CC62)^2</f>
        <v>0.300498822479623</v>
      </c>
      <c r="CF62" s="20"/>
      <c r="CG62" s="0" t="n">
        <v>1.41161970596323</v>
      </c>
      <c r="CH62" s="0" t="n">
        <v>40.4184724731574</v>
      </c>
      <c r="CI62" s="0" t="n">
        <v>39.794334988839</v>
      </c>
      <c r="CJ62" s="0" t="n">
        <v>-0.624137484318361</v>
      </c>
      <c r="CK62" s="20" t="n">
        <f aca="false">(CJ62)^2</f>
        <v>0.389547599331252</v>
      </c>
      <c r="CM62" s="20"/>
      <c r="CN62" s="0" t="n">
        <v>1.41161970596323</v>
      </c>
      <c r="CO62" s="0" t="n">
        <v>40.2466447460666</v>
      </c>
      <c r="CP62" s="0" t="n">
        <v>39.794334988839</v>
      </c>
      <c r="CQ62" s="0" t="n">
        <v>-0.452309757227596</v>
      </c>
      <c r="CR62" s="20" t="n">
        <f aca="false">(CQ62)^2</f>
        <v>0.204584116483287</v>
      </c>
      <c r="CU62" s="0" t="n">
        <v>39.4259659076773</v>
      </c>
      <c r="CV62" s="0" t="n">
        <v>39.9697496229496</v>
      </c>
      <c r="CW62" s="0" t="n">
        <v>39.794334988839</v>
      </c>
      <c r="CX62" s="0" t="n">
        <v>-0.175414634110609</v>
      </c>
      <c r="CY62" s="20" t="n">
        <f aca="false">(CX62)^2</f>
        <v>0.0307702938601589</v>
      </c>
      <c r="DC62" s="0" t="s">
        <v>109</v>
      </c>
      <c r="DD62" s="0" t="n">
        <f aca="false">2</f>
        <v>2</v>
      </c>
      <c r="DJ62" s="0" t="s">
        <v>109</v>
      </c>
      <c r="DK62" s="0" t="n">
        <f aca="false">2</f>
        <v>2</v>
      </c>
      <c r="DQ62" s="0" t="s">
        <v>109</v>
      </c>
      <c r="DR62" s="0" t="n">
        <f aca="false">2</f>
        <v>2</v>
      </c>
      <c r="DX62" s="0" t="s">
        <v>109</v>
      </c>
      <c r="DY62" s="0" t="n">
        <f aca="false">2</f>
        <v>2</v>
      </c>
    </row>
    <row r="63" customFormat="false" ht="12.8" hidden="false" customHeight="false" outlineLevel="0" collapsed="false">
      <c r="A63" s="0" t="s">
        <v>212</v>
      </c>
      <c r="B63" s="8" t="n">
        <v>3.68</v>
      </c>
      <c r="C63" s="8" t="n">
        <v>17.346</v>
      </c>
      <c r="D63" s="8" t="n">
        <v>3.97</v>
      </c>
      <c r="E63" s="8" t="n">
        <v>20.246</v>
      </c>
      <c r="F63" s="8" t="n">
        <f aca="false">34.79/2</f>
        <v>17.395</v>
      </c>
      <c r="G63" s="8" t="n">
        <f aca="false">B63+(D63-B63)*((F63-C63)/(E63-C63))</f>
        <v>3.6849</v>
      </c>
      <c r="H63" s="8" t="n">
        <v>0.15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BE63" s="0" t="n">
        <f aca="false">BP13</f>
        <v>2.32428245529769</v>
      </c>
      <c r="BF63" s="12" t="n">
        <f aca="false">BJ13</f>
        <v>2.28501935429668</v>
      </c>
      <c r="BG63" s="8" t="n">
        <f aca="false">BM13</f>
        <v>1.51719589794997</v>
      </c>
      <c r="BH63" s="0" t="n">
        <f aca="false">BP13</f>
        <v>2.32428245529769</v>
      </c>
      <c r="BI63" s="12" t="n">
        <f aca="false">BL13</f>
        <v>1.37561164684667</v>
      </c>
      <c r="BJ63" s="8" t="n">
        <f aca="false">BM13</f>
        <v>1.51719589794997</v>
      </c>
      <c r="BL63" s="0" t="n">
        <f aca="false">BM13</f>
        <v>1.51719589794997</v>
      </c>
      <c r="BM63" s="8" t="n">
        <f aca="false">BL13</f>
        <v>1.37561164684667</v>
      </c>
      <c r="BN63" s="0" t="n">
        <f aca="false">BO13</f>
        <v>2.26481782300954</v>
      </c>
      <c r="BO63" s="8" t="n">
        <f aca="false">BN13</f>
        <v>8.07</v>
      </c>
      <c r="BP63" s="8" t="n">
        <f aca="false">BM13</f>
        <v>1.51719589794997</v>
      </c>
      <c r="BR63" s="20" t="n">
        <f aca="false">(BV63)^2</f>
        <v>0.135566011400423</v>
      </c>
      <c r="BS63" s="8" t="n">
        <v>2.60593617253213</v>
      </c>
      <c r="BT63" s="0" t="n">
        <v>1.93560563275463</v>
      </c>
      <c r="BU63" s="0" t="n">
        <v>2.30379853246947</v>
      </c>
      <c r="BV63" s="0" t="n">
        <v>0.368192899714842</v>
      </c>
      <c r="BW63" s="20" t="n">
        <f aca="false">(BV63)^2</f>
        <v>0.135566011400423</v>
      </c>
      <c r="BZ63" s="0" t="n">
        <v>1.45484486000851</v>
      </c>
      <c r="CA63" s="0" t="n">
        <v>40.0945345817282</v>
      </c>
      <c r="CB63" s="0" t="n">
        <v>39.9477947317714</v>
      </c>
      <c r="CC63" s="0" t="n">
        <v>-0.146739849956816</v>
      </c>
      <c r="CD63" s="20" t="n">
        <f aca="false">(CC63)^2</f>
        <v>0.0215325835653489</v>
      </c>
      <c r="CF63" s="20"/>
      <c r="CG63" s="0" t="n">
        <v>1.45484486000851</v>
      </c>
      <c r="CH63" s="0" t="n">
        <v>40.5117737549087</v>
      </c>
      <c r="CI63" s="0" t="n">
        <v>40.1481123266225</v>
      </c>
      <c r="CJ63" s="0" t="n">
        <v>-0.363661428286214</v>
      </c>
      <c r="CK63" s="20" t="n">
        <f aca="false">(CJ63)^2</f>
        <v>0.132249634423169</v>
      </c>
      <c r="CM63" s="20"/>
      <c r="CN63" s="0" t="n">
        <v>1.45484486000851</v>
      </c>
      <c r="CO63" s="0" t="n">
        <v>40.3610773825372</v>
      </c>
      <c r="CP63" s="0" t="n">
        <v>40.1481123266225</v>
      </c>
      <c r="CQ63" s="0" t="n">
        <v>-0.212965055914694</v>
      </c>
      <c r="CR63" s="20" t="n">
        <f aca="false">(CQ63)^2</f>
        <v>0.0453541150407487</v>
      </c>
      <c r="CU63" s="0" t="n">
        <v>39.9477947317714</v>
      </c>
      <c r="CV63" s="0" t="n">
        <v>40.4035537538466</v>
      </c>
      <c r="CW63" s="0" t="n">
        <v>40.1481123266225</v>
      </c>
      <c r="CX63" s="0" t="n">
        <v>-0.25544142722412</v>
      </c>
      <c r="CY63" s="20" t="n">
        <f aca="false">(CX63)^2</f>
        <v>0.0652503227422956</v>
      </c>
      <c r="DC63" s="0" t="s">
        <v>112</v>
      </c>
      <c r="DD63" s="0" t="n">
        <f aca="false">16</f>
        <v>16</v>
      </c>
      <c r="DJ63" s="0" t="s">
        <v>112</v>
      </c>
      <c r="DK63" s="0" t="n">
        <f aca="false">16</f>
        <v>16</v>
      </c>
      <c r="DQ63" s="0" t="s">
        <v>112</v>
      </c>
      <c r="DR63" s="0" t="n">
        <f aca="false">16</f>
        <v>16</v>
      </c>
      <c r="DX63" s="0" t="s">
        <v>112</v>
      </c>
      <c r="DY63" s="0" t="n">
        <f aca="false">16</f>
        <v>16</v>
      </c>
    </row>
    <row r="64" customFormat="false" ht="12.8" hidden="false" customHeight="false" outlineLevel="0" collapsed="false">
      <c r="A64" s="0" t="s">
        <v>205</v>
      </c>
      <c r="B64" s="8" t="n">
        <v>5.4</v>
      </c>
      <c r="C64" s="8" t="n">
        <v>158.38</v>
      </c>
      <c r="D64" s="8" t="n">
        <v>5.83</v>
      </c>
      <c r="E64" s="8" t="n">
        <v>186.39</v>
      </c>
      <c r="F64" s="8" t="n">
        <f aca="false">319.34/2</f>
        <v>159.67</v>
      </c>
      <c r="G64" s="8" t="n">
        <f aca="false">B64+(D64-B64)*((F64-C64)/(E64-C64))</f>
        <v>5.41980364155659</v>
      </c>
      <c r="H64" s="8" t="n">
        <v>0.1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BE64" s="0" t="n">
        <f aca="false">BP14</f>
        <v>1.74036268949424</v>
      </c>
      <c r="BF64" s="12" t="n">
        <f aca="false">BJ14</f>
        <v>2.18948247828467</v>
      </c>
      <c r="BG64" s="8" t="n">
        <f aca="false">BM14</f>
        <v>1.32221929473392</v>
      </c>
      <c r="BH64" s="0" t="n">
        <f aca="false">BP14</f>
        <v>1.74036268949424</v>
      </c>
      <c r="BI64" s="12" t="n">
        <f aca="false">BL14</f>
        <v>1.68490801536986</v>
      </c>
      <c r="BJ64" s="8" t="n">
        <f aca="false">BM14</f>
        <v>1.32221929473392</v>
      </c>
      <c r="BL64" s="0" t="n">
        <f aca="false">BM14</f>
        <v>1.32221929473392</v>
      </c>
      <c r="BM64" s="8" t="n">
        <f aca="false">BL14</f>
        <v>1.68490801536986</v>
      </c>
      <c r="BN64" s="0" t="n">
        <f aca="false">BO14</f>
        <v>1.69019608002851</v>
      </c>
      <c r="BO64" s="8" t="n">
        <f aca="false">BN14</f>
        <v>8.07</v>
      </c>
      <c r="BP64" s="8" t="n">
        <f aca="false">BM14</f>
        <v>1.32221929473392</v>
      </c>
      <c r="BR64" s="20" t="n">
        <f aca="false">(BV64)^2</f>
        <v>0.229721703266585</v>
      </c>
      <c r="BS64" s="8" t="n">
        <v>2.81672091333267</v>
      </c>
      <c r="BT64" s="0" t="n">
        <v>2.0630266201563</v>
      </c>
      <c r="BU64" s="0" t="n">
        <v>1.58373370004733</v>
      </c>
      <c r="BV64" s="0" t="n">
        <v>-0.479292920108971</v>
      </c>
      <c r="BW64" s="20" t="n">
        <f aca="false">(BV64)^2</f>
        <v>0.229721703266585</v>
      </c>
      <c r="BZ64" s="0" t="n">
        <v>1.24797326636181</v>
      </c>
      <c r="CA64" s="0" t="n">
        <v>39.5183546413495</v>
      </c>
      <c r="CB64" s="0" t="n">
        <v>39.3876198532141</v>
      </c>
      <c r="CC64" s="0" t="n">
        <v>-0.130734788135428</v>
      </c>
      <c r="CD64" s="20" t="n">
        <f aca="false">(CC64)^2</f>
        <v>0.0170915848288151</v>
      </c>
      <c r="CF64" s="20"/>
      <c r="CG64" s="0" t="n">
        <v>1.24797326636181</v>
      </c>
      <c r="CH64" s="0" t="n">
        <v>40.0652424406428</v>
      </c>
      <c r="CI64" s="0" t="n">
        <v>39.9396196552323</v>
      </c>
      <c r="CJ64" s="0" t="n">
        <v>-0.125622785410535</v>
      </c>
      <c r="CK64" s="20" t="n">
        <f aca="false">(CJ64)^2</f>
        <v>0.0157810842143013</v>
      </c>
      <c r="CM64" s="20"/>
      <c r="CN64" s="0" t="n">
        <v>1.24797326636181</v>
      </c>
      <c r="CO64" s="0" t="n">
        <v>39.8134133569314</v>
      </c>
      <c r="CP64" s="0" t="n">
        <v>39.6143001977675</v>
      </c>
      <c r="CQ64" s="0" t="n">
        <v>-0.199113159163936</v>
      </c>
      <c r="CR64" s="20" t="n">
        <f aca="false">(CQ64)^2</f>
        <v>0.0396460501522429</v>
      </c>
      <c r="CU64" s="0" t="n">
        <v>39.3876198532141</v>
      </c>
      <c r="CV64" s="0" t="n">
        <v>39.9378719725369</v>
      </c>
      <c r="CW64" s="0" t="n">
        <v>39.9396196552323</v>
      </c>
      <c r="CX64" s="0" t="n">
        <v>0.00174768269538816</v>
      </c>
      <c r="CY64" s="20" t="n">
        <f aca="false">(CX64)^2</f>
        <v>3.05439480375924E-006</v>
      </c>
      <c r="DC64" s="0" t="s">
        <v>115</v>
      </c>
      <c r="DD64" s="0" t="e">
        <f aca="false">1 - (1 - $DC$55)*($DD$63 - 1)/($DD$63 - $DD$62 - 1)</f>
        <v>#VALUE!</v>
      </c>
      <c r="DJ64" s="0" t="s">
        <v>115</v>
      </c>
      <c r="DK64" s="0" t="n">
        <f aca="false">1 - (1 - $DJ$55)*($DK$63 - 1)/($DK$63 - $DK$62 - 1)</f>
        <v>0.462871573983873</v>
      </c>
      <c r="DQ64" s="0" t="s">
        <v>115</v>
      </c>
      <c r="DR64" s="0" t="n">
        <f aca="false">1 - (1 - $DQ$55)*($DR$63 - 1)/($DR$63 - $DR$62 - 1)</f>
        <v>0.434184533196947</v>
      </c>
      <c r="DX64" s="0" t="s">
        <v>115</v>
      </c>
      <c r="DY64" s="0" t="n">
        <f aca="false">1 - (1 - $DX$55)*($DY$63 - 1)/($DY$63 - $DY$62 - 1)</f>
        <v>0.402881553076748</v>
      </c>
    </row>
    <row r="65" customFormat="false" ht="12.8" hidden="false" customHeight="false" outlineLevel="0" collapsed="false">
      <c r="A65" s="0" t="s">
        <v>213</v>
      </c>
      <c r="B65" s="8" t="n">
        <v>34.24</v>
      </c>
      <c r="C65" s="8" t="n">
        <v>2237.7</v>
      </c>
      <c r="D65" s="8" t="n">
        <v>36.98</v>
      </c>
      <c r="E65" s="8" t="n">
        <v>2459.2</v>
      </c>
      <c r="F65" s="8" t="n">
        <f aca="false">4742/2</f>
        <v>2371</v>
      </c>
      <c r="G65" s="8" t="n">
        <f aca="false">B65+(D65-B65)*((F65-C65)/(E65-C65))</f>
        <v>35.8889480812641</v>
      </c>
      <c r="H65" s="15" t="n">
        <v>0.4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BE65" s="0" t="n">
        <f aca="false">BP15</f>
        <v>1.39794000867204</v>
      </c>
      <c r="BF65" s="12" t="n">
        <f aca="false">BJ15</f>
        <v>3.01277417174865</v>
      </c>
      <c r="BG65" s="8" t="n">
        <f aca="false">BM15</f>
        <v>1.23299611039215</v>
      </c>
      <c r="BH65" s="0" t="n">
        <f aca="false">BP15</f>
        <v>1.39794000867204</v>
      </c>
      <c r="BI65" s="12" t="n">
        <f aca="false">BL15</f>
        <v>1.85057428008802</v>
      </c>
      <c r="BJ65" s="8" t="n">
        <f aca="false">BM15</f>
        <v>1.23299611039215</v>
      </c>
      <c r="BL65" s="0" t="n">
        <f aca="false">BM15</f>
        <v>1.23299611039215</v>
      </c>
      <c r="BM65" s="8" t="n">
        <f aca="false">BL15</f>
        <v>1.85057428008802</v>
      </c>
      <c r="BN65" s="0" t="n">
        <f aca="false">BO15</f>
        <v>1.83250891270624</v>
      </c>
      <c r="BO65" s="8" t="n">
        <f aca="false">BN15</f>
        <v>8.27</v>
      </c>
      <c r="BP65" s="8" t="n">
        <f aca="false">BM15</f>
        <v>1.23299611039215</v>
      </c>
      <c r="BR65" s="20" t="n">
        <f aca="false">(BV65)^2</f>
        <v>9.22929894891149E-005</v>
      </c>
      <c r="BS65" s="8" t="n">
        <v>2.81967486601435</v>
      </c>
      <c r="BT65" s="0" t="n">
        <v>2.06481230713728</v>
      </c>
      <c r="BU65" s="0" t="n">
        <v>2.07441923117618</v>
      </c>
      <c r="BV65" s="0" t="n">
        <v>0.00960692403889585</v>
      </c>
      <c r="BW65" s="20" t="n">
        <f aca="false">(BV65)^2</f>
        <v>9.22929894891149E-005</v>
      </c>
      <c r="BZ65" s="0" t="n">
        <v>1.3541084391474</v>
      </c>
      <c r="CA65" s="0" t="n">
        <v>39.8139629288369</v>
      </c>
      <c r="CB65" s="0" t="n">
        <v>39.7992940202333</v>
      </c>
      <c r="CC65" s="0" t="n">
        <v>-0.0146689086035963</v>
      </c>
      <c r="CD65" s="20" t="n">
        <f aca="false">(CC65)^2</f>
        <v>0.000215176879620661</v>
      </c>
      <c r="CF65" s="20"/>
      <c r="CG65" s="0" t="n">
        <v>1.3541084391474</v>
      </c>
      <c r="CH65" s="0" t="n">
        <v>40.2943346874727</v>
      </c>
      <c r="CI65" s="0" t="n">
        <v>40.5671950296227</v>
      </c>
      <c r="CJ65" s="0" t="n">
        <v>0.272860342150054</v>
      </c>
      <c r="CK65" s="20" t="n">
        <f aca="false">(CJ65)^2</f>
        <v>0.0744527663182444</v>
      </c>
      <c r="CM65" s="20"/>
      <c r="CN65" s="0" t="n">
        <v>1.3541084391474</v>
      </c>
      <c r="CO65" s="0" t="n">
        <v>40.0943915954681</v>
      </c>
      <c r="CP65" s="0" t="n">
        <v>40.5671950296227</v>
      </c>
      <c r="CQ65" s="0" t="n">
        <v>0.472803434154621</v>
      </c>
      <c r="CR65" s="20" t="n">
        <f aca="false">(CQ65)^2</f>
        <v>0.223543087348403</v>
      </c>
      <c r="CU65" s="0" t="n">
        <v>39.7992940202333</v>
      </c>
      <c r="CV65" s="0" t="n">
        <v>40.2801028842665</v>
      </c>
      <c r="CW65" s="0" t="n">
        <v>40.5671950296227</v>
      </c>
      <c r="CX65" s="0" t="n">
        <v>0.287092145356176</v>
      </c>
      <c r="CY65" s="20" t="n">
        <f aca="false">(CX65)^2</f>
        <v>0.0824218999252119</v>
      </c>
    </row>
    <row r="66" customFormat="false" ht="12.8" hidden="false" customHeight="false" outlineLevel="0" collapsed="false">
      <c r="A66" s="0" t="s">
        <v>214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34"/>
      <c r="AI66" s="34"/>
      <c r="AJ66" s="34"/>
      <c r="AK66" s="34"/>
      <c r="AL66" s="34"/>
      <c r="BE66" s="0" t="n">
        <f aca="false">BP16</f>
        <v>2.03742649794062</v>
      </c>
      <c r="BF66" s="12" t="n">
        <f aca="false">BJ16</f>
        <v>2.23419219759188</v>
      </c>
      <c r="BG66" s="8" t="n">
        <f aca="false">BM16</f>
        <v>1.23299611039215</v>
      </c>
      <c r="BH66" s="0" t="n">
        <f aca="false">BP16</f>
        <v>2.03742649794062</v>
      </c>
      <c r="BI66" s="12" t="n">
        <f aca="false">BL16</f>
        <v>1.54507120196056</v>
      </c>
      <c r="BJ66" s="8" t="n">
        <f aca="false">BM16</f>
        <v>1.23299611039215</v>
      </c>
      <c r="BL66" s="0" t="n">
        <f aca="false">BM16</f>
        <v>1.23299611039215</v>
      </c>
      <c r="BM66" s="8" t="n">
        <f aca="false">BL16</f>
        <v>1.54507120196056</v>
      </c>
      <c r="BN66" s="0" t="n">
        <f aca="false">BO16</f>
        <v>1.79239168949825</v>
      </c>
      <c r="BO66" s="8" t="n">
        <f aca="false">BN16</f>
        <v>7.89</v>
      </c>
      <c r="BP66" s="8" t="n">
        <f aca="false">BM16</f>
        <v>1.23299611039215</v>
      </c>
      <c r="BR66" s="20" t="n">
        <f aca="false">(BV66)^2</f>
        <v>0.0597483765059765</v>
      </c>
      <c r="BS66" s="8" t="n">
        <v>2.98153856858654</v>
      </c>
      <c r="BT66" s="0" t="n">
        <v>2.16266015289646</v>
      </c>
      <c r="BU66" s="0" t="n">
        <v>1.91822534255641</v>
      </c>
      <c r="BV66" s="0" t="n">
        <v>-0.244434810340051</v>
      </c>
      <c r="BW66" s="20" t="n">
        <f aca="false">(BV66)^2</f>
        <v>0.0597483765059765</v>
      </c>
      <c r="BZ66" s="0" t="n">
        <v>1.20682587603185</v>
      </c>
      <c r="CA66" s="0" t="n">
        <v>39.4037506955437</v>
      </c>
      <c r="CB66" s="0" t="n">
        <v>39.5414546476421</v>
      </c>
      <c r="CC66" s="0" t="n">
        <v>0.137703952098413</v>
      </c>
      <c r="CD66" s="20" t="n">
        <f aca="false">(CC66)^2</f>
        <v>0.0189623784235219</v>
      </c>
      <c r="CF66" s="20"/>
      <c r="CG66" s="0" t="n">
        <v>1.20682587603185</v>
      </c>
      <c r="CH66" s="0" t="n">
        <v>39.9764260016201</v>
      </c>
      <c r="CI66" s="0" t="n">
        <v>39.9994654634455</v>
      </c>
      <c r="CJ66" s="0" t="n">
        <v>0.0230394618253555</v>
      </c>
      <c r="CK66" s="20" t="n">
        <f aca="false">(CJ66)^2</f>
        <v>0.000530816801202015</v>
      </c>
      <c r="CM66" s="20"/>
      <c r="CN66" s="0" t="n">
        <v>1.20682587603185</v>
      </c>
      <c r="CO66" s="0" t="n">
        <v>39.7044813134641</v>
      </c>
      <c r="CP66" s="0" t="n">
        <v>39.4317743737488</v>
      </c>
      <c r="CQ66" s="0" t="n">
        <v>-0.272706939715306</v>
      </c>
      <c r="CR66" s="20" t="n">
        <f aca="false">(CQ66)^2</f>
        <v>0.0743690749688875</v>
      </c>
      <c r="CU66" s="0" t="n">
        <v>39.5414546476421</v>
      </c>
      <c r="CV66" s="0" t="n">
        <v>40.065757145255</v>
      </c>
      <c r="CW66" s="0" t="n">
        <v>39.9994654634455</v>
      </c>
      <c r="CX66" s="0" t="n">
        <v>-0.0662916818095098</v>
      </c>
      <c r="CY66" s="20" t="n">
        <f aca="false">(CX66)^2</f>
        <v>0.0043945870771333</v>
      </c>
      <c r="DC66" s="0" t="s">
        <v>120</v>
      </c>
      <c r="DJ66" s="0" t="s">
        <v>120</v>
      </c>
      <c r="DQ66" s="0" t="s">
        <v>120</v>
      </c>
      <c r="DX66" s="0" t="s">
        <v>120</v>
      </c>
    </row>
    <row r="67" customFormat="false" ht="12.8" hidden="false" customHeight="false" outlineLevel="0" collapsed="false">
      <c r="A67" s="0" t="s">
        <v>215</v>
      </c>
      <c r="B67" s="8" t="n">
        <v>3.42</v>
      </c>
      <c r="C67" s="8" t="n">
        <v>57.939</v>
      </c>
      <c r="D67" s="8" t="n">
        <v>3.76</v>
      </c>
      <c r="E67" s="8" t="n">
        <v>65.665</v>
      </c>
      <c r="F67" s="8" t="n">
        <f aca="false">123.44/2</f>
        <v>61.72</v>
      </c>
      <c r="G67" s="8" t="n">
        <f aca="false">B67+(D67-B67)*((F67-C67)/(E67-C67))</f>
        <v>3.58639140564328</v>
      </c>
      <c r="H67" s="8" t="n">
        <v>0.05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BE67" s="0" t="n">
        <f aca="false">BP17</f>
        <v>1.36172783601759</v>
      </c>
      <c r="BF67" s="12" t="n">
        <f aca="false">BJ17</f>
        <v>2.51128671835605</v>
      </c>
      <c r="BG67" s="8" t="n">
        <f aca="false">BM17</f>
        <v>1.3541084391474</v>
      </c>
      <c r="BH67" s="0" t="n">
        <f aca="false">BP17</f>
        <v>1.36172783601759</v>
      </c>
      <c r="BI67" s="12" t="n">
        <f aca="false">BL17</f>
        <v>1.96442405905461</v>
      </c>
      <c r="BJ67" s="8" t="n">
        <f aca="false">BM17</f>
        <v>1.3541084391474</v>
      </c>
      <c r="BL67" s="0" t="n">
        <f aca="false">BM17</f>
        <v>1.3541084391474</v>
      </c>
      <c r="BM67" s="8" t="n">
        <f aca="false">BL17</f>
        <v>1.96442405905461</v>
      </c>
      <c r="BN67" s="0" t="n">
        <f aca="false">BO17</f>
        <v>1.53147891704226</v>
      </c>
      <c r="BO67" s="8" t="n">
        <f aca="false">BN17</f>
        <v>8.27</v>
      </c>
      <c r="BP67" s="8" t="n">
        <f aca="false">BM17</f>
        <v>1.3541084391474</v>
      </c>
      <c r="BR67" s="20" t="n">
        <f aca="false">(BV67)^2</f>
        <v>0.128565170589763</v>
      </c>
      <c r="BS67" s="8" t="n">
        <v>2.5381406092624</v>
      </c>
      <c r="BT67" s="0" t="n">
        <v>1.89462269641648</v>
      </c>
      <c r="BU67" s="0" t="n">
        <v>1.53606284006086</v>
      </c>
      <c r="BV67" s="0" t="n">
        <v>-0.35855985635562</v>
      </c>
      <c r="BW67" s="20" t="n">
        <f aca="false">(BV67)^2</f>
        <v>0.128565170589763</v>
      </c>
      <c r="BZ67" s="0" t="n">
        <v>1.09691001300806</v>
      </c>
      <c r="CA67" s="0" t="n">
        <v>39.0976124080808</v>
      </c>
      <c r="CB67" s="0" t="n">
        <v>39.2951320767752</v>
      </c>
      <c r="CC67" s="0" t="n">
        <v>0.197519668694405</v>
      </c>
      <c r="CD67" s="20" t="n">
        <f aca="false">(CC67)^2</f>
        <v>0.0390140195211473</v>
      </c>
      <c r="CF67" s="20"/>
      <c r="CG67" s="0" t="n">
        <v>1.09691001300806</v>
      </c>
      <c r="CH67" s="0" t="n">
        <v>39.7391731535636</v>
      </c>
      <c r="CI67" s="0" t="n">
        <v>39.8338814731209</v>
      </c>
      <c r="CJ67" s="0" t="n">
        <v>0.09470831955732</v>
      </c>
      <c r="CK67" s="20" t="n">
        <f aca="false">(CJ67)^2</f>
        <v>0.00896966579337143</v>
      </c>
      <c r="CM67" s="20"/>
      <c r="CN67" s="0" t="n">
        <v>1.09691001300806</v>
      </c>
      <c r="CO67" s="0" t="n">
        <v>39.4134942187142</v>
      </c>
      <c r="CP67" s="0" t="n">
        <v>39.7495605874209</v>
      </c>
      <c r="CQ67" s="0" t="n">
        <v>0.336066368706724</v>
      </c>
      <c r="CR67" s="20" t="n">
        <f aca="false">(CQ67)^2</f>
        <v>0.112940604175724</v>
      </c>
      <c r="CU67" s="0" t="n">
        <v>39.2951320767752</v>
      </c>
      <c r="CV67" s="0" t="n">
        <v>39.860985496313</v>
      </c>
      <c r="CW67" s="0" t="n">
        <v>39.8338814731209</v>
      </c>
      <c r="CX67" s="0" t="n">
        <v>-0.0271040231920736</v>
      </c>
      <c r="CY67" s="20" t="n">
        <f aca="false">(CX67)^2</f>
        <v>0.000734628073196464</v>
      </c>
      <c r="DD67" s="0" t="s">
        <v>123</v>
      </c>
      <c r="DE67" s="0" t="s">
        <v>124</v>
      </c>
      <c r="DF67" s="0" t="s">
        <v>125</v>
      </c>
      <c r="DG67" s="0" t="s">
        <v>126</v>
      </c>
      <c r="DH67" s="0" t="s">
        <v>127</v>
      </c>
      <c r="DK67" s="0" t="s">
        <v>123</v>
      </c>
      <c r="DL67" s="0" t="s">
        <v>124</v>
      </c>
      <c r="DM67" s="0" t="s">
        <v>125</v>
      </c>
      <c r="DN67" s="0" t="s">
        <v>126</v>
      </c>
      <c r="DO67" s="0" t="s">
        <v>127</v>
      </c>
      <c r="DR67" s="0" t="s">
        <v>123</v>
      </c>
      <c r="DS67" s="0" t="s">
        <v>124</v>
      </c>
      <c r="DT67" s="0" t="s">
        <v>125</v>
      </c>
      <c r="DU67" s="0" t="s">
        <v>126</v>
      </c>
      <c r="DV67" s="0" t="s">
        <v>127</v>
      </c>
      <c r="DY67" s="0" t="s">
        <v>123</v>
      </c>
      <c r="DZ67" s="0" t="s">
        <v>124</v>
      </c>
      <c r="EA67" s="0" t="s">
        <v>125</v>
      </c>
      <c r="EB67" s="0" t="s">
        <v>126</v>
      </c>
      <c r="EC67" s="0" t="s">
        <v>127</v>
      </c>
    </row>
    <row r="68" customFormat="false" ht="12.8" hidden="false" customHeight="false" outlineLevel="0" collapsed="false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BE68" s="0" t="n">
        <f aca="false">BP18</f>
        <v>1.07918124604762</v>
      </c>
      <c r="BF68" s="12" t="n">
        <f aca="false">BJ18</f>
        <v>2.98461060088215</v>
      </c>
      <c r="BG68" s="8" t="n">
        <f aca="false">BM18</f>
        <v>1.48572142648158</v>
      </c>
      <c r="BH68" s="0" t="n">
        <f aca="false">BP18</f>
        <v>1.07918124604762</v>
      </c>
      <c r="BI68" s="12" t="n">
        <f aca="false">BL18</f>
        <v>2.35784156259318</v>
      </c>
      <c r="BJ68" s="8" t="n">
        <f aca="false">BM18</f>
        <v>1.48572142648158</v>
      </c>
      <c r="BL68" s="0" t="n">
        <f aca="false">BM18</f>
        <v>1.48572142648158</v>
      </c>
      <c r="BM68" s="8" t="n">
        <f aca="false">BL18</f>
        <v>2.35784156259318</v>
      </c>
      <c r="BN68" s="0" t="n">
        <f aca="false">BO18</f>
        <v>1.34242268082221</v>
      </c>
      <c r="BO68" s="8" t="n">
        <f aca="false">BN18</f>
        <v>8.49</v>
      </c>
      <c r="BP68" s="8" t="n">
        <f aca="false">BM18</f>
        <v>1.48572142648158</v>
      </c>
      <c r="BR68" s="20" t="n">
        <f aca="false">(BV68)^2</f>
        <v>0.0454935328626516</v>
      </c>
      <c r="BS68" s="8" t="n">
        <v>2.37977395062333</v>
      </c>
      <c r="BT68" s="0" t="n">
        <v>1.79888884045207</v>
      </c>
      <c r="BU68" s="0" t="n">
        <v>1.58559671011752</v>
      </c>
      <c r="BV68" s="0" t="n">
        <v>-0.213292130334552</v>
      </c>
      <c r="BW68" s="20" t="n">
        <f aca="false">(BV68)^2</f>
        <v>0.0454935328626516</v>
      </c>
      <c r="BZ68" s="0" t="n">
        <v>1.28330122870355</v>
      </c>
      <c r="CA68" s="0" t="n">
        <v>39.6167502831916</v>
      </c>
      <c r="CB68" s="0" t="n">
        <v>39.0423920343584</v>
      </c>
      <c r="CC68" s="0" t="n">
        <v>-0.574358248833221</v>
      </c>
      <c r="CD68" s="20" t="n">
        <f aca="false">(CC68)^2</f>
        <v>0.329887398002764</v>
      </c>
      <c r="CF68" s="20"/>
      <c r="CG68" s="0" t="n">
        <v>1.28330122870355</v>
      </c>
      <c r="CH68" s="0" t="n">
        <v>40.1414976730637</v>
      </c>
      <c r="CI68" s="0" t="n">
        <v>39.4843141944881</v>
      </c>
      <c r="CJ68" s="0" t="n">
        <v>-0.657183478575547</v>
      </c>
      <c r="CK68" s="20" t="n">
        <f aca="false">(CJ68)^2</f>
        <v>0.431890124512657</v>
      </c>
      <c r="CM68" s="20"/>
      <c r="CN68" s="0" t="n">
        <v>1.28330122870355</v>
      </c>
      <c r="CO68" s="0" t="n">
        <v>39.9069392670454</v>
      </c>
      <c r="CP68" s="0" t="n">
        <v>39.4843141944881</v>
      </c>
      <c r="CQ68" s="0" t="n">
        <v>-0.42262507255726</v>
      </c>
      <c r="CR68" s="20" t="n">
        <f aca="false">(CQ68)^2</f>
        <v>0.178611951954029</v>
      </c>
      <c r="CU68" s="0" t="n">
        <v>39.0423920343584</v>
      </c>
      <c r="CV68" s="0" t="n">
        <v>39.6508789069849</v>
      </c>
      <c r="CW68" s="0" t="n">
        <v>39.4843141944881</v>
      </c>
      <c r="CX68" s="0" t="n">
        <v>-0.166564712496793</v>
      </c>
      <c r="CY68" s="20" t="n">
        <f aca="false">(CX68)^2</f>
        <v>0.0277438034491394</v>
      </c>
      <c r="DC68" s="0" t="s">
        <v>130</v>
      </c>
      <c r="DD68" s="0" t="n">
        <f aca="false">$DD$62</f>
        <v>2</v>
      </c>
      <c r="DE68" s="0" t="e">
        <f aca="false">$DC$57</f>
        <v>#VALUE!</v>
      </c>
      <c r="DF68" s="0" t="e">
        <f aca="false">$DC$57 / $DD$68</f>
        <v>#VALUE!</v>
      </c>
      <c r="DG68" s="0" t="e">
        <f aca="false">$DC$56</f>
        <v>#VALUE!</v>
      </c>
      <c r="DH68" s="0" t="e">
        <f aca="false">FDIST($DC$56 , $DD$68 , $DD$56)</f>
        <v>#VALUE!</v>
      </c>
      <c r="DJ68" s="0" t="s">
        <v>130</v>
      </c>
      <c r="DK68" s="0" t="n">
        <f aca="false">$DK$62</f>
        <v>2</v>
      </c>
      <c r="DL68" s="0" t="n">
        <f aca="false">$DJ$57</f>
        <v>1.50742258908936</v>
      </c>
      <c r="DM68" s="0" t="n">
        <f aca="false">$DJ$57 / $DK$68</f>
        <v>0.753711294544682</v>
      </c>
      <c r="DN68" s="0" t="n">
        <f aca="false">$DJ$56</f>
        <v>7.46314109760935</v>
      </c>
      <c r="DO68" s="0" t="n">
        <f aca="false">FDIST($DJ$56 , $DK$68 , $DK$56)</f>
        <v>0.00694298929020297</v>
      </c>
      <c r="DQ68" s="0" t="s">
        <v>130</v>
      </c>
      <c r="DR68" s="0" t="n">
        <f aca="false">$DR$62</f>
        <v>2</v>
      </c>
      <c r="DS68" s="0" t="n">
        <f aca="false">$DQ$57</f>
        <v>0.98168955574637</v>
      </c>
      <c r="DT68" s="0" t="n">
        <f aca="false">$DQ$57 / $DR$68</f>
        <v>0.490844777873185</v>
      </c>
      <c r="DU68" s="0" t="n">
        <f aca="false">$DQ$56</f>
        <v>6.75520499179033</v>
      </c>
      <c r="DV68" s="0" t="n">
        <f aca="false">FDIST($DQ$56 , $DR$68 , $DR$56)</f>
        <v>0.00973699401398641</v>
      </c>
      <c r="DX68" s="0" t="s">
        <v>130</v>
      </c>
      <c r="DY68" s="0" t="n">
        <f aca="false">$DY$62</f>
        <v>2</v>
      </c>
      <c r="DZ68" s="0" t="n">
        <f aca="false">$DX$57</f>
        <v>1.35324997183722</v>
      </c>
      <c r="EA68" s="0" t="n">
        <f aca="false">$DX$57 / $DY$68</f>
        <v>0.67662498591861</v>
      </c>
      <c r="EB68" s="0" t="n">
        <f aca="false">$DX$56</f>
        <v>6.06032205778426</v>
      </c>
      <c r="EC68" s="0" t="n">
        <f aca="false">FDIST($DX$56 , $DY$68 , $DY$56)</f>
        <v>0.0138175733636859</v>
      </c>
    </row>
    <row r="69" customFormat="false" ht="12.8" hidden="false" customHeight="false" outlineLevel="0" collapsed="false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BE69" s="0" t="n">
        <f aca="false">BP19</f>
        <v>1.25527250510331</v>
      </c>
      <c r="BF69" s="12" t="n">
        <f aca="false">BJ19</f>
        <v>2.65208067517048</v>
      </c>
      <c r="BG69" s="8" t="n">
        <f aca="false">BM19</f>
        <v>1.39967372148104</v>
      </c>
      <c r="BH69" s="0" t="n">
        <f aca="false">BP19</f>
        <v>1.25527250510331</v>
      </c>
      <c r="BI69" s="12" t="n">
        <f aca="false">BL19</f>
        <v>2.04990126579397</v>
      </c>
      <c r="BJ69" s="8" t="n">
        <f aca="false">BM19</f>
        <v>1.39967372148104</v>
      </c>
      <c r="BL69" s="0" t="n">
        <f aca="false">BM19</f>
        <v>1.39967372148104</v>
      </c>
      <c r="BM69" s="8" t="n">
        <f aca="false">BL19</f>
        <v>2.04990126579397</v>
      </c>
      <c r="BN69" s="0" t="n">
        <f aca="false">BO19</f>
        <v>1.30102999566398</v>
      </c>
      <c r="BO69" s="8" t="n">
        <f aca="false">BN19</f>
        <v>8.02</v>
      </c>
      <c r="BP69" s="8" t="n">
        <f aca="false">BM19</f>
        <v>1.39967372148104</v>
      </c>
      <c r="BR69" s="20" t="n">
        <f aca="false">(BV69)^2</f>
        <v>0.0128468282554027</v>
      </c>
      <c r="BS69" s="8" t="n">
        <v>2.77079593079515</v>
      </c>
      <c r="BT69" s="0" t="n">
        <v>2.03526461708572</v>
      </c>
      <c r="BU69" s="0" t="n">
        <v>1.92192076742725</v>
      </c>
      <c r="BV69" s="0" t="n">
        <v>-0.113343849658474</v>
      </c>
      <c r="BW69" s="20" t="n">
        <f aca="false">(BV69)^2</f>
        <v>0.0128468282554027</v>
      </c>
      <c r="BZ69" s="0" t="n">
        <v>1.23552844690755</v>
      </c>
      <c r="CA69" s="0" t="n">
        <v>39.4836932593551</v>
      </c>
      <c r="CB69" s="0" t="n">
        <v>39.7584397069598</v>
      </c>
      <c r="CC69" s="0" t="n">
        <v>0.27474644760467</v>
      </c>
      <c r="CD69" s="20" t="n">
        <f aca="false">(CC69)^2</f>
        <v>0.0754856104713858</v>
      </c>
      <c r="CF69" s="20"/>
      <c r="CG69" s="0" t="n">
        <v>1.23552844690755</v>
      </c>
      <c r="CH69" s="0" t="n">
        <v>40.0383803592485</v>
      </c>
      <c r="CI69" s="0" t="n">
        <v>40.1263375099171</v>
      </c>
      <c r="CJ69" s="0" t="n">
        <v>0.0879571506685934</v>
      </c>
      <c r="CK69" s="20" t="n">
        <f aca="false">(CJ69)^2</f>
        <v>0.00773646035373765</v>
      </c>
      <c r="CM69" s="20"/>
      <c r="CN69" s="0" t="n">
        <v>1.23552844690755</v>
      </c>
      <c r="CO69" s="0" t="n">
        <v>39.7804674130243</v>
      </c>
      <c r="CP69" s="0" t="n">
        <v>39.9044887603007</v>
      </c>
      <c r="CQ69" s="0" t="n">
        <v>0.124021347276368</v>
      </c>
      <c r="CR69" s="20" t="n">
        <f aca="false">(CQ69)^2</f>
        <v>0.0153812945802456</v>
      </c>
      <c r="CU69" s="0" t="n">
        <v>39.7584397069598</v>
      </c>
      <c r="CV69" s="0" t="n">
        <v>40.2461400806714</v>
      </c>
      <c r="CW69" s="0" t="n">
        <v>40.1263375099171</v>
      </c>
      <c r="CX69" s="0" t="n">
        <v>-0.11980257075426</v>
      </c>
      <c r="CY69" s="20" t="n">
        <f aca="false">(CX69)^2</f>
        <v>0.0143526559593294</v>
      </c>
      <c r="DC69" s="0" t="s">
        <v>133</v>
      </c>
      <c r="DD69" s="0" t="e">
        <f aca="false">$DD$56</f>
        <v>#VALUE!</v>
      </c>
      <c r="DE69" s="0" t="e">
        <f aca="false">$DD$57</f>
        <v>#VALUE!</v>
      </c>
      <c r="DF69" s="0" t="e">
        <f aca="false">$DD$57 / $DD$56</f>
        <v>#VALUE!</v>
      </c>
      <c r="DJ69" s="0" t="s">
        <v>133</v>
      </c>
      <c r="DK69" s="0" t="n">
        <f aca="false">$DK$56</f>
        <v>13</v>
      </c>
      <c r="DL69" s="0" t="n">
        <f aca="false">$DK$57</f>
        <v>1.3128851110988</v>
      </c>
      <c r="DM69" s="0" t="n">
        <f aca="false">$DK$57 / $DK$56</f>
        <v>0.100991162392215</v>
      </c>
      <c r="DQ69" s="0" t="s">
        <v>133</v>
      </c>
      <c r="DR69" s="0" t="n">
        <f aca="false">$DR$56</f>
        <v>13</v>
      </c>
      <c r="DS69" s="0" t="n">
        <f aca="false">$DR$57</f>
        <v>0.944602291137912</v>
      </c>
      <c r="DT69" s="0" t="n">
        <f aca="false">$DR$57 / $DR$56</f>
        <v>0.0726617147029163</v>
      </c>
      <c r="DX69" s="0" t="s">
        <v>133</v>
      </c>
      <c r="DY69" s="0" t="n">
        <f aca="false">$DY$56</f>
        <v>13</v>
      </c>
      <c r="DZ69" s="0" t="n">
        <f aca="false">$DY$57</f>
        <v>1.45142860941584</v>
      </c>
      <c r="EA69" s="0" t="n">
        <f aca="false">$DY$57 / $DY$56</f>
        <v>0.111648354570449</v>
      </c>
    </row>
    <row r="70" customFormat="false" ht="12.8" hidden="false" customHeight="false" outlineLevel="0" collapsed="false">
      <c r="A70" s="0" t="s">
        <v>216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BE70" s="0" t="n">
        <f aca="false">BP20</f>
        <v>1.54406804435028</v>
      </c>
      <c r="BF70" s="12" t="n">
        <f aca="false">BJ20</f>
        <v>3.14327666168951</v>
      </c>
      <c r="BG70" s="8" t="n">
        <f aca="false">BM20</f>
        <v>1.3384564936046</v>
      </c>
      <c r="BH70" s="0" t="n">
        <f aca="false">BP20</f>
        <v>1.54406804435028</v>
      </c>
      <c r="BI70" s="12" t="n">
        <f aca="false">BL20</f>
        <v>2.20522175876517</v>
      </c>
      <c r="BJ70" s="8" t="n">
        <f aca="false">BM20</f>
        <v>1.3384564936046</v>
      </c>
      <c r="BL70" s="0" t="n">
        <f aca="false">BM20</f>
        <v>1.3384564936046</v>
      </c>
      <c r="BM70" s="8" t="n">
        <f aca="false">BL20</f>
        <v>2.20522175876517</v>
      </c>
      <c r="BN70" s="0" t="n">
        <f aca="false">BO20</f>
        <v>1</v>
      </c>
      <c r="BO70" s="8" t="n">
        <f aca="false">BN20</f>
        <v>8.5</v>
      </c>
      <c r="BP70" s="8" t="n">
        <f aca="false">BM20</f>
        <v>1.3384564936046</v>
      </c>
      <c r="BR70" s="20" t="n">
        <f aca="false">(BV70)^2</f>
        <v>0.0737746372058617</v>
      </c>
      <c r="BS70" s="8" t="n">
        <v>1.8572240799594</v>
      </c>
      <c r="BT70" s="0" t="n">
        <v>1.48300344839886</v>
      </c>
      <c r="BU70" s="0" t="n">
        <v>1.75461831766389</v>
      </c>
      <c r="BV70" s="0" t="n">
        <v>0.271614869265034</v>
      </c>
      <c r="BW70" s="20" t="n">
        <f aca="false">(BV70)^2</f>
        <v>0.0737746372058617</v>
      </c>
      <c r="BZ70" s="0" t="n">
        <v>1.22788670461367</v>
      </c>
      <c r="CA70" s="0" t="n">
        <v>39.4624094352125</v>
      </c>
      <c r="CB70" s="0" t="n">
        <v>39.0217644408478</v>
      </c>
      <c r="CC70" s="0" t="n">
        <v>-0.440644994364725</v>
      </c>
      <c r="CD70" s="20" t="n">
        <f aca="false">(CC70)^2</f>
        <v>0.194168011058688</v>
      </c>
      <c r="CF70" s="20"/>
      <c r="CG70" s="0" t="n">
        <v>1.22788670461367</v>
      </c>
      <c r="CH70" s="0" t="n">
        <v>40.0218856962084</v>
      </c>
      <c r="CI70" s="0" t="n">
        <v>39.7989606416723</v>
      </c>
      <c r="CJ70" s="0" t="n">
        <v>-0.22292505453612</v>
      </c>
      <c r="CK70" s="20" t="n">
        <f aca="false">(CJ70)^2</f>
        <v>0.0496955799399319</v>
      </c>
      <c r="CM70" s="20"/>
      <c r="CN70" s="0" t="n">
        <v>1.22788670461367</v>
      </c>
      <c r="CO70" s="0" t="n">
        <v>39.7602369537644</v>
      </c>
      <c r="CP70" s="0" t="n">
        <v>39.4018526150208</v>
      </c>
      <c r="CQ70" s="0" t="n">
        <v>-0.358384338743591</v>
      </c>
      <c r="CR70" s="20" t="n">
        <f aca="false">(CQ70)^2</f>
        <v>0.128439334256681</v>
      </c>
      <c r="CU70" s="0" t="n">
        <v>39.0217644408478</v>
      </c>
      <c r="CV70" s="0" t="n">
        <v>39.6337308790068</v>
      </c>
      <c r="CW70" s="0" t="n">
        <v>39.7989606416723</v>
      </c>
      <c r="CX70" s="0" t="n">
        <v>0.165229762665547</v>
      </c>
      <c r="CY70" s="20" t="n">
        <f aca="false">(CX70)^2</f>
        <v>0.0273008744705129</v>
      </c>
      <c r="DC70" s="0" t="s">
        <v>136</v>
      </c>
      <c r="DD70" s="0" t="e">
        <f aca="false">$DD$68 + $DD$56</f>
        <v>#VALUE!</v>
      </c>
      <c r="DE70" s="0" t="e">
        <f aca="false">$DC$57 + $DD$57</f>
        <v>#VALUE!</v>
      </c>
      <c r="DJ70" s="0" t="s">
        <v>136</v>
      </c>
      <c r="DK70" s="0" t="n">
        <f aca="false">$DK$68 + $DK$56</f>
        <v>15</v>
      </c>
      <c r="DL70" s="0" t="n">
        <f aca="false">$DJ$57 + $DK$57</f>
        <v>2.82030770018816</v>
      </c>
      <c r="DQ70" s="0" t="s">
        <v>136</v>
      </c>
      <c r="DR70" s="0" t="n">
        <f aca="false">$DR$68 + $DR$56</f>
        <v>15</v>
      </c>
      <c r="DS70" s="0" t="n">
        <f aca="false">$DQ$57 + $DR$57</f>
        <v>1.92629184688428</v>
      </c>
      <c r="DX70" s="0" t="s">
        <v>136</v>
      </c>
      <c r="DY70" s="0" t="n">
        <f aca="false">$DY$68 + $DY$56</f>
        <v>15</v>
      </c>
      <c r="DZ70" s="0" t="n">
        <f aca="false">$DX$57 + $DY$57</f>
        <v>2.80467858125306</v>
      </c>
    </row>
    <row r="71" customFormat="false" ht="12.8" hidden="false" customHeight="false" outlineLevel="0" collapsed="false">
      <c r="A71" s="0" t="s">
        <v>217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BE71" s="0" t="n">
        <f aca="false">BP21</f>
        <v>1.36172783601759</v>
      </c>
      <c r="BF71" s="12" t="n">
        <f aca="false">BJ21</f>
        <v>2.72075204192537</v>
      </c>
      <c r="BG71" s="8" t="n">
        <f aca="false">BM21</f>
        <v>1.25527250510331</v>
      </c>
      <c r="BH71" s="0" t="n">
        <f aca="false">BP21</f>
        <v>1.36172783601759</v>
      </c>
      <c r="BI71" s="12" t="n">
        <f aca="false">BL21</f>
        <v>1.96796675188098</v>
      </c>
      <c r="BJ71" s="8" t="n">
        <f aca="false">BM21</f>
        <v>1.25527250510331</v>
      </c>
      <c r="BL71" s="0" t="n">
        <f aca="false">BM21</f>
        <v>1.25527250510331</v>
      </c>
      <c r="BM71" s="8" t="n">
        <f aca="false">BL21</f>
        <v>1.96796675188098</v>
      </c>
      <c r="BN71" s="0" t="n">
        <f aca="false">BO21</f>
        <v>1.32221929473392</v>
      </c>
      <c r="BO71" s="8" t="n">
        <f aca="false">BN21</f>
        <v>7.96</v>
      </c>
      <c r="BP71" s="8" t="n">
        <f aca="false">BM21</f>
        <v>1.25527250510331</v>
      </c>
      <c r="BR71" s="0" t="n">
        <f aca="false">SQRT(SUM(BR32:BR70)/39)</f>
        <v>0.217413621127678</v>
      </c>
      <c r="BS71" s="8"/>
      <c r="BW71" s="0" t="n">
        <f aca="false">SQRT(SUM(BW32:BW70)/39)</f>
        <v>0.217413621127678</v>
      </c>
      <c r="CD71" s="0" t="n">
        <f aca="false">SQRT(SUM(CD32:CD70)/39)</f>
        <v>0.308251562848756</v>
      </c>
      <c r="CK71" s="0" t="n">
        <f aca="false">SQRT(SUM(CK32:CK70)/39)</f>
        <v>0.35620877820738</v>
      </c>
      <c r="CR71" s="0" t="n">
        <f aca="false">SQRT(SUM(CR32:CR70)/39)</f>
        <v>0.33816263186945</v>
      </c>
      <c r="CY71" s="0" t="n">
        <f aca="false">SQRT(SUM(CY32:CY70)/39)</f>
        <v>0.220749726869594</v>
      </c>
    </row>
    <row r="72" customFormat="false" ht="12.8" hidden="false" customHeight="false" outlineLevel="0" collapsed="false">
      <c r="A72" s="0" t="s">
        <v>218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BE72" s="0" t="n">
        <f aca="false">BP22</f>
        <v>1</v>
      </c>
      <c r="BF72" s="12" t="n">
        <f aca="false">BJ22</f>
        <v>2.48769573000203</v>
      </c>
      <c r="BG72" s="8" t="n">
        <f aca="false">BM22</f>
        <v>1.22010808804006</v>
      </c>
      <c r="BH72" s="0" t="n">
        <f aca="false">BP22</f>
        <v>1</v>
      </c>
      <c r="BI72" s="12" t="n">
        <f aca="false">BL22</f>
        <v>1.83307698166838</v>
      </c>
      <c r="BJ72" s="8" t="n">
        <f aca="false">BM22</f>
        <v>1.22010808804006</v>
      </c>
      <c r="BL72" s="0" t="n">
        <f aca="false">BM22</f>
        <v>1.22010808804006</v>
      </c>
      <c r="BM72" s="8" t="n">
        <f aca="false">BL22</f>
        <v>1.83307698166838</v>
      </c>
      <c r="BN72" s="0" t="n">
        <f aca="false">BO22</f>
        <v>0.602059991327962</v>
      </c>
      <c r="BO72" s="8" t="n">
        <f aca="false">BN22</f>
        <v>8.56</v>
      </c>
      <c r="BP72" s="8" t="n">
        <f aca="false">BM22</f>
        <v>1.22010808804006</v>
      </c>
      <c r="BS72" s="14"/>
      <c r="BZ72" s="14" t="s">
        <v>219</v>
      </c>
      <c r="CC72" s="13"/>
      <c r="CG72" s="14" t="s">
        <v>220</v>
      </c>
      <c r="CJ72" s="13"/>
      <c r="CK72" s="13"/>
      <c r="CN72" s="14" t="s">
        <v>221</v>
      </c>
      <c r="CU72" s="14" t="s">
        <v>222</v>
      </c>
      <c r="DC72" s="0" t="s">
        <v>141</v>
      </c>
      <c r="DD72" s="0" t="n">
        <v>0.95</v>
      </c>
      <c r="DJ72" s="0" t="s">
        <v>141</v>
      </c>
      <c r="DK72" s="0" t="n">
        <v>0.95</v>
      </c>
      <c r="DQ72" s="0" t="s">
        <v>141</v>
      </c>
      <c r="DR72" s="0" t="n">
        <v>0.95</v>
      </c>
      <c r="DX72" s="0" t="s">
        <v>141</v>
      </c>
      <c r="DY72" s="0" t="n">
        <v>0.95</v>
      </c>
    </row>
    <row r="73" customFormat="false" ht="12.8" hidden="false" customHeight="false" outlineLevel="0" collapsed="false">
      <c r="A73" s="0" t="s">
        <v>223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BE73" s="0" t="n">
        <f aca="false">BP23</f>
        <v>1.74036268949424</v>
      </c>
      <c r="BF73" s="12" t="n">
        <f aca="false">BJ23</f>
        <v>2.80181789701222</v>
      </c>
      <c r="BG73" s="8" t="n">
        <f aca="false">BM23</f>
        <v>1.50514997831991</v>
      </c>
      <c r="BH73" s="0" t="n">
        <f aca="false">BP23</f>
        <v>1.74036268949424</v>
      </c>
      <c r="BI73" s="12" t="n">
        <f aca="false">BL23</f>
        <v>2.24498078176473</v>
      </c>
      <c r="BJ73" s="8" t="n">
        <f aca="false">BM23</f>
        <v>1.50514997831991</v>
      </c>
      <c r="BL73" s="0" t="n">
        <f aca="false">BM23</f>
        <v>1.50514997831991</v>
      </c>
      <c r="BM73" s="8" t="n">
        <f aca="false">BL23</f>
        <v>2.24498078176473</v>
      </c>
      <c r="BN73" s="0" t="n">
        <f aca="false">BO23</f>
        <v>1.91907809237607</v>
      </c>
      <c r="BO73" s="8" t="n">
        <f aca="false">BN23</f>
        <v>8.14</v>
      </c>
      <c r="BP73" s="8" t="n">
        <f aca="false">BM23</f>
        <v>1.50514997831991</v>
      </c>
      <c r="BS73" s="14"/>
      <c r="BZ73" s="0" t="s">
        <v>78</v>
      </c>
      <c r="CA73" s="0" t="s">
        <v>79</v>
      </c>
      <c r="CG73" s="0" t="s">
        <v>78</v>
      </c>
      <c r="CH73" s="0" t="s">
        <v>79</v>
      </c>
      <c r="CN73" s="0" t="s">
        <v>78</v>
      </c>
      <c r="CO73" s="0" t="s">
        <v>79</v>
      </c>
      <c r="CU73" s="0" t="s">
        <v>78</v>
      </c>
      <c r="CV73" s="0" t="s">
        <v>79</v>
      </c>
    </row>
    <row r="74" customFormat="false" ht="12.8" hidden="false" customHeight="false" outlineLevel="0" collapsed="false">
      <c r="A74" s="0" t="s">
        <v>224</v>
      </c>
      <c r="B74" s="8"/>
      <c r="C74" s="8"/>
      <c r="D74" s="8"/>
      <c r="E74" s="8"/>
      <c r="F74" s="8"/>
      <c r="G74" s="8"/>
      <c r="H74" s="8"/>
      <c r="BE74" s="0" t="n">
        <f aca="false">BP24</f>
        <v>1.46239799789896</v>
      </c>
      <c r="BF74" s="12" t="n">
        <f aca="false">BJ24</f>
        <v>3.10471867515012</v>
      </c>
      <c r="BG74" s="8" t="n">
        <f aca="false">BM24</f>
        <v>1.45788189673399</v>
      </c>
      <c r="BH74" s="0" t="n">
        <f aca="false">BP24</f>
        <v>1.46239799789896</v>
      </c>
      <c r="BI74" s="12" t="n">
        <f aca="false">BL24</f>
        <v>2.15959850059392</v>
      </c>
      <c r="BJ74" s="8" t="n">
        <f aca="false">BM24</f>
        <v>1.45788189673399</v>
      </c>
      <c r="BL74" s="0" t="n">
        <f aca="false">BM24</f>
        <v>1.45788189673399</v>
      </c>
      <c r="BM74" s="8" t="n">
        <f aca="false">BL24</f>
        <v>2.15959850059392</v>
      </c>
      <c r="BN74" s="0" t="n">
        <f aca="false">BO24</f>
        <v>1.44715803134222</v>
      </c>
      <c r="BO74" s="8" t="n">
        <f aca="false">BN24</f>
        <v>7.77</v>
      </c>
      <c r="BP74" s="8" t="n">
        <f aca="false">BM24</f>
        <v>1.45788189673399</v>
      </c>
      <c r="BX74" s="8"/>
      <c r="CK74" s="13"/>
      <c r="DD74" s="0" t="s">
        <v>146</v>
      </c>
      <c r="DE74" s="0" t="s">
        <v>106</v>
      </c>
      <c r="DF74" s="0" t="s">
        <v>147</v>
      </c>
      <c r="DG74" s="0" t="s">
        <v>148</v>
      </c>
      <c r="DH74" s="0" t="str">
        <f aca="false">_xlfn.CONCAT("Lower " , INT($DD$72 * 100) , "%")</f>
        <v>Lower 95%</v>
      </c>
      <c r="DI74" s="0" t="str">
        <f aca="false">_xlfn.CONCAT("Upper " , INT($DD$72 * 100) , "%")</f>
        <v>Upper 95%</v>
      </c>
      <c r="DK74" s="0" t="s">
        <v>146</v>
      </c>
      <c r="DL74" s="0" t="s">
        <v>106</v>
      </c>
      <c r="DM74" s="0" t="s">
        <v>147</v>
      </c>
      <c r="DN74" s="0" t="s">
        <v>148</v>
      </c>
      <c r="DO74" s="0" t="str">
        <f aca="false">_xlfn.CONCAT("Lower " , INT($DK$72 * 100) , "%")</f>
        <v>Lower 95%</v>
      </c>
      <c r="DP74" s="0" t="str">
        <f aca="false">_xlfn.CONCAT("Upper " , INT($DK$72 * 100) , "%")</f>
        <v>Upper 95%</v>
      </c>
      <c r="DR74" s="0" t="s">
        <v>146</v>
      </c>
      <c r="DS74" s="0" t="s">
        <v>106</v>
      </c>
      <c r="DT74" s="0" t="s">
        <v>147</v>
      </c>
      <c r="DU74" s="0" t="s">
        <v>148</v>
      </c>
      <c r="DV74" s="0" t="str">
        <f aca="false">_xlfn.CONCAT("Lower " , INT($DR$72 * 100) , "%")</f>
        <v>Lower 95%</v>
      </c>
      <c r="DW74" s="0" t="str">
        <f aca="false">_xlfn.CONCAT("Upper " , INT($DR$72 * 100) , "%")</f>
        <v>Upper 95%</v>
      </c>
      <c r="DY74" s="0" t="s">
        <v>146</v>
      </c>
      <c r="DZ74" s="0" t="s">
        <v>106</v>
      </c>
      <c r="EA74" s="0" t="s">
        <v>147</v>
      </c>
      <c r="EB74" s="0" t="s">
        <v>148</v>
      </c>
      <c r="EC74" s="0" t="str">
        <f aca="false">_xlfn.CONCAT("Lower " , INT($DY$72 * 100) , "%")</f>
        <v>Lower 95%</v>
      </c>
      <c r="ED74" s="0" t="str">
        <f aca="false">_xlfn.CONCAT("Upper " , INT($DY$72 * 100) , "%")</f>
        <v>Upper 95%</v>
      </c>
    </row>
    <row r="75" customFormat="false" ht="12.8" hidden="false" customHeight="false" outlineLevel="0" collapsed="false">
      <c r="A75" s="33" t="s">
        <v>215</v>
      </c>
      <c r="F75" s="22"/>
      <c r="G75" s="8"/>
      <c r="H75" s="8"/>
      <c r="BE75" s="0" t="n">
        <f aca="false">BP25</f>
        <v>1.55630250076729</v>
      </c>
      <c r="BF75" s="12" t="n">
        <f aca="false">BJ25</f>
        <v>2.70767614445813</v>
      </c>
      <c r="BG75" s="8" t="n">
        <f aca="false">BM25</f>
        <v>1.39269695325967</v>
      </c>
      <c r="BH75" s="0" t="n">
        <f aca="false">BP25</f>
        <v>1.55630250076729</v>
      </c>
      <c r="BI75" s="12" t="n">
        <f aca="false">BL25</f>
        <v>1.62445521813276</v>
      </c>
      <c r="BJ75" s="8" t="n">
        <f aca="false">BM25</f>
        <v>1.39269695325967</v>
      </c>
      <c r="BL75" s="0" t="n">
        <f aca="false">BM25</f>
        <v>1.39269695325967</v>
      </c>
      <c r="BM75" s="8" t="n">
        <f aca="false">BL25</f>
        <v>1.62445521813276</v>
      </c>
      <c r="BN75" s="0" t="n">
        <f aca="false">BO25</f>
        <v>1.55630250076729</v>
      </c>
      <c r="BO75" s="8" t="n">
        <f aca="false">BN25</f>
        <v>8.02</v>
      </c>
      <c r="BP75" s="8" t="n">
        <f aca="false">BM25</f>
        <v>1.39269695325967</v>
      </c>
      <c r="BX75" s="8"/>
      <c r="BZ75" s="0" t="s">
        <v>84</v>
      </c>
      <c r="CG75" s="0" t="s">
        <v>84</v>
      </c>
      <c r="CN75" s="0" t="s">
        <v>84</v>
      </c>
      <c r="CU75" s="0" t="s">
        <v>84</v>
      </c>
      <c r="DC75" s="0" t="str">
        <f aca="false">"Intercept"</f>
        <v>Intercept</v>
      </c>
      <c r="DD75" s="0" t="e">
        <f aca="false" t="array" ref="DD75:DD75">INDEX($DC$53:$DE$53, 1 , 78 - ROW())</f>
        <v>#VALUE!</v>
      </c>
      <c r="DE75" s="0" t="e">
        <f aca="false" t="array" ref="DE75:DE75">INDEX($DC$54:$DE$54, 1 , 78 - ROW())</f>
        <v>#VALUE!</v>
      </c>
      <c r="DF75" s="0" t="e">
        <f aca="false" t="array" ref="DF75:DF77">$DD$75:$DD$77 / $DE$75:$DE$77</f>
        <v>#VALUE!</v>
      </c>
      <c r="DG75" s="0" t="e">
        <f aca="false" t="array" ref="DG75:DG77">TDIST(ABS($DF$75:$DF$77) , $DD$56 , 2 )</f>
        <v>#VALUE!</v>
      </c>
      <c r="DH75" s="0" t="e">
        <f aca="false" t="array" ref="DH75:DH77">$DD$75:$DD$77 - $DE$75:$DE$77 * TINV(1 - $DD$72 , $DD$56)</f>
        <v>#VALUE!</v>
      </c>
      <c r="DI75" s="0" t="e">
        <f aca="false" t="array" ref="DI75:DI77">$DD$75:$DD$77 + $DE$75:$DE$77 * TINV(1 - $DD$72 , $DD$56)</f>
        <v>#VALUE!</v>
      </c>
      <c r="DJ75" s="0" t="str">
        <f aca="false">"Intercept"</f>
        <v>Intercept</v>
      </c>
      <c r="DK75" s="0" t="n">
        <f aca="false" t="array" ref="DK75:DK75">INDEX($DJ$53:$DL$53, 1 , 78 - ROW())</f>
        <v>35.3963634991882</v>
      </c>
      <c r="DL75" s="0" t="n">
        <f aca="false" t="array" ref="DL75:DL75">INDEX($DJ$54:$DL$54, 1 , 78 - ROW())</f>
        <v>1.25640485318571</v>
      </c>
      <c r="DM75" s="0" t="n">
        <f aca="false" t="array" ref="DM75:DM77">$DK$75:$DK$77 / $DL$75:$DL$77</f>
        <v>28.172737003871</v>
      </c>
      <c r="DN75" s="0" t="n">
        <f aca="false" t="array" ref="DN75:DN77">TDIST(ABS($DM$75:$DM$77) , $DK$56 , 2 )</f>
        <v>4.86039982818109E-013</v>
      </c>
      <c r="DO75" s="0" t="n">
        <f aca="false" t="array" ref="DO75:DO77">$DK$75:$DK$77 - $DL$75:$DL$77 * TINV(1 - $DK$72 , $DK$56)</f>
        <v>32.682065834538</v>
      </c>
      <c r="DP75" s="0" t="n">
        <f aca="false" t="array" ref="DP75:DP77">$DK$75:$DK$77 + $DL$75:$DL$77 * TINV(1 - $DK$72 , $DK$56)</f>
        <v>38.1106611638383</v>
      </c>
      <c r="DQ75" s="0" t="str">
        <f aca="false">"Intercept"</f>
        <v>Intercept</v>
      </c>
      <c r="DR75" s="0" t="n">
        <f aca="false" t="array" ref="DR75:DR75">INDEX($DQ$53:$DS$53, 1 , 78 - ROW())</f>
        <v>36.8895597456153</v>
      </c>
      <c r="DS75" s="0" t="n">
        <f aca="false" t="array" ref="DS75:DS75">INDEX($DQ$54:$DS$54, 1 , 78 - ROW())</f>
        <v>1.06571417175457</v>
      </c>
      <c r="DT75" s="0" t="n">
        <f aca="false" t="array" ref="DT75:DT77">$DR$75:$DR$77 / $DS$75:$DS$77</f>
        <v>34.614872095471</v>
      </c>
      <c r="DU75" s="0" t="n">
        <f aca="false" t="array" ref="DU75:DU77">TDIST(ABS($DT$75:$DT$77) , $DR$56 , 2 )</f>
        <v>3.45468025395787E-014</v>
      </c>
      <c r="DV75" s="0" t="n">
        <f aca="false" t="array" ref="DV75:DV77">$DR$75:$DR$77 - $DS$75:$DS$77 * TINV(1 - $DR$72 , $DR$56)</f>
        <v>34.5872242522085</v>
      </c>
      <c r="DW75" s="0" t="n">
        <f aca="false" t="array" ref="DW75:DW77">$DR$75:$DR$77 + $DS$75:$DS$77 * TINV(1 - $DR$72 , $DR$56)</f>
        <v>39.191895239022</v>
      </c>
      <c r="DX75" s="0" t="str">
        <f aca="false">"Intercept"</f>
        <v>Intercept</v>
      </c>
      <c r="DY75" s="0" t="n">
        <f aca="false" t="array" ref="DY75:DY75">INDEX($DX$53:$DZ$53, 1 , 78 - ROW())</f>
        <v>36.4342454941221</v>
      </c>
      <c r="DZ75" s="0" t="n">
        <f aca="false" t="array" ref="DZ75:DZ75">INDEX($DX$54:$DZ$54, 1 , 78 - ROW())</f>
        <v>1.32103426761648</v>
      </c>
      <c r="EA75" s="0" t="n">
        <f aca="false" t="array" ref="EA75:EA77">$DY$75:$DY$77 / $DZ$75:$DZ$77</f>
        <v>27.5800911356068</v>
      </c>
      <c r="EB75" s="0" t="n">
        <f aca="false" t="array" ref="EB75:EB77">TDIST(ABS($EA$75:$EA$77) , $DY$56 , 2 )</f>
        <v>6.38060061430814E-013</v>
      </c>
      <c r="EC75" s="0" t="n">
        <f aca="false" t="array" ref="EC75:EC77">$DY$75:$DY$77 - $DZ$75:$DZ$77 * TINV(1 - $DY$72 , $DY$56)</f>
        <v>33.5803244682502</v>
      </c>
      <c r="ED75" s="0" t="n">
        <f aca="false" t="array" ref="ED75:ED77">$DY$75:$DY$77 + $DZ$75:$DZ$77 * TINV(1 - $DY$72 , $DY$56)</f>
        <v>39.288166519994</v>
      </c>
    </row>
    <row r="76" customFormat="false" ht="14.15" hidden="false" customHeight="true" outlineLevel="0" collapsed="false">
      <c r="A76" s="0" t="s">
        <v>225</v>
      </c>
      <c r="B76" s="8"/>
      <c r="C76" s="8"/>
      <c r="D76" s="8"/>
      <c r="E76" s="8"/>
      <c r="F76" s="8"/>
      <c r="G76" s="8"/>
      <c r="H76" s="8"/>
      <c r="BE76" s="0" t="n">
        <f aca="false">BP26</f>
        <v>1.49136169383427</v>
      </c>
      <c r="BF76" s="12" t="n">
        <f aca="false">BJ26</f>
        <v>2.82411303198074</v>
      </c>
      <c r="BG76" s="8" t="n">
        <f aca="false">BM26</f>
        <v>1.50379068305718</v>
      </c>
      <c r="BH76" s="0" t="n">
        <f aca="false">BP26</f>
        <v>1.49136169383427</v>
      </c>
      <c r="BI76" s="12" t="n">
        <f aca="false">BL26</f>
        <v>1.8596134656703</v>
      </c>
      <c r="BJ76" s="8" t="n">
        <f aca="false">BM26</f>
        <v>1.50379068305718</v>
      </c>
      <c r="BL76" s="0" t="n">
        <f aca="false">BM26</f>
        <v>1.50379068305718</v>
      </c>
      <c r="BM76" s="8" t="n">
        <f aca="false">BL26</f>
        <v>1.8596134656703</v>
      </c>
      <c r="BN76" s="0" t="n">
        <f aca="false">BO26</f>
        <v>1.79239168949825</v>
      </c>
      <c r="BO76" s="8" t="n">
        <f aca="false">BN26</f>
        <v>8.28</v>
      </c>
      <c r="BP76" s="8" t="n">
        <f aca="false">BM26</f>
        <v>1.50379068305718</v>
      </c>
      <c r="BX76" s="8"/>
      <c r="BZ76" s="0" t="n">
        <f aca="false" t="array" ref="BZ76:CB80">LINEST($BF$3:$BF$41 , $BF$53:$BG$91 , 1 , 1)</f>
        <v>2.39969109427706</v>
      </c>
      <c r="CA76" s="0" t="n">
        <v>0.529380540922198</v>
      </c>
      <c r="CB76" s="0" t="n">
        <v>35.1485966452735</v>
      </c>
      <c r="CG76" s="0" t="n">
        <f aca="false" t="array" ref="CG76:CI80">LINEST($BG$3:$BG$41 , $BF$53:$BG$91 , 1 , 1)</f>
        <v>1.83241738107183</v>
      </c>
      <c r="CH76" s="0" t="n">
        <v>0.447763021019435</v>
      </c>
      <c r="CI76" s="0" t="n">
        <v>36.6154193940811</v>
      </c>
      <c r="CN76" s="0" t="n">
        <f aca="false" t="array" ref="CN76:CP80">LINEST($BH$3:$BH$41 , $BF$53:$BG$91 , 1 , 1)</f>
        <v>2.43025907368837</v>
      </c>
      <c r="CO76" s="0" t="n">
        <v>0.298121370541373</v>
      </c>
      <c r="CP76" s="0" t="n">
        <v>36.0061775699594</v>
      </c>
      <c r="CU76" s="0" t="n">
        <f aca="false" t="array" ref="CU76:CV80">LINEST($BH$3:$BH$41 , $BF$3:$BF$41 , 1 , 1)</f>
        <v>0.897991383893762</v>
      </c>
      <c r="CV76" s="0" t="n">
        <v>4.34369537860987</v>
      </c>
      <c r="DC76" s="24" t="str">
        <f aca="false">$BI$137</f>
        <v>Log(Ref)</v>
      </c>
      <c r="DD76" s="0" t="n">
        <v>35.3978793627928</v>
      </c>
      <c r="DE76" s="0" t="n">
        <v>1.25640485318563</v>
      </c>
      <c r="DF76" s="0" t="n">
        <v>28.1739435127467</v>
      </c>
      <c r="DG76" s="0" t="e">
        <v>#VALUE!</v>
      </c>
      <c r="DH76" s="0" t="e">
        <v>#VALUE!</v>
      </c>
      <c r="DI76" s="0" t="e">
        <v>#VALUE!</v>
      </c>
      <c r="DJ76" s="24" t="str">
        <f aca="false">$BI$137</f>
        <v>Log(Ref)</v>
      </c>
      <c r="DK76" s="0" t="n">
        <v>35.3837534712045</v>
      </c>
      <c r="DL76" s="0" t="n">
        <v>1.25025895288179</v>
      </c>
      <c r="DM76" s="0" t="n">
        <v>28.3011398475864</v>
      </c>
      <c r="DN76" s="0" t="n">
        <v>4.58546040505328E-013</v>
      </c>
      <c r="DO76" s="0" t="n">
        <v>32.6827332169367</v>
      </c>
      <c r="DP76" s="0" t="n">
        <v>38.0847737254723</v>
      </c>
      <c r="DQ76" s="24" t="str">
        <f aca="false">$BI$137</f>
        <v>Log(Ref)</v>
      </c>
      <c r="DR76" s="0" t="n">
        <v>36.8895597456153</v>
      </c>
      <c r="DS76" s="0" t="n">
        <v>1.06571417175457</v>
      </c>
      <c r="DT76" s="0" t="n">
        <v>34.614872095471</v>
      </c>
      <c r="DU76" s="0" t="n">
        <v>3.45468025395784E-014</v>
      </c>
      <c r="DV76" s="0" t="n">
        <v>34.5872242522085</v>
      </c>
      <c r="DW76" s="0" t="n">
        <v>39.1918952390221</v>
      </c>
      <c r="DX76" s="24" t="str">
        <f aca="false">$BI$137</f>
        <v>Log(Ref)</v>
      </c>
      <c r="DY76" s="0" t="n">
        <v>36.4342454941221</v>
      </c>
      <c r="DZ76" s="0" t="n">
        <v>1.32103426761648</v>
      </c>
      <c r="EA76" s="0" t="n">
        <v>27.5800911356068</v>
      </c>
      <c r="EB76" s="0" t="n">
        <v>6.3806006143083E-013</v>
      </c>
      <c r="EC76" s="0" t="n">
        <v>33.5803244682502</v>
      </c>
      <c r="ED76" s="0" t="n">
        <v>39.288166519994</v>
      </c>
    </row>
    <row r="77" customFormat="false" ht="12.8" hidden="false" customHeight="false" outlineLevel="0" collapsed="false">
      <c r="A77" s="0" t="s">
        <v>226</v>
      </c>
      <c r="B77" s="8"/>
      <c r="C77" s="8"/>
      <c r="D77" s="8"/>
      <c r="E77" s="8"/>
      <c r="F77" s="8"/>
      <c r="G77" s="8"/>
      <c r="H77" s="8"/>
      <c r="BE77" s="0" t="n">
        <f aca="false">BP27</f>
        <v>0.778151250383644</v>
      </c>
      <c r="BF77" s="12" t="n">
        <f aca="false">BJ27</f>
        <v>3.10408301855785</v>
      </c>
      <c r="BG77" s="8" t="n">
        <f aca="false">BM27</f>
        <v>1.76937732607614</v>
      </c>
      <c r="BH77" s="0" t="n">
        <f aca="false">BP27</f>
        <v>0.778151250383644</v>
      </c>
      <c r="BI77" s="12" t="n">
        <f aca="false">BL27</f>
        <v>2.46994216668405</v>
      </c>
      <c r="BJ77" s="8" t="n">
        <f aca="false">BM27</f>
        <v>1.76937732607614</v>
      </c>
      <c r="BL77" s="0" t="n">
        <f aca="false">BM27</f>
        <v>1.76937732607614</v>
      </c>
      <c r="BM77" s="8" t="n">
        <f aca="false">BL27</f>
        <v>2.46994216668405</v>
      </c>
      <c r="BN77" s="0" t="n">
        <f aca="false">BO27</f>
        <v>0.954242509439325</v>
      </c>
      <c r="BO77" s="8" t="n">
        <f aca="false">BN27</f>
        <v>8.71</v>
      </c>
      <c r="BP77" s="8" t="n">
        <f aca="false">BM27</f>
        <v>1.76937732607614</v>
      </c>
      <c r="BX77" s="8"/>
      <c r="BZ77" s="0" t="n">
        <v>0.368391117050374</v>
      </c>
      <c r="CA77" s="0" t="n">
        <v>0.177600079491109</v>
      </c>
      <c r="CB77" s="0" t="n">
        <v>0.560737580969055</v>
      </c>
      <c r="CG77" s="0" t="n">
        <v>0.449431616710744</v>
      </c>
      <c r="CH77" s="0" t="n">
        <v>0.216669423228062</v>
      </c>
      <c r="CI77" s="0" t="n">
        <v>0.684091406935128</v>
      </c>
      <c r="CN77" s="0" t="n">
        <v>0.439334168736719</v>
      </c>
      <c r="CO77" s="0" t="n">
        <v>0.211801478590301</v>
      </c>
      <c r="CP77" s="0" t="n">
        <v>0.668721822032403</v>
      </c>
      <c r="CU77" s="0" t="n">
        <v>0.0770062079600903</v>
      </c>
      <c r="CV77" s="0" t="n">
        <v>3.06893263104946</v>
      </c>
      <c r="DC77" s="24" t="str">
        <f aca="false">$BJ$137</f>
        <v>Log(σH) 2011</v>
      </c>
      <c r="DD77" s="0" t="n">
        <v>35.3978793627928</v>
      </c>
      <c r="DE77" s="0" t="n">
        <v>1.25640485318563</v>
      </c>
      <c r="DF77" s="0" t="n">
        <v>28.1739435127467</v>
      </c>
      <c r="DG77" s="0" t="e">
        <v>#VALUE!</v>
      </c>
      <c r="DH77" s="0" t="e">
        <v>#VALUE!</v>
      </c>
      <c r="DI77" s="0" t="e">
        <v>#VALUE!</v>
      </c>
      <c r="DJ77" s="24" t="str">
        <f aca="false">$BJ$137</f>
        <v>Log(σH) 2011</v>
      </c>
      <c r="DK77" s="0" t="n">
        <v>35.3837534712045</v>
      </c>
      <c r="DL77" s="0" t="n">
        <v>1.25025895288179</v>
      </c>
      <c r="DM77" s="0" t="n">
        <v>28.3011398475864</v>
      </c>
      <c r="DN77" s="0" t="n">
        <v>4.58546040505328E-013</v>
      </c>
      <c r="DO77" s="0" t="n">
        <v>32.6827332169367</v>
      </c>
      <c r="DP77" s="0" t="n">
        <v>38.0847737254723</v>
      </c>
      <c r="DQ77" s="24" t="str">
        <f aca="false">$BJ$137</f>
        <v>Log(σH) 2011</v>
      </c>
      <c r="DR77" s="0" t="n">
        <v>36.8895597456153</v>
      </c>
      <c r="DS77" s="0" t="n">
        <v>1.06571417175457</v>
      </c>
      <c r="DT77" s="0" t="n">
        <v>34.614872095471</v>
      </c>
      <c r="DU77" s="0" t="n">
        <v>3.45468025395784E-014</v>
      </c>
      <c r="DV77" s="0" t="n">
        <v>34.5872242522085</v>
      </c>
      <c r="DW77" s="0" t="n">
        <v>39.1918952390221</v>
      </c>
      <c r="DX77" s="24" t="str">
        <f aca="false">$BJ$137</f>
        <v>Log(σH) 2011</v>
      </c>
      <c r="DY77" s="0" t="n">
        <v>36.4342454941221</v>
      </c>
      <c r="DZ77" s="0" t="n">
        <v>1.32103426761648</v>
      </c>
      <c r="EA77" s="0" t="n">
        <v>27.5800911356068</v>
      </c>
      <c r="EB77" s="0" t="n">
        <v>6.3806006143083E-013</v>
      </c>
      <c r="EC77" s="0" t="n">
        <v>33.5803244682502</v>
      </c>
      <c r="ED77" s="0" t="n">
        <v>39.288166519994</v>
      </c>
    </row>
    <row r="78" customFormat="false" ht="12" hidden="false" customHeight="true" outlineLevel="0" collapsed="false">
      <c r="A78" s="0" t="s">
        <v>227</v>
      </c>
      <c r="B78" s="8"/>
      <c r="C78" s="8"/>
      <c r="D78" s="8"/>
      <c r="E78" s="8"/>
      <c r="F78" s="8"/>
      <c r="G78" s="8"/>
      <c r="H78" s="8"/>
      <c r="BE78" s="0" t="n">
        <f aca="false">BP28</f>
        <v>1.39794000867204</v>
      </c>
      <c r="BF78" s="12" t="n">
        <f aca="false">BJ28</f>
        <v>2.56730132345877</v>
      </c>
      <c r="BG78" s="8" t="n">
        <f aca="false">BM28</f>
        <v>1.23044892137827</v>
      </c>
      <c r="BH78" s="0" t="n">
        <f aca="false">BP28</f>
        <v>1.39794000867204</v>
      </c>
      <c r="BI78" s="12" t="n">
        <f aca="false">BL28</f>
        <v>1.82381405372363</v>
      </c>
      <c r="BJ78" s="8" t="n">
        <f aca="false">BM28</f>
        <v>1.23044892137827</v>
      </c>
      <c r="BL78" s="0" t="n">
        <f aca="false">BM28</f>
        <v>1.23044892137827</v>
      </c>
      <c r="BM78" s="8" t="n">
        <f aca="false">BL28</f>
        <v>1.82381405372363</v>
      </c>
      <c r="BN78" s="0" t="n">
        <f aca="false">BO28</f>
        <v>1.60205999132796</v>
      </c>
      <c r="BO78" s="8" t="n">
        <f aca="false">BN28</f>
        <v>7.88</v>
      </c>
      <c r="BP78" s="8" t="n">
        <f aca="false">BM28</f>
        <v>1.23044892137827</v>
      </c>
      <c r="BX78" s="8"/>
      <c r="BZ78" s="0" t="n">
        <v>0.672969080781026</v>
      </c>
      <c r="CA78" s="0" t="n">
        <v>0.287334482234988</v>
      </c>
      <c r="CB78" s="0" t="e">
        <v>#N/A</v>
      </c>
      <c r="CG78" s="0" t="n">
        <v>0.459294096722363</v>
      </c>
      <c r="CH78" s="0" t="n">
        <v>0.350543742535347</v>
      </c>
      <c r="CI78" s="0" t="e">
        <v>#N/A</v>
      </c>
      <c r="CN78" s="0" t="n">
        <v>0.546581645629957</v>
      </c>
      <c r="CO78" s="0" t="n">
        <v>0.342668023357476</v>
      </c>
      <c r="CP78" s="0" t="e">
        <v>#N/A</v>
      </c>
      <c r="CU78" s="0" t="n">
        <v>0.786109341529976</v>
      </c>
      <c r="CV78" s="0" t="n">
        <v>0.232150876811674</v>
      </c>
    </row>
    <row r="79" customFormat="false" ht="12" hidden="false" customHeight="true" outlineLevel="0" collapsed="false">
      <c r="A79" s="0" t="s">
        <v>228</v>
      </c>
      <c r="B79" s="8"/>
      <c r="C79" s="8"/>
      <c r="D79" s="8"/>
      <c r="E79" s="8"/>
      <c r="F79" s="8"/>
      <c r="G79" s="8"/>
      <c r="H79" s="8"/>
      <c r="BE79" s="0" t="n">
        <f aca="false">BP29</f>
        <v>2.19589965240923</v>
      </c>
      <c r="BF79" s="12" t="n">
        <f aca="false">BJ29</f>
        <v>2.59311533827612</v>
      </c>
      <c r="BG79" s="8" t="n">
        <f aca="false">BM29</f>
        <v>1.24303804868629</v>
      </c>
      <c r="BH79" s="0" t="n">
        <f aca="false">BP29</f>
        <v>2.19589965240923</v>
      </c>
      <c r="BI79" s="12" t="n">
        <f aca="false">BL29</f>
        <v>1.94462288151652</v>
      </c>
      <c r="BJ79" s="8" t="n">
        <f aca="false">BM29</f>
        <v>1.24303804868629</v>
      </c>
      <c r="BL79" s="0" t="n">
        <f aca="false">BM29</f>
        <v>1.24303804868629</v>
      </c>
      <c r="BM79" s="8" t="n">
        <f aca="false">BL29</f>
        <v>1.94462288151652</v>
      </c>
      <c r="BN79" s="0" t="n">
        <f aca="false">BO29</f>
        <v>2.11058971029925</v>
      </c>
      <c r="BO79" s="8" t="n">
        <f aca="false">BN29</f>
        <v>7.54</v>
      </c>
      <c r="BP79" s="8" t="n">
        <f aca="false">BM29</f>
        <v>1.24303804868629</v>
      </c>
      <c r="BX79" s="8"/>
      <c r="BZ79" s="0" t="n">
        <v>37.0406672341202</v>
      </c>
      <c r="CA79" s="0" t="n">
        <v>36</v>
      </c>
      <c r="CB79" s="0" t="e">
        <v>#N/A</v>
      </c>
      <c r="CG79" s="0" t="n">
        <v>15.2898159440984</v>
      </c>
      <c r="CH79" s="0" t="n">
        <v>36</v>
      </c>
      <c r="CI79" s="0" t="e">
        <v>#N/A</v>
      </c>
      <c r="CN79" s="0" t="n">
        <v>21.6984370538072</v>
      </c>
      <c r="CO79" s="0" t="n">
        <v>36</v>
      </c>
      <c r="CP79" s="0" t="e">
        <v>#N/A</v>
      </c>
      <c r="CU79" s="0" t="n">
        <v>135.985581813922</v>
      </c>
      <c r="CV79" s="0" t="n">
        <v>37</v>
      </c>
      <c r="DC79" s="0" t="str">
        <f aca="false">$BI$137</f>
        <v>Log(Ref)</v>
      </c>
      <c r="DD79" s="0" t="str">
        <f aca="false">$BJ$137</f>
        <v>Log(σH) 2011</v>
      </c>
      <c r="DE79" s="0" t="s">
        <v>157</v>
      </c>
      <c r="DF79" s="0" t="n">
        <f aca="false">$BE$137</f>
        <v>0</v>
      </c>
      <c r="DG79" s="0" t="s">
        <v>133</v>
      </c>
      <c r="DJ79" s="0" t="str">
        <f aca="false">$BI$137</f>
        <v>Log(Ref)</v>
      </c>
      <c r="DK79" s="0" t="str">
        <f aca="false">$BJ$137</f>
        <v>Log(σH) 2011</v>
      </c>
      <c r="DL79" s="0" t="s">
        <v>157</v>
      </c>
      <c r="DM79" s="0" t="str">
        <f aca="false">$BF$137</f>
        <v>Log(LHβ) 2011</v>
      </c>
      <c r="DN79" s="0" t="s">
        <v>133</v>
      </c>
      <c r="DQ79" s="0" t="str">
        <f aca="false">$BI$137</f>
        <v>Log(Ref)</v>
      </c>
      <c r="DR79" s="0" t="str">
        <f aca="false">$BJ$137</f>
        <v>Log(σH) 2011</v>
      </c>
      <c r="DS79" s="0" t="s">
        <v>157</v>
      </c>
      <c r="DT79" s="0" t="str">
        <f aca="false">$BG$137</f>
        <v>Full Log(LHβ) 2007</v>
      </c>
      <c r="DU79" s="0" t="s">
        <v>133</v>
      </c>
      <c r="DX79" s="0" t="str">
        <f aca="false">$BI$137</f>
        <v>Log(Ref)</v>
      </c>
      <c r="DY79" s="0" t="str">
        <f aca="false">$BJ$137</f>
        <v>Log(σH) 2011</v>
      </c>
      <c r="DZ79" s="0" t="s">
        <v>157</v>
      </c>
      <c r="EA79" s="0" t="str">
        <f aca="false">$BH$137</f>
        <v>BK Log(LHβ) 2007</v>
      </c>
      <c r="EB79" s="0" t="s">
        <v>133</v>
      </c>
    </row>
    <row r="80" customFormat="false" ht="12.8" hidden="false" customHeight="false" outlineLevel="0" collapsed="false">
      <c r="A80" s="35" t="s">
        <v>229</v>
      </c>
      <c r="B80" s="36"/>
      <c r="C80" s="35"/>
      <c r="G80" s="8"/>
      <c r="H80" s="8"/>
      <c r="BE80" s="0" t="n">
        <f aca="false">BP30</f>
        <v>1.74036268949424</v>
      </c>
      <c r="BF80" s="12" t="n">
        <f aca="false">BJ30</f>
        <v>2.59318251388042</v>
      </c>
      <c r="BG80" s="8" t="n">
        <f aca="false">BM30</f>
        <v>1.3096301674259</v>
      </c>
      <c r="BH80" s="0" t="n">
        <f aca="false">BP30</f>
        <v>1.74036268949424</v>
      </c>
      <c r="BI80" s="12" t="n">
        <f aca="false">BL30</f>
        <v>1.91210243315721</v>
      </c>
      <c r="BJ80" s="8" t="n">
        <f aca="false">BM30</f>
        <v>1.3096301674259</v>
      </c>
      <c r="BL80" s="0" t="n">
        <f aca="false">BM30</f>
        <v>1.3096301674259</v>
      </c>
      <c r="BM80" s="8" t="n">
        <f aca="false">BL30</f>
        <v>1.91210243315721</v>
      </c>
      <c r="BN80" s="0" t="n">
        <f aca="false">BO30</f>
        <v>1.70757017609794</v>
      </c>
      <c r="BO80" s="8" t="n">
        <f aca="false">BN30</f>
        <v>8.26</v>
      </c>
      <c r="BP80" s="8" t="n">
        <f aca="false">BM30</f>
        <v>1.3096301674259</v>
      </c>
      <c r="BX80" s="8"/>
      <c r="BZ80" s="0" t="n">
        <v>6.11623680995901</v>
      </c>
      <c r="CA80" s="0" t="n">
        <v>2.97219976852496</v>
      </c>
      <c r="CB80" s="0" t="e">
        <v>#N/A</v>
      </c>
      <c r="CG80" s="0" t="n">
        <v>3.75765315995507</v>
      </c>
      <c r="CH80" s="0" t="n">
        <v>4.42371295550476</v>
      </c>
      <c r="CI80" s="0" t="e">
        <v>#N/A</v>
      </c>
      <c r="CN80" s="0" t="n">
        <v>5.09572059507702</v>
      </c>
      <c r="CO80" s="0" t="n">
        <v>4.22716947234191</v>
      </c>
      <c r="CP80" s="0" t="e">
        <v>#N/A</v>
      </c>
      <c r="CU80" s="0" t="n">
        <v>7.32881097205505</v>
      </c>
      <c r="CV80" s="0" t="n">
        <v>1.99407909536388</v>
      </c>
      <c r="DC80" s="0" t="n">
        <f aca="false" t="array" ref="DC80:DD95">$BI$138:$BJ$153</f>
        <v>2.87121125667452</v>
      </c>
      <c r="DD80" s="0" t="n">
        <v>1.52762990087134</v>
      </c>
      <c r="DE80" s="0" t="e">
        <f aca="false" t="array" ref="DE80:DE95">MMULT($DC$80:$DD$95 , $DD$76:$DD$77) + $DD$75</f>
        <v>#VALUE!</v>
      </c>
      <c r="DF80" s="0" t="n">
        <f aca="false" t="array" ref="DF80:DF95">$BE$138:$BE$153</f>
        <v>0</v>
      </c>
      <c r="DG80" s="0" t="e">
        <f aca="false" t="array" ref="DG80:DG95">$DF$80:$DF$95 - $DE$80:$DE$95</f>
        <v>#VALUE!</v>
      </c>
      <c r="DJ80" s="0" t="n">
        <f aca="false" t="array" ref="DJ80:DK95">$BI$138:$BJ$153</f>
        <v>2.87121125667452</v>
      </c>
      <c r="DK80" s="0" t="n">
        <v>1.52762990087134</v>
      </c>
      <c r="DL80" s="0" t="n">
        <f aca="false" t="array" ref="DL80:DL95">MMULT($DJ$80:$DK$95 , $DK$76:$DK$77) + $DK$75</f>
        <v>191.043874576779</v>
      </c>
      <c r="DM80" s="0" t="n">
        <f aca="false" t="array" ref="DM80:DM95">$BF$138:$BF$153</f>
        <v>39.9963150223595</v>
      </c>
      <c r="DN80" s="0" t="n">
        <f aca="false" t="array" ref="DN80:DN95">$DM$80:$DM$95 - $DL$80:$DL$95</f>
        <v>-151.047559554419</v>
      </c>
      <c r="DQ80" s="0" t="n">
        <f aca="false" t="array" ref="DQ80:DR95">$BI$138:$BJ$153</f>
        <v>2.87121125667452</v>
      </c>
      <c r="DR80" s="0" t="n">
        <v>1.52762990087134</v>
      </c>
      <c r="DS80" s="0" t="n">
        <f aca="false" t="array" ref="DS80:DS95">MMULT($DQ$80:$DR$95 , $DR$76:$DR$77) + $DR$75</f>
        <v>199.160873438375</v>
      </c>
      <c r="DT80" s="0" t="n">
        <f aca="false" t="array" ref="DT80:DT95">$BG$138:$BG$153</f>
        <v>40.4667860464016</v>
      </c>
      <c r="DU80" s="0" t="n">
        <f aca="false" t="array" ref="DU80:DU95">$DT$80:$DT$95 - $DS$80:$DS$95</f>
        <v>-158.694087391973</v>
      </c>
      <c r="DX80" s="0" t="n">
        <f aca="false" t="array" ref="DX80:DY95">$BI$138:$BJ$153</f>
        <v>2.87121125667452</v>
      </c>
      <c r="DY80" s="0" t="n">
        <v>1.52762990087134</v>
      </c>
      <c r="DZ80" s="0" t="n">
        <f aca="false" t="array" ref="DZ80:DZ95">MMULT($DX$80:$DY$95 , $DY$76:$DY$77) + $DY$75</f>
        <v>196.702704117796</v>
      </c>
      <c r="EA80" s="0" t="n">
        <f aca="false" t="array" ref="EA80:EA95">$BH$138:$BH$153</f>
        <v>40.4667860464016</v>
      </c>
      <c r="EB80" s="0" t="n">
        <f aca="false" t="array" ref="EB80:EB95">$EA$80:$EA$95 - $DZ$80:$DZ$95</f>
        <v>-156.235918071395</v>
      </c>
    </row>
    <row r="81" customFormat="false" ht="12.8" hidden="false" customHeight="false" outlineLevel="0" collapsed="false">
      <c r="A81" s="0" t="s">
        <v>230</v>
      </c>
      <c r="B81" s="8" t="n">
        <f aca="false">3.08*10^24</f>
        <v>3.08E+024</v>
      </c>
      <c r="G81" s="8"/>
      <c r="H81" s="8"/>
      <c r="BE81" s="0" t="n">
        <f aca="false">BP31</f>
        <v>2.00432137378264</v>
      </c>
      <c r="BF81" s="12" t="n">
        <f aca="false">BJ31</f>
        <v>2.70206666441626</v>
      </c>
      <c r="BG81" s="8" t="n">
        <f aca="false">BM31</f>
        <v>1.54900326202579</v>
      </c>
      <c r="BH81" s="0" t="n">
        <f aca="false">BP31</f>
        <v>2.00432137378264</v>
      </c>
      <c r="BI81" s="12" t="n">
        <f aca="false">BL31</f>
        <v>2.04195187164556</v>
      </c>
      <c r="BJ81" s="8" t="n">
        <f aca="false">BM31</f>
        <v>1.54900326202579</v>
      </c>
      <c r="BL81" s="0" t="n">
        <f aca="false">BM31</f>
        <v>1.54900326202579</v>
      </c>
      <c r="BM81" s="8" t="n">
        <f aca="false">BL31</f>
        <v>2.04195187164556</v>
      </c>
      <c r="BN81" s="0" t="n">
        <f aca="false">BO31</f>
        <v>2</v>
      </c>
      <c r="BO81" s="8" t="n">
        <f aca="false">BN31</f>
        <v>8.01</v>
      </c>
      <c r="BP81" s="8" t="n">
        <f aca="false">BM31</f>
        <v>1.54900326202579</v>
      </c>
      <c r="BX81" s="8"/>
      <c r="DC81" s="0" t="n">
        <v>2.83671772153776</v>
      </c>
      <c r="DD81" s="0" t="n">
        <v>1.54530711646582</v>
      </c>
      <c r="DE81" s="0" t="e">
        <v>#VALUE!</v>
      </c>
      <c r="DF81" s="0" t="n">
        <v>0</v>
      </c>
      <c r="DG81" s="0" t="e">
        <v>#VALUE!</v>
      </c>
      <c r="DJ81" s="0" t="n">
        <v>2.83671772153776</v>
      </c>
      <c r="DK81" s="0" t="n">
        <v>1.54530711646582</v>
      </c>
      <c r="DL81" s="0" t="n">
        <v>190.448850071802</v>
      </c>
      <c r="DM81" s="0" t="n">
        <v>40.3308782653967</v>
      </c>
      <c r="DN81" s="0" t="n">
        <v>-150.117971806405</v>
      </c>
      <c r="DQ81" s="0" t="n">
        <v>2.83671772153776</v>
      </c>
      <c r="DR81" s="0" t="n">
        <v>1.54530711646582</v>
      </c>
      <c r="DS81" s="0" t="n">
        <v>198.540526813919</v>
      </c>
      <c r="DT81" s="0" t="n">
        <v>40.6750396842358</v>
      </c>
      <c r="DU81" s="0" t="n">
        <v>-157.865487129683</v>
      </c>
      <c r="DX81" s="0" t="n">
        <v>2.83671772153776</v>
      </c>
      <c r="DY81" s="0" t="n">
        <v>1.54530711646582</v>
      </c>
      <c r="DZ81" s="0" t="n">
        <v>196.090014203285</v>
      </c>
      <c r="EA81" s="0" t="n">
        <v>40.6750396842358</v>
      </c>
      <c r="EB81" s="0" t="n">
        <v>-155.414974519049</v>
      </c>
    </row>
    <row r="82" customFormat="false" ht="12.8" hidden="false" customHeight="false" outlineLevel="0" collapsed="false">
      <c r="A82" s="0" t="s">
        <v>231</v>
      </c>
      <c r="B82" s="8" t="n">
        <v>0.161</v>
      </c>
      <c r="E82" s="2"/>
      <c r="F82" s="0" t="s">
        <v>232</v>
      </c>
      <c r="G82" s="8"/>
      <c r="H82" s="8"/>
      <c r="BE82" s="0" t="n">
        <f aca="false">BP32</f>
        <v>0.778151250383644</v>
      </c>
      <c r="BF82" s="12" t="n">
        <f aca="false">BJ32</f>
        <v>2.85513640282165</v>
      </c>
      <c r="BG82" s="8" t="n">
        <f aca="false">BM32</f>
        <v>1.38021124171161</v>
      </c>
      <c r="BH82" s="0" t="n">
        <f aca="false">BP32</f>
        <v>0.778151250383644</v>
      </c>
      <c r="BI82" s="12" t="n">
        <f aca="false">BL32</f>
        <v>2.02175318417612</v>
      </c>
      <c r="BJ82" s="8" t="n">
        <f aca="false">BM32</f>
        <v>1.38021124171161</v>
      </c>
      <c r="BL82" s="0" t="n">
        <f aca="false">BM32</f>
        <v>1.38021124171161</v>
      </c>
      <c r="BM82" s="8" t="n">
        <f aca="false">BL32</f>
        <v>2.02175318417612</v>
      </c>
      <c r="BN82" s="0" t="n">
        <f aca="false">BO32</f>
        <v>0.698970004336019</v>
      </c>
      <c r="BO82" s="8" t="n">
        <f aca="false">BN32</f>
        <v>8.48</v>
      </c>
      <c r="BP82" s="8" t="n">
        <f aca="false">BM32</f>
        <v>1.38021124171161</v>
      </c>
      <c r="BX82" s="8"/>
      <c r="BZ82" s="0" t="s">
        <v>100</v>
      </c>
      <c r="CG82" s="0" t="s">
        <v>100</v>
      </c>
      <c r="CN82" s="0" t="s">
        <v>100</v>
      </c>
      <c r="CU82" s="0" t="s">
        <v>100</v>
      </c>
      <c r="DC82" s="0" t="n">
        <v>2.65881683983858</v>
      </c>
      <c r="DD82" s="0" t="n">
        <v>1.53781909507327</v>
      </c>
      <c r="DE82" s="0" t="e">
        <v>#VALUE!</v>
      </c>
      <c r="DF82" s="0" t="n">
        <v>0</v>
      </c>
      <c r="DG82" s="0" t="e">
        <v>#VALUE!</v>
      </c>
      <c r="DJ82" s="0" t="n">
        <v>2.65881683983858</v>
      </c>
      <c r="DK82" s="0" t="n">
        <v>1.53781909507327</v>
      </c>
      <c r="DL82" s="0" t="n">
        <v>183.889094828507</v>
      </c>
      <c r="DM82" s="0" t="n">
        <v>40.5363222856562</v>
      </c>
      <c r="DN82" s="0" t="n">
        <v>-143.352772542851</v>
      </c>
      <c r="DQ82" s="0" t="n">
        <v>2.65881683983858</v>
      </c>
      <c r="DR82" s="0" t="n">
        <v>1.53781909507327</v>
      </c>
      <c r="DS82" s="0" t="n">
        <v>191.701611797142</v>
      </c>
      <c r="DT82" s="0" t="n">
        <v>40.8519069419647</v>
      </c>
      <c r="DU82" s="0" t="n">
        <v>-150.849704855177</v>
      </c>
      <c r="DX82" s="0" t="n">
        <v>2.65881683983858</v>
      </c>
      <c r="DY82" s="0" t="n">
        <v>1.53781909507327</v>
      </c>
      <c r="DZ82" s="0" t="n">
        <v>189.335509396155</v>
      </c>
      <c r="EA82" s="0" t="n">
        <v>40.8519069419647</v>
      </c>
      <c r="EB82" s="0" t="n">
        <v>-148.48360245419</v>
      </c>
    </row>
    <row r="83" customFormat="false" ht="12.8" hidden="false" customHeight="false" outlineLevel="0" collapsed="false">
      <c r="A83" s="0" t="s">
        <v>233</v>
      </c>
      <c r="B83" s="8" t="n">
        <v>71</v>
      </c>
      <c r="E83" s="33"/>
      <c r="F83" s="0" t="s">
        <v>234</v>
      </c>
      <c r="G83" s="8"/>
      <c r="H83" s="8"/>
      <c r="BE83" s="0" t="n">
        <f aca="false">BP33</f>
        <v>1.25527250510331</v>
      </c>
      <c r="BF83" s="12" t="n">
        <f aca="false">BJ33</f>
        <v>2.7281271270983</v>
      </c>
      <c r="BG83" s="8" t="n">
        <f aca="false">BM33</f>
        <v>1.41161970596323</v>
      </c>
      <c r="BH83" s="0" t="n">
        <f aca="false">BP33</f>
        <v>1.25527250510331</v>
      </c>
      <c r="BI83" s="12" t="n">
        <f aca="false">BL33</f>
        <v>2.07570236963626</v>
      </c>
      <c r="BJ83" s="8" t="n">
        <f aca="false">BM33</f>
        <v>1.41161970596323</v>
      </c>
      <c r="BL83" s="0" t="n">
        <f aca="false">BM33</f>
        <v>1.41161970596323</v>
      </c>
      <c r="BM83" s="8" t="n">
        <f aca="false">BL33</f>
        <v>2.07570236963626</v>
      </c>
      <c r="BN83" s="0" t="n">
        <f aca="false">BO33</f>
        <v>1.04139268515823</v>
      </c>
      <c r="BO83" s="8" t="n">
        <f aca="false">BN33</f>
        <v>7.99</v>
      </c>
      <c r="BP83" s="8" t="n">
        <f aca="false">BM33</f>
        <v>1.41161970596323</v>
      </c>
      <c r="BX83" s="8"/>
      <c r="BZ83" s="0" t="s">
        <v>103</v>
      </c>
      <c r="CA83" s="0" t="n">
        <f aca="false">$BZ$78</f>
        <v>0.672969080781026</v>
      </c>
      <c r="CG83" s="0" t="s">
        <v>103</v>
      </c>
      <c r="CH83" s="0" t="n">
        <f aca="false">$CG$78</f>
        <v>0.459294096722363</v>
      </c>
      <c r="CN83" s="0" t="s">
        <v>103</v>
      </c>
      <c r="CO83" s="0" t="n">
        <f aca="false">$CN$78</f>
        <v>0.546581645629957</v>
      </c>
      <c r="CU83" s="0" t="s">
        <v>103</v>
      </c>
      <c r="CV83" s="0" t="n">
        <f aca="false">$CU$78</f>
        <v>0.786109341529976</v>
      </c>
      <c r="DC83" s="0" t="n">
        <v>2.39301947013859</v>
      </c>
      <c r="DD83" s="0" t="n">
        <v>1.51719589794997</v>
      </c>
      <c r="DE83" s="0" t="e">
        <v>#VALUE!</v>
      </c>
      <c r="DF83" s="0" t="n">
        <v>0</v>
      </c>
      <c r="DG83" s="0" t="e">
        <v>#VALUE!</v>
      </c>
      <c r="DJ83" s="0" t="n">
        <v>2.39301947013859</v>
      </c>
      <c r="DK83" s="0" t="n">
        <v>1.51719589794997</v>
      </c>
      <c r="DL83" s="0" t="n">
        <v>173.754460102949</v>
      </c>
      <c r="DM83" s="0" t="n">
        <v>39.7119114592515</v>
      </c>
      <c r="DN83" s="0" t="n">
        <v>-134.042548643697</v>
      </c>
      <c r="DQ83" s="0" t="n">
        <v>2.39301947013859</v>
      </c>
      <c r="DR83" s="0" t="n">
        <v>1.51719589794997</v>
      </c>
      <c r="DS83" s="0" t="n">
        <v>181.135683184941</v>
      </c>
      <c r="DT83" s="0" t="n">
        <v>40.3675165950432</v>
      </c>
      <c r="DU83" s="0" t="n">
        <v>-140.768166589898</v>
      </c>
      <c r="DX83" s="0" t="n">
        <v>2.39301947013859</v>
      </c>
      <c r="DY83" s="0" t="n">
        <v>1.51719589794997</v>
      </c>
      <c r="DZ83" s="0" t="n">
        <v>178.89999214995</v>
      </c>
      <c r="EA83" s="0" t="n">
        <v>40.3675165950432</v>
      </c>
      <c r="EB83" s="0" t="n">
        <v>-138.532475554907</v>
      </c>
    </row>
    <row r="84" customFormat="false" ht="12.8" hidden="false" customHeight="false" outlineLevel="0" collapsed="false">
      <c r="A84" s="0" t="s">
        <v>235</v>
      </c>
      <c r="B84" s="8" t="n">
        <v>299792.458</v>
      </c>
      <c r="E84" s="27"/>
      <c r="F84" s="0" t="s">
        <v>236</v>
      </c>
      <c r="G84" s="8"/>
      <c r="H84" s="8"/>
      <c r="BE84" s="0" t="n">
        <f aca="false">BP34</f>
        <v>2.02118929906994</v>
      </c>
      <c r="BF84" s="12" t="n">
        <f aca="false">BJ34</f>
        <v>2.60593617253213</v>
      </c>
      <c r="BG84" s="8" t="n">
        <f aca="false">BM34</f>
        <v>1.45484486000851</v>
      </c>
      <c r="BH84" s="0" t="n">
        <f aca="false">BP34</f>
        <v>2.02118929906994</v>
      </c>
      <c r="BI84" s="12" t="n">
        <f aca="false">BL34</f>
        <v>2.30379853246947</v>
      </c>
      <c r="BJ84" s="8" t="n">
        <f aca="false">BM34</f>
        <v>1.45484486000851</v>
      </c>
      <c r="BL84" s="0" t="n">
        <f aca="false">BM35</f>
        <v>1.24797326636181</v>
      </c>
      <c r="BM84" s="8" t="n">
        <f aca="false">BL35</f>
        <v>1.58373370004733</v>
      </c>
      <c r="BN84" s="0" t="n">
        <f aca="false">BO35</f>
        <v>1.69019608002851</v>
      </c>
      <c r="BO84" s="8" t="n">
        <f aca="false">BN34</f>
        <v>0</v>
      </c>
      <c r="BP84" s="8" t="n">
        <f aca="false">BM35</f>
        <v>1.24797326636181</v>
      </c>
      <c r="BX84" s="8"/>
      <c r="BZ84" s="0" t="s">
        <v>106</v>
      </c>
      <c r="CA84" s="0" t="n">
        <f aca="false">$CA$78</f>
        <v>0.287334482234988</v>
      </c>
      <c r="CG84" s="0" t="s">
        <v>106</v>
      </c>
      <c r="CH84" s="0" t="n">
        <f aca="false">$CH$78</f>
        <v>0.350543742535347</v>
      </c>
      <c r="CN84" s="0" t="s">
        <v>106</v>
      </c>
      <c r="CO84" s="0" t="n">
        <f aca="false">$CO$78</f>
        <v>0.342668023357476</v>
      </c>
      <c r="CU84" s="0" t="s">
        <v>106</v>
      </c>
      <c r="CV84" s="0" t="n">
        <f aca="false">$CV$78</f>
        <v>0.232150876811674</v>
      </c>
      <c r="DC84" s="0" t="n">
        <v>2.33598198537144</v>
      </c>
      <c r="DD84" s="0" t="n">
        <v>1.32221929473392</v>
      </c>
      <c r="DE84" s="0" t="e">
        <v>#VALUE!</v>
      </c>
      <c r="DF84" s="0" t="n">
        <v>0</v>
      </c>
      <c r="DG84" s="0" t="e">
        <v>#VALUE!</v>
      </c>
      <c r="DJ84" s="0" t="n">
        <v>2.33598198537144</v>
      </c>
      <c r="DK84" s="0" t="n">
        <v>1.32221929473392</v>
      </c>
      <c r="DL84" s="0" t="n">
        <v>164.837255742481</v>
      </c>
      <c r="DM84" s="0" t="n">
        <v>39.8158956218551</v>
      </c>
      <c r="DN84" s="0" t="n">
        <v>-125.021360120626</v>
      </c>
      <c r="DQ84" s="0" t="n">
        <v>2.33598198537144</v>
      </c>
      <c r="DR84" s="0" t="n">
        <v>1.32221929473392</v>
      </c>
      <c r="DS84" s="0" t="n">
        <v>171.838994429548</v>
      </c>
      <c r="DT84" s="0" t="n">
        <v>40.2813702480347</v>
      </c>
      <c r="DU84" s="0" t="n">
        <v>-131.557624181514</v>
      </c>
      <c r="DX84" s="0" t="n">
        <v>2.33598198537144</v>
      </c>
      <c r="DY84" s="0" t="n">
        <v>1.32221929473392</v>
      </c>
      <c r="DZ84" s="0" t="n">
        <v>169.718049000393</v>
      </c>
      <c r="EA84" s="0" t="n">
        <v>40.2813702480347</v>
      </c>
      <c r="EB84" s="0" t="n">
        <v>-129.436678752358</v>
      </c>
    </row>
    <row r="85" customFormat="false" ht="12.8" hidden="false" customHeight="false" outlineLevel="0" collapsed="false">
      <c r="A85" s="0" t="s">
        <v>237</v>
      </c>
      <c r="B85" s="8" t="n">
        <v>3.14159265359</v>
      </c>
      <c r="G85" s="8"/>
      <c r="H85" s="8"/>
      <c r="BE85" s="0" t="n">
        <f aca="false">BP35</f>
        <v>1.85125834871908</v>
      </c>
      <c r="BF85" s="12" t="n">
        <f aca="false">BJ35</f>
        <v>2.81672091333267</v>
      </c>
      <c r="BG85" s="8" t="n">
        <f aca="false">BM35</f>
        <v>1.24797326636181</v>
      </c>
      <c r="BH85" s="0" t="n">
        <f aca="false">BP35</f>
        <v>1.85125834871908</v>
      </c>
      <c r="BI85" s="12" t="n">
        <f aca="false">BL35</f>
        <v>1.58373370004733</v>
      </c>
      <c r="BJ85" s="8" t="n">
        <f aca="false">BM35</f>
        <v>1.24797326636181</v>
      </c>
      <c r="BL85" s="0" t="n">
        <f aca="false">BM36</f>
        <v>1.3541084391474</v>
      </c>
      <c r="BM85" s="8" t="n">
        <f aca="false">BL36</f>
        <v>2.07441923117618</v>
      </c>
      <c r="BN85" s="0" t="n">
        <f aca="false">BO36</f>
        <v>1.46239799789896</v>
      </c>
      <c r="BO85" s="8" t="n">
        <f aca="false">BN35</f>
        <v>8.01</v>
      </c>
      <c r="BP85" s="8" t="n">
        <f aca="false">BM36</f>
        <v>1.3541084391474</v>
      </c>
      <c r="BX85" s="8"/>
      <c r="BZ85" s="0" t="s">
        <v>109</v>
      </c>
      <c r="CA85" s="0" t="n">
        <f aca="false">2</f>
        <v>2</v>
      </c>
      <c r="CG85" s="0" t="s">
        <v>109</v>
      </c>
      <c r="CH85" s="0" t="n">
        <f aca="false">2</f>
        <v>2</v>
      </c>
      <c r="CN85" s="0" t="s">
        <v>109</v>
      </c>
      <c r="CO85" s="0" t="n">
        <f aca="false">2</f>
        <v>2</v>
      </c>
      <c r="CU85" s="0" t="s">
        <v>109</v>
      </c>
      <c r="CV85" s="0" t="n">
        <f aca="false">1</f>
        <v>1</v>
      </c>
      <c r="DC85" s="0" t="n">
        <v>3.06174587184761</v>
      </c>
      <c r="DD85" s="0" t="n">
        <v>1.23299611039215</v>
      </c>
      <c r="DE85" s="0" t="e">
        <v>#VALUE!</v>
      </c>
      <c r="DF85" s="0" t="n">
        <v>0</v>
      </c>
      <c r="DG85" s="0" t="e">
        <v>#VALUE!</v>
      </c>
      <c r="DJ85" s="0" t="n">
        <v>3.06174587184761</v>
      </c>
      <c r="DK85" s="0" t="n">
        <v>1.23299611039215</v>
      </c>
      <c r="DL85" s="0" t="n">
        <v>187.360455021192</v>
      </c>
      <c r="DM85" s="0" t="n">
        <v>39.9770046637507</v>
      </c>
      <c r="DN85" s="0" t="n">
        <v>-147.383450357441</v>
      </c>
      <c r="DQ85" s="0" t="n">
        <v>3.06174587184761</v>
      </c>
      <c r="DR85" s="0" t="n">
        <v>1.23299611039215</v>
      </c>
      <c r="DS85" s="0" t="n">
        <v>195.320700691451</v>
      </c>
      <c r="DT85" s="0" t="n">
        <v>40.5618565782759</v>
      </c>
      <c r="DU85" s="0" t="n">
        <v>-154.758844113175</v>
      </c>
      <c r="DX85" s="0" t="n">
        <v>3.06174587184761</v>
      </c>
      <c r="DY85" s="0" t="n">
        <v>1.23299611039215</v>
      </c>
      <c r="DZ85" s="0" t="n">
        <v>192.909929208958</v>
      </c>
      <c r="EA85" s="0" t="n">
        <v>40.2717584423895</v>
      </c>
      <c r="EB85" s="0" t="n">
        <v>-152.638170766569</v>
      </c>
    </row>
    <row r="86" customFormat="false" ht="12.8" hidden="false" customHeight="false" outlineLevel="0" collapsed="false">
      <c r="A86" s="0" t="s">
        <v>238</v>
      </c>
      <c r="B86" s="8" t="n">
        <f aca="false">-0.335</f>
        <v>-0.335</v>
      </c>
      <c r="BE86" s="0" t="n">
        <f aca="false">BP36</f>
        <v>1.51851393987789</v>
      </c>
      <c r="BF86" s="12" t="n">
        <f aca="false">BJ36</f>
        <v>2.81967486601435</v>
      </c>
      <c r="BG86" s="8" t="n">
        <f aca="false">BM36</f>
        <v>1.3541084391474</v>
      </c>
      <c r="BH86" s="0" t="n">
        <f aca="false">BP36</f>
        <v>1.51851393987789</v>
      </c>
      <c r="BI86" s="12" t="n">
        <f aca="false">BL36</f>
        <v>2.07441923117618</v>
      </c>
      <c r="BJ86" s="8" t="n">
        <f aca="false">BM36</f>
        <v>1.3541084391474</v>
      </c>
      <c r="BL86" s="0" t="n">
        <f aca="false">BM37</f>
        <v>1.20682587603185</v>
      </c>
      <c r="BM86" s="8" t="n">
        <f aca="false">BL37</f>
        <v>1.91822534255641</v>
      </c>
      <c r="BN86" s="0" t="n">
        <f aca="false">BO37</f>
        <v>1.64345267648619</v>
      </c>
      <c r="BO86" s="8" t="n">
        <f aca="false">BN36</f>
        <v>7.74</v>
      </c>
      <c r="BP86" s="8" t="n">
        <f aca="false">BM37</f>
        <v>1.20682587603185</v>
      </c>
      <c r="BX86" s="8"/>
      <c r="BZ86" s="0" t="s">
        <v>112</v>
      </c>
      <c r="CA86" s="0" t="n">
        <f aca="false">39</f>
        <v>39</v>
      </c>
      <c r="CG86" s="0" t="s">
        <v>112</v>
      </c>
      <c r="CH86" s="0" t="n">
        <f aca="false">39</f>
        <v>39</v>
      </c>
      <c r="CN86" s="0" t="s">
        <v>112</v>
      </c>
      <c r="CO86" s="0" t="n">
        <f aca="false">39</f>
        <v>39</v>
      </c>
      <c r="CU86" s="0" t="s">
        <v>112</v>
      </c>
      <c r="CV86" s="0" t="n">
        <f aca="false">39</f>
        <v>39</v>
      </c>
      <c r="DC86" s="0" t="n">
        <v>2.3701921055245</v>
      </c>
      <c r="DD86" s="0" t="n">
        <v>1.23299611039215</v>
      </c>
      <c r="DE86" s="0" t="e">
        <v>#VALUE!</v>
      </c>
      <c r="DF86" s="0" t="n">
        <v>0</v>
      </c>
      <c r="DG86" s="0" t="e">
        <v>#VALUE!</v>
      </c>
      <c r="DJ86" s="0" t="n">
        <v>2.3701921055245</v>
      </c>
      <c r="DK86" s="0" t="n">
        <v>1.23299611039215</v>
      </c>
      <c r="DL86" s="0" t="n">
        <v>162.890687041532</v>
      </c>
      <c r="DM86" s="0" t="n">
        <v>39.0888685217564</v>
      </c>
      <c r="DN86" s="0" t="n">
        <v>-123.801818519776</v>
      </c>
      <c r="DQ86" s="0" t="n">
        <v>2.3701921055245</v>
      </c>
      <c r="DR86" s="0" t="n">
        <v>1.23299611039215</v>
      </c>
      <c r="DS86" s="0" t="n">
        <v>169.80958671137</v>
      </c>
      <c r="DT86" s="0" t="n">
        <v>39.807392282766</v>
      </c>
      <c r="DU86" s="0" t="n">
        <v>-130.002194428604</v>
      </c>
      <c r="DX86" s="0" t="n">
        <v>2.3701921055245</v>
      </c>
      <c r="DY86" s="0" t="n">
        <v>1.23299611039215</v>
      </c>
      <c r="DZ86" s="0" t="n">
        <v>167.713689514357</v>
      </c>
      <c r="EA86" s="0" t="n">
        <v>39.2678630647137</v>
      </c>
      <c r="EB86" s="0" t="n">
        <v>-128.445826449643</v>
      </c>
    </row>
    <row r="87" customFormat="false" ht="12.8" hidden="false" customHeight="false" outlineLevel="0" collapsed="false">
      <c r="A87" s="0" t="s">
        <v>239</v>
      </c>
      <c r="B87" s="8" t="n">
        <f aca="false">(B82*B85)/(60*60*180)</f>
        <v>7.80550026586404E-007</v>
      </c>
      <c r="BE87" s="0" t="n">
        <f aca="false">BP37</f>
        <v>1.69897000433602</v>
      </c>
      <c r="BF87" s="12" t="n">
        <f aca="false">BJ37</f>
        <v>2.98153856858654</v>
      </c>
      <c r="BG87" s="8" t="n">
        <f aca="false">BM37</f>
        <v>1.20682587603185</v>
      </c>
      <c r="BH87" s="0" t="n">
        <f aca="false">BP37</f>
        <v>1.69897000433602</v>
      </c>
      <c r="BI87" s="12" t="n">
        <f aca="false">BL37</f>
        <v>1.91822534255641</v>
      </c>
      <c r="BJ87" s="8" t="n">
        <f aca="false">BM37</f>
        <v>1.20682587603185</v>
      </c>
      <c r="BL87" s="0" t="n">
        <f aca="false">BM38</f>
        <v>1.09691001300806</v>
      </c>
      <c r="BM87" s="8" t="n">
        <f aca="false">BL38</f>
        <v>1.53606284006086</v>
      </c>
      <c r="BN87" s="0" t="n">
        <f aca="false">BO38</f>
        <v>2.19033169817029</v>
      </c>
      <c r="BO87" s="8" t="n">
        <f aca="false">BN37</f>
        <v>7.95</v>
      </c>
      <c r="BP87" s="8" t="n">
        <f aca="false">BM38</f>
        <v>1.09691001300806</v>
      </c>
      <c r="BX87" s="8"/>
      <c r="BZ87" s="0" t="s">
        <v>115</v>
      </c>
      <c r="CA87" s="0" t="n">
        <f aca="false">1 - (1 - $BZ$78)*($CA$86 - 1)/($CA$86 - $CA$85 - 1)</f>
        <v>0.654800696379972</v>
      </c>
      <c r="CG87" s="0" t="s">
        <v>115</v>
      </c>
      <c r="CH87" s="0" t="n">
        <f aca="false">1 - (1 - $CG$78)*($CH$86 - 1)/($CH$86 - $CH$85 - 1)</f>
        <v>0.429254879873605</v>
      </c>
      <c r="CN87" s="0" t="s">
        <v>115</v>
      </c>
      <c r="CO87" s="0" t="n">
        <f aca="false">1 - (1 - $CN$78)*($CO$86 - 1)/($CO$86 - $CO$85 - 1)</f>
        <v>0.521391737053843</v>
      </c>
      <c r="CU87" s="0" t="s">
        <v>115</v>
      </c>
      <c r="CV87" s="0" t="n">
        <f aca="false">1 - (1 - $CU$78)*($CV$86 - 1)/($CV$86 - $CV$85 - 1)</f>
        <v>0.780328512922678</v>
      </c>
      <c r="DC87" s="0" t="n">
        <v>3.01564094745514</v>
      </c>
      <c r="DD87" s="0" t="n">
        <v>1.48572142648158</v>
      </c>
      <c r="DE87" s="0" t="e">
        <v>#VALUE!</v>
      </c>
      <c r="DF87" s="0" t="n">
        <v>0</v>
      </c>
      <c r="DG87" s="0" t="e">
        <v>#VALUE!</v>
      </c>
      <c r="DJ87" s="0" t="n">
        <v>3.01564094745514</v>
      </c>
      <c r="DK87" s="0" t="n">
        <v>1.48572142648158</v>
      </c>
      <c r="DL87" s="0" t="n">
        <v>194.671460023121</v>
      </c>
      <c r="DM87" s="0" t="n">
        <v>40.3263420583806</v>
      </c>
      <c r="DN87" s="0" t="n">
        <v>-154.34511796474</v>
      </c>
      <c r="DQ87" s="0" t="n">
        <v>3.01564094745514</v>
      </c>
      <c r="DR87" s="0" t="n">
        <v>1.48572142648158</v>
      </c>
      <c r="DS87" s="0" t="n">
        <v>202.942835975619</v>
      </c>
      <c r="DT87" s="0" t="n">
        <v>40.3264007404092</v>
      </c>
      <c r="DU87" s="0" t="n">
        <v>-162.616435235209</v>
      </c>
      <c r="DX87" s="0" t="n">
        <v>3.01564094745514</v>
      </c>
      <c r="DY87" s="0" t="n">
        <v>1.48572142648158</v>
      </c>
      <c r="DZ87" s="0" t="n">
        <v>200.437987284137</v>
      </c>
      <c r="EA87" s="0" t="n">
        <v>40.3264007404092</v>
      </c>
      <c r="EB87" s="0" t="n">
        <v>-160.111586543728</v>
      </c>
    </row>
    <row r="88" customFormat="false" ht="12.8" hidden="false" customHeight="false" outlineLevel="0" collapsed="false">
      <c r="A88" s="0" t="s">
        <v>240</v>
      </c>
      <c r="B88" s="0" t="n">
        <v>0</v>
      </c>
      <c r="BE88" s="0" t="n">
        <f aca="false">BP38</f>
        <v>2.05307844348342</v>
      </c>
      <c r="BF88" s="12" t="n">
        <f aca="false">BJ38</f>
        <v>2.5381406092624</v>
      </c>
      <c r="BG88" s="8" t="n">
        <f aca="false">BM38</f>
        <v>1.09691001300806</v>
      </c>
      <c r="BH88" s="0" t="n">
        <f aca="false">BP38</f>
        <v>2.05307844348342</v>
      </c>
      <c r="BI88" s="12" t="n">
        <f aca="false">BL38</f>
        <v>1.53606284006086</v>
      </c>
      <c r="BJ88" s="8" t="n">
        <f aca="false">BM38</f>
        <v>1.09691001300806</v>
      </c>
      <c r="BL88" s="0" t="n">
        <f aca="false">BM39</f>
        <v>1.28330122870355</v>
      </c>
      <c r="BM88" s="8" t="n">
        <f aca="false">BL39</f>
        <v>1.58559671011752</v>
      </c>
      <c r="BN88" s="0" t="n">
        <f aca="false">BO39</f>
        <v>1.86923171973098</v>
      </c>
      <c r="BO88" s="8" t="n">
        <f aca="false">BN38</f>
        <v>7.77</v>
      </c>
      <c r="BP88" s="8" t="n">
        <f aca="false">BM39</f>
        <v>1.28330122870355</v>
      </c>
      <c r="BX88" s="8"/>
      <c r="DC88" s="0" t="n">
        <v>2.78979408705346</v>
      </c>
      <c r="DD88" s="0" t="n">
        <v>1.25527250510331</v>
      </c>
      <c r="DE88" s="0" t="e">
        <v>#VALUE!</v>
      </c>
      <c r="DF88" s="0" t="n">
        <v>0</v>
      </c>
      <c r="DG88" s="0" t="e">
        <v>#VALUE!</v>
      </c>
      <c r="DJ88" s="0" t="n">
        <v>2.78979408705346</v>
      </c>
      <c r="DK88" s="0" t="n">
        <v>1.25527250510331</v>
      </c>
      <c r="DL88" s="0" t="n">
        <v>178.526002570669</v>
      </c>
      <c r="DM88" s="0" t="n">
        <v>39.8138398098754</v>
      </c>
      <c r="DN88" s="0" t="n">
        <v>-138.712162760793</v>
      </c>
      <c r="DQ88" s="0" t="n">
        <v>2.78979408705346</v>
      </c>
      <c r="DR88" s="0" t="n">
        <v>1.25527250510331</v>
      </c>
      <c r="DS88" s="0" t="n">
        <v>186.110285471975</v>
      </c>
      <c r="DT88" s="0" t="n">
        <v>40.2861528339909</v>
      </c>
      <c r="DU88" s="0" t="n">
        <v>-145.824132637984</v>
      </c>
      <c r="DX88" s="0" t="n">
        <v>2.78979408705346</v>
      </c>
      <c r="DY88" s="0" t="n">
        <v>1.25527250510331</v>
      </c>
      <c r="DZ88" s="0" t="n">
        <v>183.813194752834</v>
      </c>
      <c r="EA88" s="0" t="n">
        <v>39.8999512285901</v>
      </c>
      <c r="EB88" s="0" t="n">
        <v>-143.913243524244</v>
      </c>
    </row>
    <row r="89" customFormat="false" ht="12.8" hidden="false" customHeight="false" outlineLevel="0" collapsed="false">
      <c r="A89" s="0" t="s">
        <v>241</v>
      </c>
      <c r="B89" s="0" t="s">
        <v>242</v>
      </c>
      <c r="BE89" s="0" t="n">
        <f aca="false">BP39</f>
        <v>1.97772360528885</v>
      </c>
      <c r="BF89" s="12" t="n">
        <f aca="false">BJ39</f>
        <v>2.37977395062333</v>
      </c>
      <c r="BG89" s="8" t="n">
        <f aca="false">BM39</f>
        <v>1.28330122870355</v>
      </c>
      <c r="BH89" s="0" t="n">
        <f aca="false">BP39</f>
        <v>1.97772360528885</v>
      </c>
      <c r="BI89" s="12" t="n">
        <f aca="false">BL39</f>
        <v>1.58559671011752</v>
      </c>
      <c r="BJ89" s="8" t="n">
        <f aca="false">BM39</f>
        <v>1.28330122870355</v>
      </c>
      <c r="BL89" s="0" t="n">
        <f aca="false">BM40</f>
        <v>1.23552844690755</v>
      </c>
      <c r="BM89" s="8" t="n">
        <f aca="false">BL40</f>
        <v>1.92192076742725</v>
      </c>
      <c r="BN89" s="0" t="n">
        <f aca="false">BO40</f>
        <v>1.27875360095283</v>
      </c>
      <c r="BO89" s="8" t="n">
        <f aca="false">BN39</f>
        <v>7.92</v>
      </c>
      <c r="BP89" s="8" t="n">
        <f aca="false">BM40</f>
        <v>1.23552844690755</v>
      </c>
      <c r="BX89" s="8"/>
      <c r="BZ89" s="0" t="s">
        <v>120</v>
      </c>
      <c r="CG89" s="0" t="s">
        <v>120</v>
      </c>
      <c r="CN89" s="0" t="s">
        <v>120</v>
      </c>
      <c r="CU89" s="0" t="s">
        <v>120</v>
      </c>
      <c r="DC89" s="0" t="n">
        <v>2.69731789498893</v>
      </c>
      <c r="DD89" s="0" t="n">
        <v>1.39269695325967</v>
      </c>
      <c r="DE89" s="0" t="e">
        <v>#VALUE!</v>
      </c>
      <c r="DF89" s="0" t="n">
        <v>0</v>
      </c>
      <c r="DG89" s="0" t="e">
        <v>#VALUE!</v>
      </c>
      <c r="DJ89" s="0" t="n">
        <v>2.69731789498893</v>
      </c>
      <c r="DK89" s="0" t="n">
        <v>1.39269695325967</v>
      </c>
      <c r="DL89" s="0" t="n">
        <v>180.116440583183</v>
      </c>
      <c r="DM89" s="0" t="n">
        <v>39.5808250944804</v>
      </c>
      <c r="DN89" s="0" t="n">
        <v>-140.535615488702</v>
      </c>
      <c r="DQ89" s="0" t="n">
        <v>2.69731789498893</v>
      </c>
      <c r="DR89" s="0" t="n">
        <v>1.39269695325967</v>
      </c>
      <c r="DS89" s="0" t="n">
        <v>187.768406850536</v>
      </c>
      <c r="DT89" s="0" t="n">
        <v>40.2880850465456</v>
      </c>
      <c r="DU89" s="0" t="n">
        <v>-147.48032180399</v>
      </c>
      <c r="DX89" s="0" t="n">
        <v>2.69731789498893</v>
      </c>
      <c r="DY89" s="0" t="n">
        <v>1.39269695325967</v>
      </c>
      <c r="DZ89" s="0" t="n">
        <v>185.450850549816</v>
      </c>
      <c r="EA89" s="0" t="n">
        <v>39.4996349548837</v>
      </c>
      <c r="EB89" s="0" t="n">
        <v>-145.951215594932</v>
      </c>
    </row>
    <row r="90" customFormat="false" ht="12.8" hidden="false" customHeight="false" outlineLevel="0" collapsed="false">
      <c r="A90" s="0" t="s">
        <v>243</v>
      </c>
      <c r="B90" s="0" t="s">
        <v>244</v>
      </c>
      <c r="BE90" s="0" t="n">
        <f aca="false">BP40</f>
        <v>1.07918124604762</v>
      </c>
      <c r="BF90" s="12" t="n">
        <f aca="false">BJ40</f>
        <v>2.77079593079515</v>
      </c>
      <c r="BG90" s="8" t="n">
        <f aca="false">BM40</f>
        <v>1.23552844690755</v>
      </c>
      <c r="BH90" s="0" t="n">
        <f aca="false">BP40</f>
        <v>1.07918124604762</v>
      </c>
      <c r="BI90" s="12" t="n">
        <f aca="false">BL40</f>
        <v>1.92192076742725</v>
      </c>
      <c r="BJ90" s="8" t="n">
        <f aca="false">BM40</f>
        <v>1.23552844690755</v>
      </c>
      <c r="BL90" s="0" t="n">
        <f aca="false">BM41</f>
        <v>1.22788670461367</v>
      </c>
      <c r="BM90" s="8" t="n">
        <f aca="false">BL41</f>
        <v>1.75461831766389</v>
      </c>
      <c r="BN90" s="0" t="n">
        <f aca="false">BO41</f>
        <v>2.72835378202123</v>
      </c>
      <c r="BO90" s="8" t="n">
        <f aca="false">BN40</f>
        <v>7.85</v>
      </c>
      <c r="BP90" s="8" t="n">
        <f aca="false">BM41</f>
        <v>1.22788670461367</v>
      </c>
      <c r="BX90" s="8"/>
      <c r="CA90" s="0" t="s">
        <v>123</v>
      </c>
      <c r="CB90" s="0" t="s">
        <v>124</v>
      </c>
      <c r="CC90" s="0" t="s">
        <v>125</v>
      </c>
      <c r="CD90" s="0" t="s">
        <v>126</v>
      </c>
      <c r="CE90" s="0" t="s">
        <v>127</v>
      </c>
      <c r="CH90" s="0" t="s">
        <v>123</v>
      </c>
      <c r="CI90" s="0" t="s">
        <v>124</v>
      </c>
      <c r="CJ90" s="0" t="s">
        <v>125</v>
      </c>
      <c r="CK90" s="0" t="s">
        <v>126</v>
      </c>
      <c r="CL90" s="0" t="s">
        <v>127</v>
      </c>
      <c r="CO90" s="0" t="s">
        <v>123</v>
      </c>
      <c r="CP90" s="0" t="s">
        <v>124</v>
      </c>
      <c r="CQ90" s="0" t="s">
        <v>125</v>
      </c>
      <c r="CR90" s="0" t="s">
        <v>126</v>
      </c>
      <c r="CS90" s="0" t="s">
        <v>127</v>
      </c>
      <c r="CV90" s="0" t="s">
        <v>123</v>
      </c>
      <c r="CW90" s="0" t="s">
        <v>124</v>
      </c>
      <c r="CX90" s="0" t="s">
        <v>125</v>
      </c>
      <c r="CY90" s="0" t="s">
        <v>126</v>
      </c>
      <c r="CZ90" s="0" t="s">
        <v>127</v>
      </c>
      <c r="DC90" s="0" t="n">
        <v>2.87869411208692</v>
      </c>
      <c r="DD90" s="0" t="n">
        <v>1.50379068305718</v>
      </c>
      <c r="DE90" s="0" t="e">
        <v>#VALUE!</v>
      </c>
      <c r="DF90" s="0" t="n">
        <v>0</v>
      </c>
      <c r="DG90" s="0" t="e">
        <v>#VALUE!</v>
      </c>
      <c r="DJ90" s="0" t="n">
        <v>2.87869411208692</v>
      </c>
      <c r="DK90" s="0" t="n">
        <v>1.50379068305718</v>
      </c>
      <c r="DL90" s="0" t="n">
        <v>190.465125081869</v>
      </c>
      <c r="DM90" s="0" t="n">
        <v>40.3643638589132</v>
      </c>
      <c r="DN90" s="0" t="n">
        <v>-150.100761222956</v>
      </c>
      <c r="DQ90" s="0" t="n">
        <v>2.87869411208692</v>
      </c>
      <c r="DR90" s="0" t="n">
        <v>1.50379068305718</v>
      </c>
      <c r="DS90" s="0" t="n">
        <v>198.557494430334</v>
      </c>
      <c r="DT90" s="0" t="n">
        <v>41.0286745143046</v>
      </c>
      <c r="DU90" s="0" t="n">
        <v>-157.52881991603</v>
      </c>
      <c r="DX90" s="0" t="n">
        <v>2.87869411208692</v>
      </c>
      <c r="DY90" s="0" t="n">
        <v>1.50379068305718</v>
      </c>
      <c r="DZ90" s="0" t="n">
        <v>196.10677239466</v>
      </c>
      <c r="EA90" s="0" t="n">
        <v>40.3849932800756</v>
      </c>
      <c r="EB90" s="0" t="n">
        <v>-155.721779114584</v>
      </c>
    </row>
    <row r="91" customFormat="false" ht="12.8" hidden="false" customHeight="false" outlineLevel="0" collapsed="false">
      <c r="A91" s="0" t="s">
        <v>245</v>
      </c>
      <c r="B91" s="0" t="s">
        <v>246</v>
      </c>
      <c r="BE91" s="0" t="n">
        <f aca="false">BP41</f>
        <v>1.7160033436348</v>
      </c>
      <c r="BF91" s="12" t="n">
        <f aca="false">BJ41</f>
        <v>1.8572240799594</v>
      </c>
      <c r="BG91" s="8" t="n">
        <f aca="false">BM41</f>
        <v>1.22788670461367</v>
      </c>
      <c r="BH91" s="0" t="n">
        <f aca="false">BP41</f>
        <v>1.7160033436348</v>
      </c>
      <c r="BI91" s="12" t="n">
        <f aca="false">BL41</f>
        <v>1.75461831766389</v>
      </c>
      <c r="BJ91" s="8" t="n">
        <f aca="false">BM41</f>
        <v>1.22788670461367</v>
      </c>
      <c r="BL91" s="8"/>
      <c r="BX91" s="8"/>
      <c r="BZ91" s="0" t="s">
        <v>130</v>
      </c>
      <c r="CA91" s="0" t="n">
        <f aca="false">$CA$85</f>
        <v>2</v>
      </c>
      <c r="CB91" s="0" t="n">
        <f aca="false">$BZ$80</f>
        <v>6.11623680995901</v>
      </c>
      <c r="CC91" s="0" t="n">
        <f aca="false">$BZ$80 / $CA$91</f>
        <v>3.0581184049795</v>
      </c>
      <c r="CD91" s="0" t="n">
        <f aca="false">$BZ$79</f>
        <v>37.0406672341202</v>
      </c>
      <c r="CE91" s="0" t="n">
        <f aca="false">FDIST($BZ$79 , $CA$91 , $CA$79)</f>
        <v>1.83062197528946E-009</v>
      </c>
      <c r="CG91" s="0" t="s">
        <v>130</v>
      </c>
      <c r="CH91" s="0" t="n">
        <f aca="false">$CH$85</f>
        <v>2</v>
      </c>
      <c r="CI91" s="0" t="n">
        <f aca="false">$CG$80</f>
        <v>3.75765315995507</v>
      </c>
      <c r="CJ91" s="0" t="n">
        <f aca="false">$CG$80 / $CH$91</f>
        <v>1.87882657997754</v>
      </c>
      <c r="CK91" s="0" t="n">
        <f aca="false">$CG$79</f>
        <v>15.2898159440984</v>
      </c>
      <c r="CL91" s="0" t="n">
        <f aca="false">FDIST($CG$79 , $CH$91 , $CH$79)</f>
        <v>1.56063017554346E-005</v>
      </c>
      <c r="CN91" s="0" t="s">
        <v>130</v>
      </c>
      <c r="CO91" s="0" t="n">
        <f aca="false">$CO$85</f>
        <v>2</v>
      </c>
      <c r="CP91" s="0" t="n">
        <f aca="false">$CN$80</f>
        <v>5.09572059507702</v>
      </c>
      <c r="CQ91" s="0" t="n">
        <f aca="false">$CN$80 / $CO$91</f>
        <v>2.54786029753851</v>
      </c>
      <c r="CR91" s="0" t="n">
        <f aca="false">$CN$79</f>
        <v>21.6984370538072</v>
      </c>
      <c r="CS91" s="0" t="n">
        <f aca="false">FDIST($CN$79 , $CO$91 , $CO$79)</f>
        <v>6.56120692926903E-007</v>
      </c>
      <c r="CU91" s="0" t="s">
        <v>130</v>
      </c>
      <c r="CV91" s="0" t="n">
        <f aca="false">$CV$85</f>
        <v>1</v>
      </c>
      <c r="CW91" s="0" t="n">
        <f aca="false">$CU$80</f>
        <v>7.32881097205505</v>
      </c>
      <c r="CX91" s="0" t="n">
        <f aca="false">$CU$80 / $CV$91</f>
        <v>7.32881097205505</v>
      </c>
      <c r="CY91" s="0" t="n">
        <f aca="false">$CU$79</f>
        <v>135.985581813922</v>
      </c>
      <c r="CZ91" s="0" t="n">
        <f aca="false">FDIST($CU$79 , $CV$91 , $CV$79)</f>
        <v>5.92557712944188E-014</v>
      </c>
      <c r="DC91" s="0" t="n">
        <v>2.61580568669518</v>
      </c>
      <c r="DD91" s="0" t="n">
        <v>1.24303804868629</v>
      </c>
      <c r="DE91" s="0" t="e">
        <v>#VALUE!</v>
      </c>
      <c r="DF91" s="0" t="n">
        <v>0</v>
      </c>
      <c r="DG91" s="0" t="e">
        <v>#VALUE!</v>
      </c>
      <c r="DJ91" s="0" t="n">
        <v>2.61580568669518</v>
      </c>
      <c r="DK91" s="0" t="n">
        <v>1.24303804868629</v>
      </c>
      <c r="DL91" s="0" t="n">
        <v>171.936738915828</v>
      </c>
      <c r="DM91" s="0" t="n">
        <v>39.8907352023789</v>
      </c>
      <c r="DN91" s="0" t="n">
        <v>-132.046003713449</v>
      </c>
      <c r="DQ91" s="0" t="n">
        <v>2.61580568669518</v>
      </c>
      <c r="DR91" s="0" t="n">
        <v>1.24303804868629</v>
      </c>
      <c r="DS91" s="0" t="n">
        <v>179.240606270963</v>
      </c>
      <c r="DT91" s="0" t="n">
        <v>40.3666338830954</v>
      </c>
      <c r="DU91" s="0" t="n">
        <v>-138.873972387868</v>
      </c>
      <c r="DX91" s="0" t="n">
        <v>2.61580568669518</v>
      </c>
      <c r="DY91" s="0" t="n">
        <v>1.24303804868629</v>
      </c>
      <c r="DZ91" s="0" t="n">
        <v>177.028305472466</v>
      </c>
      <c r="EA91" s="0" t="n">
        <v>40.0674853105121</v>
      </c>
      <c r="EB91" s="0" t="n">
        <v>-136.960820161954</v>
      </c>
    </row>
    <row r="92" customFormat="false" ht="12.8" hidden="false" customHeight="false" outlineLevel="0" collapsed="false">
      <c r="A92" s="0" t="s">
        <v>95</v>
      </c>
      <c r="B92" s="0" t="s">
        <v>247</v>
      </c>
      <c r="BX92" s="8"/>
      <c r="BZ92" s="0" t="s">
        <v>133</v>
      </c>
      <c r="CA92" s="0" t="n">
        <f aca="false">$CA$79</f>
        <v>36</v>
      </c>
      <c r="CB92" s="0" t="n">
        <f aca="false">$CA$80</f>
        <v>2.97219976852496</v>
      </c>
      <c r="CC92" s="0" t="n">
        <f aca="false">$CA$80 / $CA$79</f>
        <v>0.082561104681249</v>
      </c>
      <c r="CG92" s="0" t="s">
        <v>133</v>
      </c>
      <c r="CH92" s="0" t="n">
        <f aca="false">$CH$79</f>
        <v>36</v>
      </c>
      <c r="CI92" s="0" t="n">
        <f aca="false">$CH$80</f>
        <v>4.42371295550476</v>
      </c>
      <c r="CJ92" s="0" t="n">
        <f aca="false">$CH$80 / $CH$79</f>
        <v>0.122880915430688</v>
      </c>
      <c r="CN92" s="0" t="s">
        <v>133</v>
      </c>
      <c r="CO92" s="0" t="n">
        <f aca="false">$CO$79</f>
        <v>36</v>
      </c>
      <c r="CP92" s="0" t="n">
        <f aca="false">$CO$80</f>
        <v>4.22716947234191</v>
      </c>
      <c r="CQ92" s="0" t="n">
        <f aca="false">$CO$80 / $CO$79</f>
        <v>0.11742137423172</v>
      </c>
      <c r="CU92" s="0" t="s">
        <v>133</v>
      </c>
      <c r="CV92" s="0" t="n">
        <f aca="false">$CV$79</f>
        <v>37</v>
      </c>
      <c r="CW92" s="0" t="n">
        <f aca="false">$CV$80</f>
        <v>1.99407909536388</v>
      </c>
      <c r="CX92" s="0" t="n">
        <f aca="false">$CV$80 / $CV$79</f>
        <v>0.0538940296044292</v>
      </c>
      <c r="DC92" s="0" t="n">
        <v>2.67493557431311</v>
      </c>
      <c r="DD92" s="0" t="n">
        <v>1.3096301674259</v>
      </c>
      <c r="DE92" s="0" t="e">
        <v>#VALUE!</v>
      </c>
      <c r="DF92" s="0" t="n">
        <v>0</v>
      </c>
      <c r="DG92" s="0" t="e">
        <v>#VALUE!</v>
      </c>
      <c r="DJ92" s="0" t="n">
        <v>2.67493557431311</v>
      </c>
      <c r="DK92" s="0" t="n">
        <v>1.3096301674259</v>
      </c>
      <c r="DL92" s="0" t="n">
        <v>176.385255394688</v>
      </c>
      <c r="DM92" s="0" t="n">
        <v>39.8855611883631</v>
      </c>
      <c r="DN92" s="0" t="n">
        <v>-136.499694206325</v>
      </c>
      <c r="DQ92" s="0" t="n">
        <v>2.67493557431311</v>
      </c>
      <c r="DR92" s="0" t="n">
        <v>1.3096301674259</v>
      </c>
      <c r="DS92" s="0" t="n">
        <v>183.878435735828</v>
      </c>
      <c r="DT92" s="0" t="n">
        <v>40.3210963526474</v>
      </c>
      <c r="DU92" s="0" t="n">
        <v>-143.557339383181</v>
      </c>
      <c r="DX92" s="0" t="n">
        <v>2.67493557431311</v>
      </c>
      <c r="DY92" s="0" t="n">
        <v>1.3096301674259</v>
      </c>
      <c r="DZ92" s="0" t="n">
        <v>181.60889191611</v>
      </c>
      <c r="EA92" s="0" t="n">
        <v>40.3210963526474</v>
      </c>
      <c r="EB92" s="0" t="n">
        <v>-141.287795563463</v>
      </c>
    </row>
    <row r="93" customFormat="false" ht="12.8" hidden="false" customHeight="false" outlineLevel="0" collapsed="false">
      <c r="A93" s="0" t="s">
        <v>182</v>
      </c>
      <c r="B93" s="0" t="s">
        <v>248</v>
      </c>
      <c r="BG93" s="22" t="n">
        <v>11</v>
      </c>
      <c r="BH93" s="22" t="n">
        <v>7</v>
      </c>
      <c r="BI93" s="22" t="s">
        <v>249</v>
      </c>
      <c r="BJ93" s="22"/>
      <c r="BK93" s="12" t="s">
        <v>250</v>
      </c>
      <c r="BL93" s="12"/>
      <c r="BX93" s="8"/>
      <c r="BZ93" s="0" t="s">
        <v>136</v>
      </c>
      <c r="CA93" s="0" t="n">
        <f aca="false">$CA$91 + $CA$79</f>
        <v>38</v>
      </c>
      <c r="CB93" s="0" t="n">
        <f aca="false">$BZ$80 + $CA$80</f>
        <v>9.08843657848397</v>
      </c>
      <c r="CG93" s="0" t="s">
        <v>136</v>
      </c>
      <c r="CH93" s="0" t="n">
        <f aca="false">$CH$91 + $CH$79</f>
        <v>38</v>
      </c>
      <c r="CI93" s="0" t="n">
        <f aca="false">$CG$80 + $CH$80</f>
        <v>8.18136611545983</v>
      </c>
      <c r="CN93" s="0" t="s">
        <v>136</v>
      </c>
      <c r="CO93" s="0" t="n">
        <f aca="false">$CO$91 + $CO$79</f>
        <v>38</v>
      </c>
      <c r="CP93" s="0" t="n">
        <f aca="false">$CN$80 + $CO$80</f>
        <v>9.32289006741893</v>
      </c>
      <c r="CU93" s="0" t="s">
        <v>136</v>
      </c>
      <c r="CV93" s="0" t="n">
        <f aca="false">$CV$91 + $CV$79</f>
        <v>38</v>
      </c>
      <c r="CW93" s="0" t="n">
        <f aca="false">$CU$80 + $CV$80</f>
        <v>9.32289006741893</v>
      </c>
      <c r="DC93" s="0" t="n">
        <v>2.79128793549291</v>
      </c>
      <c r="DD93" s="0" t="n">
        <v>1.54900326202579</v>
      </c>
      <c r="DE93" s="0" t="e">
        <v>#VALUE!</v>
      </c>
      <c r="DF93" s="0" t="n">
        <v>0</v>
      </c>
      <c r="DG93" s="0" t="e">
        <v>#VALUE!</v>
      </c>
      <c r="DJ93" s="0" t="n">
        <v>2.79128793549291</v>
      </c>
      <c r="DK93" s="0" t="n">
        <v>1.54900326202579</v>
      </c>
      <c r="DL93" s="0" t="n">
        <v>188.972157225429</v>
      </c>
      <c r="DM93" s="0" t="n">
        <v>40.8602418490241</v>
      </c>
      <c r="DN93" s="0" t="n">
        <v>-148.111915376405</v>
      </c>
      <c r="DQ93" s="0" t="n">
        <v>2.79128793549291</v>
      </c>
      <c r="DR93" s="0" t="n">
        <v>1.54900326202579</v>
      </c>
      <c r="DS93" s="0" t="n">
        <v>197.00099118985</v>
      </c>
      <c r="DT93" s="0" t="n">
        <v>41.2889669095893</v>
      </c>
      <c r="DU93" s="0" t="n">
        <v>-155.71202428026</v>
      </c>
      <c r="DX93" s="0" t="n">
        <v>2.79128793549291</v>
      </c>
      <c r="DY93" s="0" t="n">
        <v>1.54900326202579</v>
      </c>
      <c r="DZ93" s="0" t="n">
        <v>194.569480500496</v>
      </c>
      <c r="EA93" s="0" t="n">
        <v>40.7432526092177</v>
      </c>
      <c r="EB93" s="0" t="n">
        <v>-153.826227891278</v>
      </c>
    </row>
    <row r="94" customFormat="false" ht="12.8" hidden="false" customHeight="false" outlineLevel="0" collapsed="false">
      <c r="A94" s="0" t="s">
        <v>251</v>
      </c>
      <c r="B94" s="0" t="s">
        <v>252</v>
      </c>
      <c r="AC94" s="8"/>
      <c r="AD94" s="8"/>
      <c r="AE94" s="8"/>
      <c r="AF94" s="8"/>
      <c r="AG94" s="8"/>
      <c r="BF94" s="8"/>
      <c r="BG94" s="8" t="str">
        <f aca="false">BF2</f>
        <v>log (LHβ) (erg s-¹) KTC</v>
      </c>
      <c r="BH94" s="8" t="str">
        <f aca="false">BG2</f>
        <v>log (LHβ) (erg s-¹) NTT</v>
      </c>
      <c r="BI94" s="8" t="str">
        <f aca="false">BH2</f>
        <v>log(LHβ) B.K (erg s-¹) NTT</v>
      </c>
      <c r="BJ94" s="17" t="str">
        <f aca="false">BJ2</f>
        <v>log (R)</v>
      </c>
      <c r="BK94" s="8" t="str">
        <f aca="false">BO2</f>
        <v>log (Whβ) FEROS</v>
      </c>
      <c r="BL94" s="8" t="str">
        <f aca="false">BM2</f>
        <v>log (σHβ) (Km s-¹)</v>
      </c>
      <c r="BM94" s="8" t="str">
        <f aca="false">BN2</f>
        <v>log(O/H)</v>
      </c>
      <c r="BN94" s="17" t="str">
        <f aca="false">BL2</f>
        <v>log (r)</v>
      </c>
      <c r="BX94" s="8"/>
      <c r="DC94" s="0" t="n">
        <v>2.92471211300218</v>
      </c>
      <c r="DD94" s="0" t="n">
        <v>1.38021124171161</v>
      </c>
      <c r="DE94" s="0" t="e">
        <v>#VALUE!</v>
      </c>
      <c r="DF94" s="0" t="n">
        <v>0</v>
      </c>
      <c r="DG94" s="0" t="e">
        <v>#VALUE!</v>
      </c>
      <c r="DJ94" s="0" t="n">
        <v>2.92471211300218</v>
      </c>
      <c r="DK94" s="0" t="n">
        <v>1.38021124171161</v>
      </c>
      <c r="DL94" s="0" t="n">
        <v>187.720710194812</v>
      </c>
      <c r="DM94" s="0" t="n">
        <v>39.5307026003539</v>
      </c>
      <c r="DN94" s="0" t="n">
        <v>-148.190007594458</v>
      </c>
      <c r="DQ94" s="0" t="n">
        <v>2.92471211300218</v>
      </c>
      <c r="DR94" s="0" t="n">
        <v>1.38021124171161</v>
      </c>
      <c r="DS94" s="0" t="n">
        <v>195.696287039624</v>
      </c>
      <c r="DT94" s="0" t="n">
        <v>40.3112205857885</v>
      </c>
      <c r="DU94" s="0" t="n">
        <v>-155.385066453836</v>
      </c>
      <c r="DX94" s="0" t="n">
        <v>2.92471211300218</v>
      </c>
      <c r="DY94" s="0" t="n">
        <v>1.38021124171161</v>
      </c>
      <c r="DZ94" s="0" t="n">
        <v>193.280879833144</v>
      </c>
      <c r="EA94" s="0" t="n">
        <v>39.8411325938</v>
      </c>
      <c r="EB94" s="0" t="n">
        <v>-153.439747239344</v>
      </c>
    </row>
    <row r="95" customFormat="false" ht="12.8" hidden="false" customHeight="false" outlineLevel="0" collapsed="false">
      <c r="A95" s="0" t="s">
        <v>253</v>
      </c>
      <c r="B95" s="0" t="n">
        <v>2.87</v>
      </c>
      <c r="BF95" s="8"/>
      <c r="BG95" s="8" t="n">
        <f aca="false">BF3</f>
        <v>39.4693811697741</v>
      </c>
      <c r="BH95" s="8" t="n">
        <f aca="false">BG3</f>
        <v>39.926839874903</v>
      </c>
      <c r="BI95" s="8" t="n">
        <f aca="false">BH3</f>
        <v>39.926839874903</v>
      </c>
      <c r="BJ95" s="17" t="n">
        <f aca="false">BJ3</f>
        <v>2.62956092768934</v>
      </c>
      <c r="BK95" s="8" t="n">
        <f aca="false">BO3</f>
        <v>1.64345267648619</v>
      </c>
      <c r="BL95" s="8" t="n">
        <f aca="false">BM3</f>
        <v>1.18752072083646</v>
      </c>
      <c r="BM95" s="8" t="n">
        <f aca="false">BN3</f>
        <v>7.73</v>
      </c>
      <c r="BN95" s="17" t="n">
        <f aca="false">BL3</f>
        <v>2.05463340928398</v>
      </c>
      <c r="BX95" s="8"/>
      <c r="BZ95" s="0" t="s">
        <v>141</v>
      </c>
      <c r="CA95" s="0" t="n">
        <v>0.95</v>
      </c>
      <c r="CG95" s="0" t="s">
        <v>141</v>
      </c>
      <c r="CH95" s="0" t="n">
        <v>0.95</v>
      </c>
      <c r="CN95" s="0" t="s">
        <v>141</v>
      </c>
      <c r="CO95" s="0" t="n">
        <v>0.95</v>
      </c>
      <c r="CU95" s="0" t="s">
        <v>141</v>
      </c>
      <c r="CV95" s="0" t="n">
        <v>0.95</v>
      </c>
      <c r="DC95" s="0" t="n">
        <v>2.78105642519169</v>
      </c>
      <c r="DD95" s="0" t="n">
        <v>1.23552844690755</v>
      </c>
      <c r="DE95" s="0" t="e">
        <v>#VALUE!</v>
      </c>
      <c r="DF95" s="0" t="n">
        <v>0</v>
      </c>
      <c r="DG95" s="0" t="e">
        <v>#VALUE!</v>
      </c>
      <c r="DJ95" s="0" t="n">
        <v>2.78105642519169</v>
      </c>
      <c r="DK95" s="0" t="n">
        <v>1.23552844690755</v>
      </c>
      <c r="DL95" s="0" t="n">
        <v>177.518212409717</v>
      </c>
      <c r="DM95" s="0" t="n">
        <v>39.7584397069598</v>
      </c>
      <c r="DN95" s="0" t="n">
        <v>-137.759772702757</v>
      </c>
      <c r="DQ95" s="0" t="n">
        <v>2.78105642519169</v>
      </c>
      <c r="DR95" s="0" t="n">
        <v>1.23552844690755</v>
      </c>
      <c r="DS95" s="0" t="n">
        <v>185.059607358255</v>
      </c>
      <c r="DT95" s="0" t="n">
        <v>40.1263375099171</v>
      </c>
      <c r="DU95" s="0" t="n">
        <v>-144.933269848338</v>
      </c>
      <c r="DX95" s="0" t="n">
        <v>2.78105642519169</v>
      </c>
      <c r="DY95" s="0" t="n">
        <v>1.23552844690755</v>
      </c>
      <c r="DZ95" s="0" t="n">
        <v>182.775484772163</v>
      </c>
      <c r="EA95" s="0" t="n">
        <v>39.9044887603007</v>
      </c>
      <c r="EB95" s="0" t="n">
        <v>-142.870996011862</v>
      </c>
    </row>
    <row r="96" customFormat="false" ht="12.8" hidden="false" customHeight="false" outlineLevel="0" collapsed="false">
      <c r="A96" s="0" t="s">
        <v>254</v>
      </c>
      <c r="B96" s="0" t="s">
        <v>255</v>
      </c>
      <c r="BF96" s="8"/>
      <c r="BG96" s="8" t="n">
        <f aca="false">BF4</f>
        <v>40.1317447055601</v>
      </c>
      <c r="BH96" s="8" t="n">
        <f aca="false">BG4</f>
        <v>40.6654832485069</v>
      </c>
      <c r="BI96" s="8" t="n">
        <f aca="false">BH4</f>
        <v>40.0250782651027</v>
      </c>
      <c r="BJ96" s="17" t="n">
        <f aca="false">BJ4</f>
        <v>2.78221676211721</v>
      </c>
      <c r="BK96" s="8" t="n">
        <f aca="false">BO4</f>
        <v>1.96848294855394</v>
      </c>
      <c r="BL96" s="8" t="n">
        <f aca="false">BM4</f>
        <v>1.32633586092875</v>
      </c>
      <c r="BM96" s="8" t="n">
        <f aca="false">BN4</f>
        <v>8.18</v>
      </c>
      <c r="BN96" s="17" t="n">
        <f aca="false">BL4</f>
        <v>2.08700408042741</v>
      </c>
      <c r="BX96" s="8"/>
    </row>
    <row r="97" customFormat="false" ht="12.8" hidden="false" customHeight="false" outlineLevel="0" collapsed="false">
      <c r="AD97" s="22"/>
      <c r="AE97" s="22"/>
      <c r="AF97" s="22"/>
      <c r="AG97" s="22"/>
      <c r="AH97" s="22"/>
      <c r="AI97" s="22"/>
      <c r="AJ97" s="22"/>
      <c r="AK97" s="22"/>
      <c r="AL97" s="22"/>
      <c r="BF97" s="8"/>
      <c r="BG97" s="8" t="n">
        <f aca="false">BF5</f>
        <v>39.9963150223595</v>
      </c>
      <c r="BH97" s="8" t="n">
        <f aca="false">BG5</f>
        <v>40.4667860464016</v>
      </c>
      <c r="BI97" s="8" t="n">
        <f aca="false">BH5</f>
        <v>40.4667860464016</v>
      </c>
      <c r="BJ97" s="17" t="n">
        <f aca="false">BJ5</f>
        <v>2.87283479667699</v>
      </c>
      <c r="BK97" s="8" t="n">
        <f aca="false">BO5</f>
        <v>1.57978359661681</v>
      </c>
      <c r="BL97" s="8" t="n">
        <f aca="false">BM5</f>
        <v>1.52762990087134</v>
      </c>
      <c r="BM97" s="8" t="n">
        <f aca="false">BN5</f>
        <v>8.08</v>
      </c>
      <c r="BN97" s="17" t="n">
        <f aca="false">BL5</f>
        <v>2.3176102420111</v>
      </c>
      <c r="BX97" s="8"/>
      <c r="CA97" s="0" t="s">
        <v>146</v>
      </c>
      <c r="CB97" s="0" t="s">
        <v>106</v>
      </c>
      <c r="CC97" s="0" t="s">
        <v>147</v>
      </c>
      <c r="CD97" s="0" t="s">
        <v>148</v>
      </c>
      <c r="CE97" s="0" t="str">
        <f aca="false">_xlfn.CONCAT("Lower " , INT($CA$95 * 100) , "%")</f>
        <v>Lower 95%</v>
      </c>
      <c r="CF97" s="0" t="str">
        <f aca="false">_xlfn.CONCAT("Upper " , INT($CA$95 * 100) , "%")</f>
        <v>Upper 95%</v>
      </c>
      <c r="CH97" s="0" t="s">
        <v>146</v>
      </c>
      <c r="CI97" s="0" t="s">
        <v>106</v>
      </c>
      <c r="CJ97" s="0" t="s">
        <v>147</v>
      </c>
      <c r="CK97" s="0" t="s">
        <v>148</v>
      </c>
      <c r="CL97" s="0" t="str">
        <f aca="false">_xlfn.CONCAT("Lower " , INT($CH$95 * 100) , "%")</f>
        <v>Lower 95%</v>
      </c>
      <c r="CM97" s="0" t="str">
        <f aca="false">_xlfn.CONCAT("Upper " , INT($CH$95 * 100) , "%")</f>
        <v>Upper 95%</v>
      </c>
      <c r="CO97" s="0" t="s">
        <v>146</v>
      </c>
      <c r="CP97" s="0" t="s">
        <v>106</v>
      </c>
      <c r="CQ97" s="0" t="s">
        <v>147</v>
      </c>
      <c r="CR97" s="0" t="s">
        <v>148</v>
      </c>
      <c r="CS97" s="0" t="str">
        <f aca="false">_xlfn.CONCAT("Lower " , INT($CO$95 * 100) , "%")</f>
        <v>Lower 95%</v>
      </c>
      <c r="CT97" s="0" t="str">
        <f aca="false">_xlfn.CONCAT("Upper " , INT($CO$95 * 100) , "%")</f>
        <v>Upper 95%</v>
      </c>
      <c r="CV97" s="0" t="s">
        <v>146</v>
      </c>
      <c r="CW97" s="0" t="s">
        <v>106</v>
      </c>
      <c r="CX97" s="0" t="s">
        <v>147</v>
      </c>
      <c r="CY97" s="0" t="s">
        <v>148</v>
      </c>
      <c r="CZ97" s="0" t="str">
        <f aca="false">_xlfn.CONCAT("Lower " , INT($CV$95 * 100) , "%")</f>
        <v>Lower 95%</v>
      </c>
      <c r="DA97" s="0" t="str">
        <f aca="false">_xlfn.CONCAT("Upper " , INT($CV$95 * 100) , "%")</f>
        <v>Upper 95%</v>
      </c>
      <c r="DC97" s="14" t="s">
        <v>256</v>
      </c>
      <c r="DJ97" s="14" t="s">
        <v>257</v>
      </c>
      <c r="DQ97" s="14" t="s">
        <v>258</v>
      </c>
      <c r="DX97" s="14" t="s">
        <v>259</v>
      </c>
    </row>
    <row r="98" customFormat="false" ht="12.8" hidden="false" customHeight="false" outlineLevel="0" collapsed="false">
      <c r="AD98" s="22"/>
      <c r="AE98" s="22"/>
      <c r="AF98" s="22"/>
      <c r="AG98" s="22"/>
      <c r="AH98" s="22"/>
      <c r="AI98" s="22"/>
      <c r="AJ98" s="22"/>
      <c r="AK98" s="22"/>
      <c r="AL98" s="22"/>
      <c r="BF98" s="8"/>
      <c r="BG98" s="8" t="n">
        <f aca="false">BF6</f>
        <v>40.3308782653967</v>
      </c>
      <c r="BH98" s="8" t="n">
        <f aca="false">BG6</f>
        <v>40.6750396842358</v>
      </c>
      <c r="BI98" s="8" t="n">
        <f aca="false">BH6</f>
        <v>40.6750396842358</v>
      </c>
      <c r="BJ98" s="17" t="n">
        <f aca="false">BJ6</f>
        <v>2.8057379010057</v>
      </c>
      <c r="BK98" s="8" t="n">
        <f aca="false">BO6</f>
        <v>1.41497334797082</v>
      </c>
      <c r="BL98" s="8" t="n">
        <f aca="false">BM6</f>
        <v>1.54530711646582</v>
      </c>
      <c r="BM98" s="8" t="n">
        <f aca="false">BN6</f>
        <v>8.36</v>
      </c>
      <c r="BN98" s="17" t="n">
        <f aca="false">BL6</f>
        <v>2.39479758741265</v>
      </c>
      <c r="BX98" s="8"/>
      <c r="BZ98" s="0" t="str">
        <f aca="false">"Intercept"</f>
        <v>Intercept</v>
      </c>
      <c r="CA98" s="0" t="n">
        <f aca="false" t="array" ref="CA98:CA100">INDEX($BZ$76:$CB$76, 1 , 101 - ROW())</f>
        <v>35.1485966452735</v>
      </c>
      <c r="CB98" s="0" t="n">
        <f aca="false" t="array" ref="CB98:CB100">INDEX($BZ$77:$CB$77, 1 , 101 - ROW())</f>
        <v>0.560737580969055</v>
      </c>
      <c r="CC98" s="0" t="n">
        <f aca="false" t="array" ref="CC98:CC100">$CA$98:$CA$100 / $CB$98:$CB$100</f>
        <v>62.6827910919229</v>
      </c>
      <c r="CD98" s="0" t="n">
        <f aca="false" t="array" ref="CD98:CD100">TDIST(ABS($CC$98:$CC$100) , $CA$79 , 2 )</f>
        <v>2.3305362109578E-038</v>
      </c>
      <c r="CE98" s="0" t="n">
        <f aca="false" t="array" ref="CE98:CE100">$CA$98:$CA$100 - $CB$98:$CB$100 * TINV(1 - $CA$95 , $CA$79)</f>
        <v>34.0113681211859</v>
      </c>
      <c r="CF98" s="0" t="n">
        <f aca="false" t="array" ref="CF98:CF100">$CA$98:$CA$100 + $CB$98:$CB$100 * TINV(1 - $CA$95 , $CA$79)</f>
        <v>36.2858251693611</v>
      </c>
      <c r="CG98" s="0" t="str">
        <f aca="false">"Intercept"</f>
        <v>Intercept</v>
      </c>
      <c r="CH98" s="0" t="n">
        <f aca="false" t="array" ref="CH98:CH100">INDEX($CG$76:$CI$76, 1 , 101 - ROW())</f>
        <v>36.6154193940811</v>
      </c>
      <c r="CI98" s="0" t="n">
        <f aca="false" t="array" ref="CI98:CI100">INDEX($CG$77:$CI$77, 1 , 101 - ROW())</f>
        <v>0.684091406935128</v>
      </c>
      <c r="CJ98" s="0" t="n">
        <f aca="false" t="array" ref="CJ98:CJ100">$CH$98:$CH$100 / $CI$98:$CI$100</f>
        <v>53.5241621556479</v>
      </c>
      <c r="CK98" s="0" t="n">
        <f aca="false" t="array" ref="CK98:CK100">TDIST(ABS($CJ$98:$CJ$100) , $CH$79 , 2 )</f>
        <v>6.47693411620231E-036</v>
      </c>
      <c r="CL98" s="0" t="n">
        <f aca="false" t="array" ref="CL98:CL100">$CH$98:$CH$100 - $CI$98:$CI$100 * TINV(1 - $CH$95 , $CH$79)</f>
        <v>35.2280177155537</v>
      </c>
      <c r="CM98" s="0" t="n">
        <f aca="false" t="array" ref="CM98:CM100">$CH$98:$CH$100 + $CI$98:$CI$100 * TINV(1 - $CH$95 , $CH$79)</f>
        <v>38.0028210726085</v>
      </c>
      <c r="CN98" s="0" t="str">
        <f aca="false">"Intercept"</f>
        <v>Intercept</v>
      </c>
      <c r="CO98" s="0" t="n">
        <f aca="false" t="array" ref="CO98:CO100">INDEX($CN$76:$CP$76, 1 , 101 - ROW())</f>
        <v>36.0061775699594</v>
      </c>
      <c r="CP98" s="0" t="n">
        <f aca="false" t="array" ref="CP98:CP100">INDEX($CN$77:$CP$77, 1 , 101 - ROW())</f>
        <v>0.668721822032403</v>
      </c>
      <c r="CQ98" s="0" t="n">
        <f aca="false" t="array" ref="CQ98:CQ100">$CO$98:$CO$100 / $CP$98:$CP$100</f>
        <v>53.8432818904102</v>
      </c>
      <c r="CR98" s="0" t="n">
        <f aca="false" t="array" ref="CR98:CR100">TDIST(ABS($CQ$98:$CQ$100) , $CO$79 , 2 )</f>
        <v>5.24260008096034E-036</v>
      </c>
      <c r="CS98" s="0" t="n">
        <f aca="false" t="array" ref="CS98:CS100">$CO$98:$CO$100 - $CP$98:$CP$100 * TINV(1 - $CO$95 , $CO$79)</f>
        <v>34.6499468543708</v>
      </c>
      <c r="CT98" s="0" t="n">
        <f aca="false" t="array" ref="CT98:CT100">$CO$98:$CO$100 + $CP$98:$CP$100 * TINV(1 - $CO$95 , $CO$79)</f>
        <v>37.362408285548</v>
      </c>
      <c r="CU98" s="0" t="str">
        <f aca="false">"Intercept"</f>
        <v>Intercept</v>
      </c>
      <c r="CV98" s="0" t="n">
        <f aca="false" t="array" ref="CV98:CV99">INDEX($CU$76:$CV$76, 1 , 100 - ROW())</f>
        <v>4.34369537860987</v>
      </c>
      <c r="CW98" s="0" t="n">
        <f aca="false" t="array" ref="CW98:CW99">INDEX($CU$77:$CV$77, 1 , 100 - ROW())</f>
        <v>3.06893263104946</v>
      </c>
      <c r="CX98" s="0" t="n">
        <f aca="false" t="array" ref="CX98:CX99">$CV$98:$CV$99 / $CW$98:$CW$99</f>
        <v>1.41537658228897</v>
      </c>
      <c r="CY98" s="0" t="n">
        <f aca="false" t="array" ref="CY98:CY99">TDIST(ABS($CX$98:$CX$99) , $CV$79 , 2 )</f>
        <v>0.165320528820462</v>
      </c>
      <c r="CZ98" s="0" t="n">
        <f aca="false" t="array" ref="CZ98:CZ99">$CV$98:$CV$99 - $CW$98:$CW$99 * TINV(1 - $CV$95 , $CV$79)</f>
        <v>-1.87455278796664</v>
      </c>
      <c r="DA98" s="0" t="n">
        <f aca="false" t="array" ref="DA98:DA99">$CV$98:$CV$99 + $CW$98:$CW$99 * TINV(1 - $CV$95 , $CV$79)</f>
        <v>10.5619435451864</v>
      </c>
      <c r="DC98" s="0" t="s">
        <v>78</v>
      </c>
      <c r="DD98" s="0" t="s">
        <v>79</v>
      </c>
      <c r="DJ98" s="0" t="s">
        <v>78</v>
      </c>
      <c r="DK98" s="0" t="s">
        <v>79</v>
      </c>
      <c r="DQ98" s="0" t="s">
        <v>78</v>
      </c>
      <c r="DR98" s="0" t="s">
        <v>79</v>
      </c>
      <c r="DX98" s="0" t="s">
        <v>78</v>
      </c>
      <c r="DY98" s="0" t="s">
        <v>79</v>
      </c>
    </row>
    <row r="99" customFormat="false" ht="12.8" hidden="false" customHeight="false" outlineLevel="0" collapsed="false">
      <c r="A99" s="37" t="s">
        <v>260</v>
      </c>
      <c r="B99" s="37"/>
      <c r="C99" s="37"/>
      <c r="P99" s="38" t="s">
        <v>261</v>
      </c>
      <c r="Q99" s="38"/>
      <c r="R99" s="38"/>
      <c r="S99" s="38"/>
      <c r="T99" s="37"/>
      <c r="U99" s="37"/>
      <c r="V99" s="37"/>
      <c r="W99" s="37"/>
      <c r="X99" s="37"/>
      <c r="Y99" s="37"/>
      <c r="Z99" s="37"/>
      <c r="AA99" s="37"/>
      <c r="AB99" s="37"/>
      <c r="AC99" s="39"/>
      <c r="AD99" s="22"/>
      <c r="AE99" s="40" t="s">
        <v>262</v>
      </c>
      <c r="AF99" s="40"/>
      <c r="AG99" s="40"/>
      <c r="AH99" s="40"/>
      <c r="AI99" s="40"/>
      <c r="AJ99" s="40"/>
      <c r="AK99" s="40"/>
      <c r="AL99" s="22"/>
      <c r="BF99" s="8"/>
      <c r="BG99" s="8" t="n">
        <f aca="false">BF7</f>
        <v>40.4850090486329</v>
      </c>
      <c r="BH99" s="8" t="n">
        <f aca="false">BG7</f>
        <v>40.9096967114523</v>
      </c>
      <c r="BI99" s="8" t="n">
        <f aca="false">BH7</f>
        <v>40.9096967114523</v>
      </c>
      <c r="BJ99" s="17" t="n">
        <f aca="false">BJ7</f>
        <v>2.72333943354249</v>
      </c>
      <c r="BK99" s="8" t="n">
        <f aca="false">BO7</f>
        <v>2.20682587603185</v>
      </c>
      <c r="BL99" s="8" t="n">
        <f aca="false">BM7</f>
        <v>1.44247976906445</v>
      </c>
      <c r="BM99" s="8" t="n">
        <f aca="false">BN7</f>
        <v>7.98</v>
      </c>
      <c r="BN99" s="17" t="n">
        <f aca="false">BL7</f>
        <v>2.41617635379349</v>
      </c>
      <c r="BS99" s="24"/>
      <c r="BX99" s="8"/>
      <c r="BZ99" s="24" t="str">
        <f aca="false">$BF$52</f>
        <v>log (R)</v>
      </c>
      <c r="CA99" s="0" t="n">
        <v>0.529380540922198</v>
      </c>
      <c r="CB99" s="0" t="n">
        <v>0.177600079491109</v>
      </c>
      <c r="CC99" s="0" t="n">
        <v>2.98074495483938</v>
      </c>
      <c r="CD99" s="0" t="n">
        <v>0.00512885964210141</v>
      </c>
      <c r="CE99" s="0" t="n">
        <v>0.169190885132628</v>
      </c>
      <c r="CF99" s="0" t="n">
        <v>0.889570196711767</v>
      </c>
      <c r="CG99" s="24" t="str">
        <f aca="false">$BF$52</f>
        <v>log (R)</v>
      </c>
      <c r="CH99" s="0" t="n">
        <v>0.447763021019435</v>
      </c>
      <c r="CI99" s="0" t="n">
        <v>0.216669423228062</v>
      </c>
      <c r="CJ99" s="0" t="n">
        <v>2.06657226639741</v>
      </c>
      <c r="CK99" s="0" t="n">
        <v>0.0460252085316888</v>
      </c>
      <c r="CL99" s="0" t="n">
        <v>0.00833706357470959</v>
      </c>
      <c r="CM99" s="0" t="n">
        <v>0.887188978464161</v>
      </c>
      <c r="CN99" s="24" t="str">
        <f aca="false">$BF$52</f>
        <v>log (R)</v>
      </c>
      <c r="CO99" s="0" t="n">
        <v>0.298121370541373</v>
      </c>
      <c r="CP99" s="0" t="n">
        <v>0.211801478590301</v>
      </c>
      <c r="CQ99" s="0" t="n">
        <v>1.40755094121909</v>
      </c>
      <c r="CR99" s="0" t="n">
        <v>0.167840477275879</v>
      </c>
      <c r="CS99" s="0" t="n">
        <v>-0.131431937586405</v>
      </c>
      <c r="CT99" s="0" t="n">
        <v>0.727674678669151</v>
      </c>
      <c r="CU99" s="0" t="str">
        <f aca="false">$BF$2</f>
        <v>log (LHβ) (erg s-¹) KTC</v>
      </c>
      <c r="CV99" s="0" t="n">
        <v>0.897991383893762</v>
      </c>
      <c r="CW99" s="0" t="n">
        <v>0.0770062079600903</v>
      </c>
      <c r="CX99" s="0" t="n">
        <v>11.6612855986774</v>
      </c>
      <c r="CY99" s="0" t="n">
        <v>5.92557712944188E-014</v>
      </c>
      <c r="CZ99" s="0" t="n">
        <v>0.741961985718574</v>
      </c>
      <c r="DA99" s="0" t="n">
        <v>1.05402078206895</v>
      </c>
    </row>
    <row r="100" customFormat="false" ht="12.8" hidden="false" customHeight="false" outlineLevel="0" collapsed="false">
      <c r="A100" s="8" t="s">
        <v>263</v>
      </c>
      <c r="B100" s="8" t="s">
        <v>264</v>
      </c>
      <c r="C100" s="8" t="s">
        <v>265</v>
      </c>
      <c r="D100" s="8" t="s">
        <v>266</v>
      </c>
      <c r="E100" s="8" t="s">
        <v>267</v>
      </c>
      <c r="F100" s="8" t="s">
        <v>268</v>
      </c>
      <c r="G100" s="8" t="s">
        <v>269</v>
      </c>
      <c r="H100" s="8"/>
      <c r="I100" s="8" t="s">
        <v>270</v>
      </c>
      <c r="O100" s="2"/>
      <c r="P100" s="8" t="s">
        <v>263</v>
      </c>
      <c r="Q100" s="8"/>
      <c r="R100" s="8" t="s">
        <v>264</v>
      </c>
      <c r="S100" s="8" t="s">
        <v>265</v>
      </c>
      <c r="T100" s="8" t="s">
        <v>266</v>
      </c>
      <c r="U100" s="8" t="s">
        <v>267</v>
      </c>
      <c r="V100" s="8" t="s">
        <v>268</v>
      </c>
      <c r="W100" s="8" t="s">
        <v>269</v>
      </c>
      <c r="X100" s="8" t="s">
        <v>270</v>
      </c>
      <c r="Y100" s="8" t="s">
        <v>271</v>
      </c>
      <c r="Z100" s="8" t="s">
        <v>272</v>
      </c>
      <c r="AA100" s="8" t="s">
        <v>273</v>
      </c>
      <c r="AB100" s="8" t="s">
        <v>274</v>
      </c>
      <c r="AC100" s="39"/>
      <c r="AD100" s="22"/>
      <c r="AE100" s="40"/>
      <c r="AF100" s="40" t="s">
        <v>275</v>
      </c>
      <c r="AG100" s="40" t="s">
        <v>276</v>
      </c>
      <c r="AH100" s="40" t="s">
        <v>277</v>
      </c>
      <c r="AI100" s="40" t="s">
        <v>278</v>
      </c>
      <c r="AJ100" s="40" t="s">
        <v>279</v>
      </c>
      <c r="AK100" s="40" t="s">
        <v>280</v>
      </c>
      <c r="AL100" s="22"/>
      <c r="BF100" s="8"/>
      <c r="BG100" s="8" t="n">
        <f aca="false">BF8</f>
        <v>40.5363222856562</v>
      </c>
      <c r="BH100" s="8" t="n">
        <f aca="false">BG8</f>
        <v>40.8519069419647</v>
      </c>
      <c r="BI100" s="8" t="n">
        <f aca="false">BH8</f>
        <v>40.8519069419647</v>
      </c>
      <c r="BJ100" s="17" t="n">
        <f aca="false">BJ8</f>
        <v>2.52960348518892</v>
      </c>
      <c r="BK100" s="8" t="n">
        <f aca="false">BO8</f>
        <v>2.03742649794062</v>
      </c>
      <c r="BL100" s="8" t="n">
        <f aca="false">BM8</f>
        <v>1.53781909507327</v>
      </c>
      <c r="BM100" s="8" t="n">
        <f aca="false">BN8</f>
        <v>8.25</v>
      </c>
      <c r="BN100" s="17" t="n">
        <f aca="false">BL8</f>
        <v>2.17640387683549</v>
      </c>
      <c r="BS100" s="24"/>
      <c r="BX100" s="8"/>
      <c r="BZ100" s="24" t="str">
        <f aca="false">$BG$52</f>
        <v>log (σHβ) (Km s-¹)</v>
      </c>
      <c r="CA100" s="0" t="n">
        <v>2.39969109427706</v>
      </c>
      <c r="CB100" s="0" t="n">
        <v>0.368391117050374</v>
      </c>
      <c r="CC100" s="0" t="n">
        <v>6.51397654072351</v>
      </c>
      <c r="CD100" s="0" t="n">
        <v>1.43720335337102E-007</v>
      </c>
      <c r="CE100" s="0" t="n">
        <v>1.65255927977271</v>
      </c>
      <c r="CF100" s="0" t="n">
        <v>3.14682290878142</v>
      </c>
      <c r="CG100" s="24" t="str">
        <f aca="false">$BG$52</f>
        <v>log (σHβ) (Km s-¹)</v>
      </c>
      <c r="CH100" s="0" t="n">
        <v>1.83241738107183</v>
      </c>
      <c r="CI100" s="0" t="n">
        <v>0.449431616710744</v>
      </c>
      <c r="CJ100" s="0" t="n">
        <v>4.07718841518705</v>
      </c>
      <c r="CK100" s="0" t="n">
        <v>0.00024052147825059</v>
      </c>
      <c r="CL100" s="0" t="n">
        <v>0.920927815369826</v>
      </c>
      <c r="CM100" s="0" t="n">
        <v>2.74390694677383</v>
      </c>
      <c r="CN100" s="24" t="str">
        <f aca="false">$BG$52</f>
        <v>log (σHβ) (Km s-¹)</v>
      </c>
      <c r="CO100" s="0" t="n">
        <v>2.43025907368837</v>
      </c>
      <c r="CP100" s="0" t="n">
        <v>0.439334168736719</v>
      </c>
      <c r="CQ100" s="0" t="n">
        <v>5.53168691767463</v>
      </c>
      <c r="CR100" s="0" t="n">
        <v>2.93786092479508E-006</v>
      </c>
      <c r="CS100" s="0" t="n">
        <v>1.5392480816477</v>
      </c>
      <c r="CT100" s="0" t="n">
        <v>3.32127006572904</v>
      </c>
      <c r="DC100" s="0" t="s">
        <v>84</v>
      </c>
      <c r="DJ100" s="0" t="s">
        <v>84</v>
      </c>
      <c r="DQ100" s="0" t="s">
        <v>84</v>
      </c>
      <c r="DX100" s="0" t="s">
        <v>84</v>
      </c>
    </row>
    <row r="101" customFormat="false" ht="12.8" hidden="false" customHeight="false" outlineLevel="0" collapsed="false">
      <c r="G101" s="22"/>
      <c r="H101" s="22"/>
      <c r="I101" s="22"/>
      <c r="O101" s="2"/>
      <c r="W101" s="22"/>
      <c r="X101" s="22"/>
      <c r="AC101" s="39"/>
      <c r="AD101" s="22"/>
      <c r="AE101" s="40" t="s">
        <v>275</v>
      </c>
      <c r="AF101" s="40" t="n">
        <v>1</v>
      </c>
      <c r="AG101" s="40"/>
      <c r="AH101" s="40"/>
      <c r="AI101" s="40"/>
      <c r="AJ101" s="40"/>
      <c r="AK101" s="40"/>
      <c r="AL101" s="22"/>
      <c r="BF101" s="8"/>
      <c r="BG101" s="8" t="n">
        <f aca="false">BF9</f>
        <v>39.9166540391504</v>
      </c>
      <c r="BH101" s="8" t="n">
        <f aca="false">BG9</f>
        <v>40.3823661888664</v>
      </c>
      <c r="BI101" s="8" t="n">
        <f aca="false">BH9</f>
        <v>40.3823661888664</v>
      </c>
      <c r="BJ101" s="17" t="n">
        <f aca="false">BJ9</f>
        <v>2.40587460839648</v>
      </c>
      <c r="BK101" s="8" t="n">
        <f aca="false">BO9</f>
        <v>1.75587485567249</v>
      </c>
      <c r="BL101" s="8" t="n">
        <f aca="false">BM9</f>
        <v>1.3541084391474</v>
      </c>
      <c r="BM101" s="8" t="n">
        <f aca="false">BN9</f>
        <v>8.09</v>
      </c>
      <c r="BN101" s="17" t="n">
        <f aca="false">BL9</f>
        <v>2.06468635947822</v>
      </c>
      <c r="BX101" s="8"/>
      <c r="CU101" s="0" t="str">
        <f aca="false">$BF$2</f>
        <v>log (LHβ) (erg s-¹) KTC</v>
      </c>
      <c r="CV101" s="0" t="s">
        <v>157</v>
      </c>
      <c r="CW101" s="0" t="str">
        <f aca="false">$BH$2</f>
        <v>log(LHβ) B.K (erg s-¹) NTT</v>
      </c>
      <c r="CX101" s="0" t="s">
        <v>133</v>
      </c>
      <c r="CY101" s="26" t="s">
        <v>158</v>
      </c>
      <c r="DC101" s="0" t="e">
        <f aca="false" t="array" ref="DC101:DE105">LINEST($BE$138:$BE$153 , $BJ$138:$BK$153 , 1 , 1)</f>
        <v>#VALUE!</v>
      </c>
      <c r="DD101" s="0" t="e">
        <v>#VALUE!</v>
      </c>
      <c r="DE101" s="0" t="e">
        <v>#VALUE!</v>
      </c>
      <c r="DJ101" s="0" t="n">
        <f aca="false" t="array" ref="DJ101:DL105">LINEST($BF$138:$BF$153 , $BJ$138:$BK$153 , 1 , 1)</f>
        <v>0.310871151517257</v>
      </c>
      <c r="DK101" s="0" t="n">
        <v>1.71859235398839</v>
      </c>
      <c r="DL101" s="0" t="n">
        <v>36.9587449005688</v>
      </c>
      <c r="DQ101" s="0" t="n">
        <f aca="false" t="array" ref="DQ101:DS105">LINEST($BG$138:$BG$153 , $BJ$138:$BK$153 , 1 , 1)</f>
        <v>-0.105412399854721</v>
      </c>
      <c r="DR101" s="0" t="n">
        <v>1.99794796767627</v>
      </c>
      <c r="DS101" s="0" t="n">
        <v>37.8875129391959</v>
      </c>
      <c r="DX101" s="0" t="n">
        <f aca="false" t="array" ref="DX101:DZ105">LINEST($BH$138:$BH$153 , $BJ$138:$BK$153 , 1 , 1)</f>
        <v>0.116852146767638</v>
      </c>
      <c r="DY101" s="0" t="n">
        <v>2.09717588973868</v>
      </c>
      <c r="DZ101" s="0" t="n">
        <v>37.0475359521811</v>
      </c>
    </row>
    <row r="102" customFormat="false" ht="13.2" hidden="false" customHeight="false" outlineLevel="0" collapsed="false">
      <c r="A102" s="0" t="s">
        <v>281</v>
      </c>
      <c r="B102" s="0" t="n">
        <f aca="false">CD71</f>
        <v>0.308251562848756</v>
      </c>
      <c r="C102" s="0" t="n">
        <f aca="false">CA28</f>
        <v>36.0424923949622</v>
      </c>
      <c r="D102" s="0" t="n">
        <f aca="false">CB28</f>
        <v>0.521855169017054</v>
      </c>
      <c r="E102" s="0" t="n">
        <f aca="false">CA29</f>
        <v>2.78520569316395</v>
      </c>
      <c r="F102" s="0" t="n">
        <f aca="false">CB29</f>
        <v>0.379921730218534</v>
      </c>
      <c r="G102" s="22" t="n">
        <v>0</v>
      </c>
      <c r="H102" s="22"/>
      <c r="I102" s="22" t="n">
        <v>0</v>
      </c>
      <c r="O102" s="2"/>
      <c r="P102" s="0" t="s">
        <v>281</v>
      </c>
      <c r="R102" s="0" t="n">
        <f aca="false">DK14</f>
        <v>0.338433660031872</v>
      </c>
      <c r="S102" s="0" t="n">
        <f aca="false">DK28</f>
        <v>36.9111136951957</v>
      </c>
      <c r="T102" s="0" t="n">
        <f aca="false">DL28</f>
        <v>0.94130850099503</v>
      </c>
      <c r="U102" s="0" t="n">
        <f aca="false">DK29</f>
        <v>36.8715199622575</v>
      </c>
      <c r="V102" s="0" t="n">
        <f aca="false">DL29</f>
        <v>0.934510994919755</v>
      </c>
      <c r="W102" s="22"/>
      <c r="X102" s="22"/>
      <c r="AC102" s="39"/>
      <c r="AD102" s="8"/>
      <c r="AE102" s="40" t="s">
        <v>276</v>
      </c>
      <c r="AF102" s="40" t="n">
        <f aca="false">CA13</f>
        <v>0.59225748213699</v>
      </c>
      <c r="AG102" s="40" t="n">
        <v>1</v>
      </c>
      <c r="AH102" s="40"/>
      <c r="AI102" s="40"/>
      <c r="AJ102" s="40"/>
      <c r="AK102" s="40"/>
      <c r="AL102" s="22"/>
      <c r="BF102" s="8"/>
      <c r="BG102" s="8" t="n">
        <f aca="false">BF10</f>
        <v>39.9203081956583</v>
      </c>
      <c r="BH102" s="8" t="n">
        <f aca="false">BG10</f>
        <v>39.8052047714277</v>
      </c>
      <c r="BI102" s="8" t="n">
        <f aca="false">BH10</f>
        <v>39.8052047714277</v>
      </c>
      <c r="BJ102" s="17" t="n">
        <f aca="false">BJ10</f>
        <v>3.06295399039048</v>
      </c>
      <c r="BK102" s="8" t="n">
        <f aca="false">BO10</f>
        <v>1.30102999566398</v>
      </c>
      <c r="BL102" s="8" t="n">
        <f aca="false">BM10</f>
        <v>1.42488163663107</v>
      </c>
      <c r="BM102" s="8" t="n">
        <f aca="false">BN10</f>
        <v>7.96</v>
      </c>
      <c r="BN102" s="17" t="n">
        <f aca="false">BL10</f>
        <v>2.28534020026503</v>
      </c>
      <c r="BX102" s="0" t="s">
        <v>157</v>
      </c>
      <c r="BZ102" s="0" t="str">
        <f aca="false">$BF$52</f>
        <v>log (R)</v>
      </c>
      <c r="CA102" s="0" t="str">
        <f aca="false">$BG$52</f>
        <v>log (σHβ) (Km s-¹)</v>
      </c>
      <c r="CB102" s="0" t="s">
        <v>157</v>
      </c>
      <c r="CC102" s="0" t="str">
        <f aca="false">$BF$2</f>
        <v>log (LHβ) (erg s-¹) KTC</v>
      </c>
      <c r="CD102" s="0" t="s">
        <v>133</v>
      </c>
      <c r="CE102" s="26" t="s">
        <v>158</v>
      </c>
      <c r="CG102" s="0" t="str">
        <f aca="false">$BF$52</f>
        <v>log (R)</v>
      </c>
      <c r="CH102" s="0" t="str">
        <f aca="false">$BG$52</f>
        <v>log (σHβ) (Km s-¹)</v>
      </c>
      <c r="CI102" s="0" t="s">
        <v>157</v>
      </c>
      <c r="CJ102" s="0" t="str">
        <f aca="false">$BG$2</f>
        <v>log (LHβ) (erg s-¹) NTT</v>
      </c>
      <c r="CK102" s="0" t="s">
        <v>133</v>
      </c>
      <c r="CL102" s="26" t="s">
        <v>158</v>
      </c>
      <c r="CN102" s="0" t="str">
        <f aca="false">$BF$52</f>
        <v>log (R)</v>
      </c>
      <c r="CO102" s="0" t="str">
        <f aca="false">$BG$52</f>
        <v>log (σHβ) (Km s-¹)</v>
      </c>
      <c r="CP102" s="0" t="s">
        <v>157</v>
      </c>
      <c r="CQ102" s="0" t="str">
        <f aca="false">$BH$2</f>
        <v>log(LHβ) B.K (erg s-¹) NTT</v>
      </c>
      <c r="CR102" s="0" t="s">
        <v>133</v>
      </c>
      <c r="CS102" s="26" t="s">
        <v>158</v>
      </c>
      <c r="CU102" s="0" t="n">
        <f aca="false" t="array" ref="CU102:CU140">$BF$3:$BF$41</f>
        <v>39.4693811697741</v>
      </c>
      <c r="CV102" s="0" t="n">
        <f aca="false" t="array" ref="CV102:CV140">MMULT($CU$102:$CU$140 , $CV$99) + $CV$98</f>
        <v>39.7868595966857</v>
      </c>
      <c r="CW102" s="0" t="n">
        <f aca="false" t="array" ref="CW102:CW140">$BH$3:$BH$41</f>
        <v>39.926839874903</v>
      </c>
      <c r="CX102" s="0" t="n">
        <f aca="false" t="array" ref="CX102:CX140">$CW$102:$CW$140 - $CV$102:$CV$140</f>
        <v>0.139980278217301</v>
      </c>
      <c r="CY102" s="20" t="n">
        <f aca="false">(CX102)^2</f>
        <v>0.019594478289793</v>
      </c>
      <c r="DC102" s="0" t="e">
        <v>#VALUE!</v>
      </c>
      <c r="DD102" s="0" t="e">
        <v>#VALUE!</v>
      </c>
      <c r="DE102" s="0" t="e">
        <v>#VALUE!</v>
      </c>
      <c r="DJ102" s="0" t="n">
        <v>0.357095870894919</v>
      </c>
      <c r="DK102" s="0" t="n">
        <v>0.872581476138093</v>
      </c>
      <c r="DL102" s="0" t="n">
        <v>0.951130812652845</v>
      </c>
      <c r="DQ102" s="0" t="n">
        <v>0.299341822063626</v>
      </c>
      <c r="DR102" s="0" t="n">
        <v>0.731456592627495</v>
      </c>
      <c r="DS102" s="0" t="n">
        <v>0.797301939579529</v>
      </c>
      <c r="DX102" s="0" t="n">
        <v>0.353383408212671</v>
      </c>
      <c r="DY102" s="0" t="n">
        <v>0.863509889397912</v>
      </c>
      <c r="DZ102" s="0" t="n">
        <v>0.941242606331497</v>
      </c>
    </row>
    <row r="103" customFormat="false" ht="13.2" hidden="false" customHeight="false" outlineLevel="0" collapsed="false">
      <c r="A103" s="0" t="s">
        <v>282</v>
      </c>
      <c r="B103" s="0" t="n">
        <f aca="false">CK71</f>
        <v>0.35620877820738</v>
      </c>
      <c r="C103" s="0" t="n">
        <f aca="false">CH28</f>
        <v>37.3714983021947</v>
      </c>
      <c r="D103" s="0" t="n">
        <f aca="false">CI28</f>
        <v>0.603044443437184</v>
      </c>
      <c r="E103" s="0" t="n">
        <f aca="false">CH29</f>
        <v>2.15849506640567</v>
      </c>
      <c r="F103" s="0" t="n">
        <f aca="false">CI29</f>
        <v>0.439029259364949</v>
      </c>
      <c r="G103" s="22" t="n">
        <v>0</v>
      </c>
      <c r="H103" s="22"/>
      <c r="I103" s="22" t="n">
        <v>0</v>
      </c>
      <c r="O103" s="2"/>
      <c r="P103" s="0" t="s">
        <v>282</v>
      </c>
      <c r="R103" s="0" t="n">
        <f aca="false">DR14</f>
        <v>0.277085535113215</v>
      </c>
      <c r="S103" s="0" t="n">
        <f aca="false">DR28</f>
        <v>37.9036640668957</v>
      </c>
      <c r="T103" s="0" t="n">
        <f aca="false">DS28</f>
        <v>0.770676798756551</v>
      </c>
      <c r="U103" s="0" t="n">
        <f aca="false">DR29</f>
        <v>37.9036640668957</v>
      </c>
      <c r="V103" s="0" t="n">
        <f aca="false">DS29</f>
        <v>0.770676798756551</v>
      </c>
      <c r="W103" s="22"/>
      <c r="X103" s="22"/>
      <c r="AC103" s="39"/>
      <c r="AD103" s="22"/>
      <c r="AE103" s="40" t="s">
        <v>277</v>
      </c>
      <c r="AF103" s="40" t="n">
        <f aca="false">CA366</f>
        <v>0.287509633200126</v>
      </c>
      <c r="AG103" s="40" t="n">
        <f aca="false">CV366</f>
        <v>0.123257604599327</v>
      </c>
      <c r="AH103" s="40" t="n">
        <v>1</v>
      </c>
      <c r="AI103" s="40"/>
      <c r="AJ103" s="40"/>
      <c r="AK103" s="40"/>
      <c r="AL103" s="22"/>
      <c r="BF103" s="8"/>
      <c r="BG103" s="8" t="n">
        <f aca="false">BF11</f>
        <v>40.0555420750015</v>
      </c>
      <c r="BH103" s="8" t="n">
        <f aca="false">BG11</f>
        <v>40.1409607062428</v>
      </c>
      <c r="BI103" s="8" t="n">
        <f aca="false">BH11</f>
        <v>40.1409607062428</v>
      </c>
      <c r="BJ103" s="17" t="n">
        <f aca="false">BJ11</f>
        <v>2.96671683363053</v>
      </c>
      <c r="BK103" s="8" t="n">
        <f aca="false">BO11</f>
        <v>1.79239168949825</v>
      </c>
      <c r="BL103" s="8" t="n">
        <f aca="false">BM11</f>
        <v>1.43775056282039</v>
      </c>
      <c r="BM103" s="8" t="n">
        <f aca="false">BN11</f>
        <v>8.01</v>
      </c>
      <c r="BN103" s="17" t="n">
        <f aca="false">BL11</f>
        <v>2.24404692251784</v>
      </c>
      <c r="BX103" s="0" t="n">
        <v>39.67608888465</v>
      </c>
      <c r="BZ103" s="0" t="n">
        <f aca="false" t="array" ref="BZ103:CA141">$BF$53:$BG$91</f>
        <v>2.62956092768934</v>
      </c>
      <c r="CA103" s="0" t="n">
        <v>1.18752072083646</v>
      </c>
      <c r="CB103" s="0" t="n">
        <f aca="false" t="array" ref="CB103:CB141">MMULT($BZ$103:$CA$141 , $CA$99:$CA$100) + $CA$98</f>
        <v>39.3903179296223</v>
      </c>
      <c r="CC103" s="0" t="n">
        <f aca="false" t="array" ref="CC103:CC141">$BF$3:$BF$41</f>
        <v>39.4693811697741</v>
      </c>
      <c r="CD103" s="0" t="n">
        <f aca="false" t="array" ref="CD103:CD141">$CC$103:$CC$141 - $CB$103:$CB$141</f>
        <v>0.0790632401518181</v>
      </c>
      <c r="CE103" s="20" t="n">
        <f aca="false">(CD103)^2</f>
        <v>0.00625099594330406</v>
      </c>
      <c r="CG103" s="0" t="n">
        <f aca="false" t="array" ref="CG103:CH141">$BF$53:$BG$91</f>
        <v>2.62956092768934</v>
      </c>
      <c r="CH103" s="0" t="n">
        <v>1.18752072083646</v>
      </c>
      <c r="CI103" s="0" t="n">
        <f aca="false" t="array" ref="CI103:CI141">MMULT($CG$103:$CH$141 , $CH$99:$CH$100) + $CH$98</f>
        <v>39.9688731482616</v>
      </c>
      <c r="CJ103" s="0" t="n">
        <f aca="false" t="array" ref="CJ103:CJ141">$BG$3:$BG$41</f>
        <v>39.926839874903</v>
      </c>
      <c r="CK103" s="0" t="n">
        <f aca="false" t="array" ref="CK103:CK141">$CJ$103:$CJ$141 - $CI$103:$CI$141</f>
        <v>-0.0420332733586051</v>
      </c>
      <c r="CL103" s="20" t="n">
        <f aca="false">(CK103)^2</f>
        <v>0.00176679606923922</v>
      </c>
      <c r="CN103" s="0" t="n">
        <f aca="false" t="array" ref="CN103:CO141">$BF$53:$BG$91</f>
        <v>2.62956092768934</v>
      </c>
      <c r="CO103" s="0" t="n">
        <v>1.18752072083646</v>
      </c>
      <c r="CP103" s="0" t="n">
        <f aca="false" t="array" ref="CP103:CP141">MMULT($CN$103:$CO$141 , $CO$99:$CO$100) + $CO$98</f>
        <v>39.67608888465</v>
      </c>
      <c r="CQ103" s="0" t="n">
        <f aca="false" t="array" ref="CQ103:CQ141">$BH$3:$BH$41</f>
        <v>39.926839874903</v>
      </c>
      <c r="CR103" s="0" t="n">
        <f aca="false" t="array" ref="CR103:CR141">$CQ$103:$CQ$141 - $CP$103:$CP$141</f>
        <v>0.250750990253032</v>
      </c>
      <c r="CS103" s="20" t="n">
        <f aca="false">(CR103)^2</f>
        <v>0.062876059112876</v>
      </c>
      <c r="CU103" s="0" t="n">
        <v>40.1317447055601</v>
      </c>
      <c r="CV103" s="0" t="n">
        <v>40.3816563448269</v>
      </c>
      <c r="CW103" s="0" t="n">
        <v>40.0250782651027</v>
      </c>
      <c r="CX103" s="0" t="n">
        <v>-0.356578079724244</v>
      </c>
      <c r="CY103" s="20" t="n">
        <f aca="false">(CX103)^2</f>
        <v>0.127147926939829</v>
      </c>
      <c r="DC103" s="0" t="e">
        <v>#VALUE!</v>
      </c>
      <c r="DD103" s="0" t="e">
        <v>#VALUE!</v>
      </c>
      <c r="DE103" s="0" t="e">
        <v>#VALUE!</v>
      </c>
      <c r="DJ103" s="0" t="n">
        <v>0.462756723322898</v>
      </c>
      <c r="DK103" s="0" t="n">
        <v>0.34139885877944</v>
      </c>
      <c r="DL103" s="0" t="e">
        <v>#N/A</v>
      </c>
      <c r="DQ103" s="0" t="n">
        <v>0.447273184777169</v>
      </c>
      <c r="DR103" s="0" t="n">
        <v>0.28618352875761</v>
      </c>
      <c r="DS103" s="0" t="e">
        <v>#N/A</v>
      </c>
      <c r="DX103" s="0" t="n">
        <v>0.470937429682179</v>
      </c>
      <c r="DY103" s="0" t="n">
        <v>0.337849586367511</v>
      </c>
      <c r="DZ103" s="0" t="e">
        <v>#N/A</v>
      </c>
    </row>
    <row r="104" customFormat="false" ht="13.2" hidden="false" customHeight="false" outlineLevel="0" collapsed="false">
      <c r="A104" s="0" t="s">
        <v>283</v>
      </c>
      <c r="B104" s="0" t="n">
        <f aca="false">CR71</f>
        <v>0.33816263186945</v>
      </c>
      <c r="C104" s="0" t="n">
        <f aca="false">CO28</f>
        <v>36.5095761753446</v>
      </c>
      <c r="D104" s="0" t="n">
        <f aca="false">CP28</f>
        <v>0.572493179851514</v>
      </c>
      <c r="E104" s="0" t="n">
        <f aca="false">CO29</f>
        <v>2.64736214359656</v>
      </c>
      <c r="F104" s="0" t="n">
        <f aca="false">CP29</f>
        <v>0.416787285708364</v>
      </c>
      <c r="G104" s="22" t="n">
        <v>0</v>
      </c>
      <c r="H104" s="22"/>
      <c r="I104" s="22" t="n">
        <v>0</v>
      </c>
      <c r="O104" s="2"/>
      <c r="P104" s="0" t="s">
        <v>283</v>
      </c>
      <c r="R104" s="0" t="n">
        <f aca="false">DY14</f>
        <v>0.326926252136259</v>
      </c>
      <c r="S104" s="0" t="n">
        <f aca="false">DY28</f>
        <v>37.0296320438455</v>
      </c>
      <c r="T104" s="0" t="n">
        <f aca="false">DZ28</f>
        <v>0.909302166650102</v>
      </c>
      <c r="U104" s="0" t="n">
        <f aca="false">DY29</f>
        <v>37.0296320438455</v>
      </c>
      <c r="V104" s="0" t="n">
        <f aca="false">DZ29</f>
        <v>0.909302166650102</v>
      </c>
      <c r="W104" s="22"/>
      <c r="X104" s="22"/>
      <c r="AC104" s="39"/>
      <c r="AD104" s="22"/>
      <c r="AE104" s="40" t="s">
        <v>278</v>
      </c>
      <c r="AF104" s="40" t="n">
        <f aca="false">CA436</f>
        <v>0.464333744010967</v>
      </c>
      <c r="AG104" s="40" t="n">
        <f aca="false">CV436</f>
        <v>0.347046635976687</v>
      </c>
      <c r="AH104" s="40" t="n">
        <f aca="false">BT13</f>
        <v>0.371784518276731</v>
      </c>
      <c r="AI104" s="40" t="n">
        <v>1</v>
      </c>
      <c r="AJ104" s="40"/>
      <c r="AK104" s="40"/>
      <c r="AL104" s="22"/>
      <c r="BF104" s="8"/>
      <c r="BG104" s="8" t="n">
        <f aca="false">BF12</f>
        <v>39.6009701741581</v>
      </c>
      <c r="BH104" s="8" t="n">
        <f aca="false">BG12</f>
        <v>39.9728485150304</v>
      </c>
      <c r="BI104" s="8" t="n">
        <f aca="false">BH12</f>
        <v>39.9728485150304</v>
      </c>
      <c r="BJ104" s="17" t="n">
        <f aca="false">BJ12</f>
        <v>2.33023762449035</v>
      </c>
      <c r="BK104" s="8" t="n">
        <f aca="false">BO12</f>
        <v>1.98677173426624</v>
      </c>
      <c r="BL104" s="8" t="n">
        <f aca="false">BM12</f>
        <v>1.31386722036915</v>
      </c>
      <c r="BM104" s="8" t="n">
        <f aca="false">BN12</f>
        <v>7.99</v>
      </c>
      <c r="BN104" s="17" t="n">
        <f aca="false">BL12</f>
        <v>1.60008622473531</v>
      </c>
      <c r="BX104" s="0" t="n">
        <v>40.0589556050054</v>
      </c>
      <c r="BZ104" s="0" t="n">
        <v>2.78221676211721</v>
      </c>
      <c r="CA104" s="0" t="n">
        <v>1.32633586092875</v>
      </c>
      <c r="CB104" s="0" t="n">
        <v>39.8042444132569</v>
      </c>
      <c r="CC104" s="0" t="n">
        <v>40.1317447055601</v>
      </c>
      <c r="CD104" s="0" t="n">
        <v>0.327500292303171</v>
      </c>
      <c r="CE104" s="20" t="n">
        <f aca="false">(CD104)^2</f>
        <v>0.107256441458662</v>
      </c>
      <c r="CG104" s="0" t="n">
        <v>2.78221676211721</v>
      </c>
      <c r="CH104" s="0" t="n">
        <v>1.32633586092875</v>
      </c>
      <c r="CI104" s="0" t="n">
        <v>40.2915940613223</v>
      </c>
      <c r="CJ104" s="0" t="n">
        <v>40.6654832485069</v>
      </c>
      <c r="CK104" s="0" t="n">
        <v>0.373889187184595</v>
      </c>
      <c r="CL104" s="20" t="n">
        <f aca="false">(CK104)^2</f>
        <v>0.139793124293557</v>
      </c>
      <c r="CN104" s="0" t="n">
        <v>2.78221676211721</v>
      </c>
      <c r="CO104" s="0" t="n">
        <v>1.32633586092875</v>
      </c>
      <c r="CP104" s="0" t="n">
        <v>40.0589556050054</v>
      </c>
      <c r="CQ104" s="0" t="n">
        <v>40.0250782651027</v>
      </c>
      <c r="CR104" s="0" t="n">
        <v>-0.0338773399026522</v>
      </c>
      <c r="CS104" s="20" t="n">
        <f aca="false">(CR104)^2</f>
        <v>0.00114767415887983</v>
      </c>
      <c r="CU104" s="0" t="n">
        <v>39.9963150223595</v>
      </c>
      <c r="CV104" s="0" t="n">
        <v>40.2600416561893</v>
      </c>
      <c r="CW104" s="0" t="n">
        <v>40.4667860464016</v>
      </c>
      <c r="CX104" s="0" t="n">
        <v>0.206744390212265</v>
      </c>
      <c r="CY104" s="20" t="n">
        <f aca="false">(CX104)^2</f>
        <v>0.0427432428842412</v>
      </c>
      <c r="DC104" s="0" t="e">
        <v>#VALUE!</v>
      </c>
      <c r="DD104" s="0" t="e">
        <v>#VALUE!</v>
      </c>
      <c r="DE104" s="0" t="e">
        <v>#VALUE!</v>
      </c>
      <c r="DJ104" s="0" t="n">
        <v>5.5988019435126</v>
      </c>
      <c r="DK104" s="0" t="n">
        <v>13</v>
      </c>
      <c r="DL104" s="0" t="e">
        <v>#N/A</v>
      </c>
      <c r="DQ104" s="0" t="n">
        <v>5.25987815496075</v>
      </c>
      <c r="DR104" s="0" t="n">
        <v>13</v>
      </c>
      <c r="DS104" s="0" t="e">
        <v>#N/A</v>
      </c>
      <c r="DX104" s="0" t="n">
        <v>5.78588141492468</v>
      </c>
      <c r="DY104" s="0" t="n">
        <v>13</v>
      </c>
      <c r="DZ104" s="0" t="e">
        <v>#N/A</v>
      </c>
    </row>
    <row r="105" customFormat="false" ht="13.2" hidden="false" customHeight="false" outlineLevel="0" collapsed="false">
      <c r="O105" s="2"/>
      <c r="AC105" s="39"/>
      <c r="AD105" s="22"/>
      <c r="AE105" s="40" t="s">
        <v>279</v>
      </c>
      <c r="AF105" s="40" t="n">
        <f aca="false">CA934</f>
        <v>0.0154473606277536</v>
      </c>
      <c r="AG105" s="40" t="n">
        <f aca="false">CV721</f>
        <v>0.00546752543596281</v>
      </c>
      <c r="AH105" s="40" t="n">
        <f aca="false">CV153</f>
        <v>0.000314726191354539</v>
      </c>
      <c r="AI105" s="40" t="n">
        <f aca="false">CV225</f>
        <v>0.183088723736057</v>
      </c>
      <c r="AJ105" s="40" t="n">
        <v>1</v>
      </c>
      <c r="AK105" s="40"/>
      <c r="AL105" s="22"/>
      <c r="BF105" s="8"/>
      <c r="BG105" s="8" t="n">
        <f aca="false">BF13</f>
        <v>39.7119114592515</v>
      </c>
      <c r="BH105" s="8" t="n">
        <f aca="false">BG13</f>
        <v>40.3675165950432</v>
      </c>
      <c r="BI105" s="8" t="n">
        <f aca="false">BH13</f>
        <v>40.3675165950432</v>
      </c>
      <c r="BJ105" s="17" t="n">
        <f aca="false">BJ13</f>
        <v>2.28501935429668</v>
      </c>
      <c r="BK105" s="8" t="n">
        <f aca="false">BO13</f>
        <v>2.26481782300954</v>
      </c>
      <c r="BL105" s="8" t="n">
        <f aca="false">BM13</f>
        <v>1.51719589794997</v>
      </c>
      <c r="BM105" s="8" t="n">
        <v>1</v>
      </c>
      <c r="BN105" s="17" t="n">
        <f aca="false">BL13</f>
        <v>1.37561164684667</v>
      </c>
      <c r="BX105" s="0" t="n">
        <v>40.5751674447139</v>
      </c>
      <c r="BZ105" s="0" t="n">
        <v>2.87283479667699</v>
      </c>
      <c r="CA105" s="0" t="n">
        <v>1.52762990087134</v>
      </c>
      <c r="CB105" s="0" t="n">
        <v>40.3352593523908</v>
      </c>
      <c r="CC105" s="0" t="n">
        <v>39.9963150223595</v>
      </c>
      <c r="CD105" s="0" t="n">
        <v>-0.338944330031282</v>
      </c>
      <c r="CE105" s="20" t="n">
        <f aca="false">(CD105)^2</f>
        <v>0.114883258860355</v>
      </c>
      <c r="CG105" s="0" t="n">
        <v>2.87283479667699</v>
      </c>
      <c r="CH105" s="0" t="n">
        <v>1.52762990087134</v>
      </c>
      <c r="CI105" s="0" t="n">
        <v>40.7010241637326</v>
      </c>
      <c r="CJ105" s="0" t="n">
        <v>40.4667860464016</v>
      </c>
      <c r="CK105" s="0" t="n">
        <v>-0.234238117331003</v>
      </c>
      <c r="CL105" s="20" t="n">
        <f aca="false">(CK105)^2</f>
        <v>0.0548674956107728</v>
      </c>
      <c r="CN105" s="0" t="n">
        <v>2.87283479667699</v>
      </c>
      <c r="CO105" s="0" t="n">
        <v>1.52762990087134</v>
      </c>
      <c r="CP105" s="0" t="n">
        <v>40.5751674447139</v>
      </c>
      <c r="CQ105" s="0" t="n">
        <v>40.4667860464016</v>
      </c>
      <c r="CR105" s="0" t="n">
        <v>-0.108381398312346</v>
      </c>
      <c r="CS105" s="20" t="n">
        <f aca="false">(CR105)^2</f>
        <v>0.0117465275001395</v>
      </c>
      <c r="CU105" s="0" t="n">
        <v>40.3308782653967</v>
      </c>
      <c r="CV105" s="0" t="n">
        <v>40.5604765658043</v>
      </c>
      <c r="CW105" s="0" t="n">
        <v>40.6750396842358</v>
      </c>
      <c r="CX105" s="0" t="n">
        <v>0.114563118431505</v>
      </c>
      <c r="CY105" s="20" t="n">
        <f aca="false">(CX105)^2</f>
        <v>0.013124708104751</v>
      </c>
      <c r="DC105" s="0" t="e">
        <v>#VALUE!</v>
      </c>
      <c r="DD105" s="0" t="e">
        <v>#VALUE!</v>
      </c>
      <c r="DE105" s="0" t="e">
        <v>#VALUE!</v>
      </c>
      <c r="DJ105" s="0" t="n">
        <v>1.30511635010141</v>
      </c>
      <c r="DK105" s="0" t="n">
        <v>1.51519135008675</v>
      </c>
      <c r="DL105" s="0" t="e">
        <v>#N/A</v>
      </c>
      <c r="DQ105" s="0" t="n">
        <v>0.861578689166227</v>
      </c>
      <c r="DR105" s="0" t="n">
        <v>1.06471315771805</v>
      </c>
      <c r="DS105" s="0" t="e">
        <v>#N/A</v>
      </c>
      <c r="DX105" s="0" t="n">
        <v>1.32082812213997</v>
      </c>
      <c r="DY105" s="0" t="n">
        <v>1.48385045911308</v>
      </c>
      <c r="DZ105" s="0" t="e">
        <v>#N/A</v>
      </c>
    </row>
    <row r="106" customFormat="false" ht="13.2" hidden="false" customHeight="false" outlineLevel="0" collapsed="false">
      <c r="O106" s="2"/>
      <c r="AC106" s="39"/>
      <c r="AD106" s="22"/>
      <c r="AE106" s="40" t="s">
        <v>280</v>
      </c>
      <c r="AF106" s="40" t="n">
        <f aca="false">CA864</f>
        <v>0.00187170885737121</v>
      </c>
      <c r="AG106" s="40" t="n">
        <f aca="false">CV793</f>
        <v>0.0208823669942528</v>
      </c>
      <c r="AH106" s="40" t="n">
        <f aca="false">CO577</f>
        <v>0.213214007822572</v>
      </c>
      <c r="AI106" s="40" t="n">
        <f aca="false">CV577</f>
        <v>0.119459112913721</v>
      </c>
      <c r="AJ106" s="40" t="n">
        <f aca="false">CV295</f>
        <v>0.123685479424581</v>
      </c>
      <c r="AK106" s="40" t="n">
        <v>1</v>
      </c>
      <c r="AL106" s="22"/>
      <c r="BF106" s="8"/>
      <c r="BG106" s="8" t="n">
        <f aca="false">BF14</f>
        <v>39.8158956218551</v>
      </c>
      <c r="BH106" s="8" t="n">
        <f aca="false">BG14</f>
        <v>40.2813702480347</v>
      </c>
      <c r="BI106" s="8" t="n">
        <f aca="false">BH14</f>
        <v>40.2813702480347</v>
      </c>
      <c r="BJ106" s="17" t="n">
        <f aca="false">BJ14</f>
        <v>2.18948247828467</v>
      </c>
      <c r="BK106" s="8" t="n">
        <f aca="false">BO14</f>
        <v>1.69019608002851</v>
      </c>
      <c r="BL106" s="8" t="n">
        <f aca="false">BM14</f>
        <v>1.32221929473392</v>
      </c>
      <c r="BM106" s="8" t="n">
        <f aca="false">BN14</f>
        <v>8.07</v>
      </c>
      <c r="BN106" s="17" t="n">
        <f aca="false">BL14</f>
        <v>1.68490801536986</v>
      </c>
      <c r="BX106" s="0" t="n">
        <v>40.5981246398134</v>
      </c>
      <c r="BZ106" s="0" t="n">
        <v>2.8057379010057</v>
      </c>
      <c r="CA106" s="0" t="n">
        <v>1.54530711646582</v>
      </c>
      <c r="CB106" s="0" t="n">
        <v>40.3421594182998</v>
      </c>
      <c r="CC106" s="0" t="n">
        <v>40.3308782653967</v>
      </c>
      <c r="CD106" s="0" t="n">
        <v>-0.0112811529031021</v>
      </c>
      <c r="CE106" s="20" t="n">
        <f aca="false">(CD106)^2</f>
        <v>0.000127264410823168</v>
      </c>
      <c r="CG106" s="0" t="n">
        <v>2.8057379010057</v>
      </c>
      <c r="CH106" s="0" t="n">
        <v>1.54530711646582</v>
      </c>
      <c r="CI106" s="0" t="n">
        <v>40.7033726921301</v>
      </c>
      <c r="CJ106" s="0" t="n">
        <v>40.6750396842358</v>
      </c>
      <c r="CK106" s="0" t="n">
        <v>-0.0283330078942825</v>
      </c>
      <c r="CL106" s="20" t="n">
        <f aca="false">(CK106)^2</f>
        <v>0.000802759336337475</v>
      </c>
      <c r="CN106" s="0" t="n">
        <v>2.8057379010057</v>
      </c>
      <c r="CO106" s="0" t="n">
        <v>1.54530711646582</v>
      </c>
      <c r="CP106" s="0" t="n">
        <v>40.5981246398134</v>
      </c>
      <c r="CQ106" s="0" t="n">
        <v>40.6750396842358</v>
      </c>
      <c r="CR106" s="0" t="n">
        <v>0.0769150444224138</v>
      </c>
      <c r="CS106" s="20" t="n">
        <f aca="false">(CR106)^2</f>
        <v>0.00591592405850189</v>
      </c>
      <c r="CU106" s="0" t="n">
        <v>40.4850090486329</v>
      </c>
      <c r="CV106" s="0" t="n">
        <v>40.6988846811432</v>
      </c>
      <c r="CW106" s="0" t="n">
        <v>40.9096967114523</v>
      </c>
      <c r="CX106" s="0" t="n">
        <v>0.2108120303091</v>
      </c>
      <c r="CY106" s="20" t="n">
        <f aca="false">(CX106)^2</f>
        <v>0.0444417121230449</v>
      </c>
    </row>
    <row r="107" customFormat="false" ht="13.2" hidden="false" customHeight="false" outlineLevel="0" collapsed="false">
      <c r="A107" s="0" t="s">
        <v>284</v>
      </c>
      <c r="B107" s="0" t="n">
        <f aca="false">CE142</f>
        <v>0.276062040988976</v>
      </c>
      <c r="C107" s="0" t="n">
        <f aca="false">CA98</f>
        <v>35.1485966452735</v>
      </c>
      <c r="D107" s="0" t="n">
        <f aca="false">CB98</f>
        <v>0.560737580969055</v>
      </c>
      <c r="E107" s="0" t="n">
        <f aca="false">CA100</f>
        <v>2.39969109427706</v>
      </c>
      <c r="F107" s="0" t="n">
        <f aca="false">CB100</f>
        <v>0.368391117050374</v>
      </c>
      <c r="G107" s="8" t="n">
        <f aca="false">CA99</f>
        <v>0.529380540922198</v>
      </c>
      <c r="H107" s="8"/>
      <c r="I107" s="0" t="n">
        <f aca="false">CB99</f>
        <v>0.177600079491109</v>
      </c>
      <c r="O107" s="2"/>
      <c r="P107" s="0" t="s">
        <v>284</v>
      </c>
      <c r="R107" s="0" t="n">
        <f aca="false">DK61</f>
        <v>0.317791067200158</v>
      </c>
      <c r="S107" s="0" t="n">
        <f aca="false">DK75</f>
        <v>35.3963634991882</v>
      </c>
      <c r="T107" s="0" t="n">
        <f aca="false">DL75</f>
        <v>1.25640485318571</v>
      </c>
      <c r="U107" s="0" t="n">
        <f aca="false">DK77</f>
        <v>35.3837534712045</v>
      </c>
      <c r="V107" s="0" t="n">
        <f aca="false">DL77</f>
        <v>1.25025895288179</v>
      </c>
      <c r="W107" s="0" t="n">
        <f aca="false">DK76</f>
        <v>35.3837534712045</v>
      </c>
      <c r="X107" s="0" t="n">
        <f aca="false">DL76</f>
        <v>1.25025895288179</v>
      </c>
      <c r="AC107" s="39"/>
      <c r="AD107" s="22"/>
      <c r="AE107" s="22"/>
      <c r="AF107" s="22"/>
      <c r="AG107" s="22"/>
      <c r="AH107" s="22"/>
      <c r="AI107" s="22"/>
      <c r="AJ107" s="22"/>
      <c r="AK107" s="22"/>
      <c r="AL107" s="22"/>
      <c r="BF107" s="8"/>
      <c r="BG107" s="8" t="n">
        <f aca="false">BF15</f>
        <v>39.9770046637507</v>
      </c>
      <c r="BH107" s="8" t="n">
        <f aca="false">BG15</f>
        <v>40.5618565782759</v>
      </c>
      <c r="BI107" s="8" t="n">
        <f aca="false">BH15</f>
        <v>40.2717584423895</v>
      </c>
      <c r="BJ107" s="17" t="n">
        <f aca="false">BJ15</f>
        <v>3.01277417174865</v>
      </c>
      <c r="BK107" s="8" t="n">
        <f aca="false">BO15</f>
        <v>1.83250891270624</v>
      </c>
      <c r="BL107" s="8" t="n">
        <f aca="false">BM15</f>
        <v>1.23299611039215</v>
      </c>
      <c r="BM107" s="8" t="n">
        <f aca="false">BN15</f>
        <v>8.27</v>
      </c>
      <c r="BN107" s="17" t="n">
        <f aca="false">BL15</f>
        <v>1.85057428008802</v>
      </c>
      <c r="BX107" s="0" t="n">
        <v>40.3236628017173</v>
      </c>
      <c r="BZ107" s="0" t="n">
        <v>2.72333943354249</v>
      </c>
      <c r="CA107" s="0" t="n">
        <v>1.44247976906445</v>
      </c>
      <c r="CB107" s="0" t="n">
        <v>40.0517854032158</v>
      </c>
      <c r="CC107" s="0" t="n">
        <v>40.4850090486329</v>
      </c>
      <c r="CD107" s="0" t="n">
        <v>0.433223645417129</v>
      </c>
      <c r="CE107" s="20" t="n">
        <f aca="false">(CD107)^2</f>
        <v>0.187682726948507</v>
      </c>
      <c r="CG107" s="0" t="n">
        <v>2.72333943354249</v>
      </c>
      <c r="CH107" s="0" t="n">
        <v>1.44247976906445</v>
      </c>
      <c r="CI107" s="0" t="n">
        <v>40.4780550867836</v>
      </c>
      <c r="CJ107" s="0" t="n">
        <v>40.9096967114523</v>
      </c>
      <c r="CK107" s="0" t="n">
        <v>0.4316416246687</v>
      </c>
      <c r="CL107" s="20" t="n">
        <f aca="false">(CK107)^2</f>
        <v>0.186314492146635</v>
      </c>
      <c r="CN107" s="0" t="n">
        <v>2.72333943354249</v>
      </c>
      <c r="CO107" s="0" t="n">
        <v>1.44247976906445</v>
      </c>
      <c r="CP107" s="0" t="n">
        <v>40.3236628017173</v>
      </c>
      <c r="CQ107" s="0" t="n">
        <v>40.9096967114523</v>
      </c>
      <c r="CR107" s="0" t="n">
        <v>0.586033909735043</v>
      </c>
      <c r="CS107" s="20" t="n">
        <f aca="false">(CR107)^2</f>
        <v>0.343435743359341</v>
      </c>
      <c r="CU107" s="0" t="n">
        <v>40.5363222856562</v>
      </c>
      <c r="CV107" s="0" t="n">
        <v>40.7449635258698</v>
      </c>
      <c r="CW107" s="0" t="n">
        <v>40.8519069419647</v>
      </c>
      <c r="CX107" s="0" t="n">
        <v>0.106943416094879</v>
      </c>
      <c r="CY107" s="20" t="n">
        <f aca="false">(CX107)^2</f>
        <v>0.0114368942460424</v>
      </c>
      <c r="DC107" s="0" t="s">
        <v>100</v>
      </c>
      <c r="DJ107" s="0" t="s">
        <v>100</v>
      </c>
      <c r="DQ107" s="0" t="s">
        <v>100</v>
      </c>
      <c r="DX107" s="0" t="s">
        <v>100</v>
      </c>
    </row>
    <row r="108" customFormat="false" ht="13.2" hidden="false" customHeight="false" outlineLevel="0" collapsed="false">
      <c r="A108" s="0" t="s">
        <v>285</v>
      </c>
      <c r="B108" s="0" t="n">
        <f aca="false">CL142</f>
        <v>0.336791533920666</v>
      </c>
      <c r="C108" s="0" t="n">
        <f aca="false">CH98</f>
        <v>36.6154193940811</v>
      </c>
      <c r="D108" s="0" t="n">
        <f aca="false">CI98</f>
        <v>0.684091406935128</v>
      </c>
      <c r="E108" s="0" t="n">
        <f aca="false">CH100</f>
        <v>1.83241738107183</v>
      </c>
      <c r="F108" s="0" t="n">
        <f aca="false">CI100</f>
        <v>0.449431616710744</v>
      </c>
      <c r="G108" s="0" t="n">
        <f aca="false">CH99</f>
        <v>0.447763021019435</v>
      </c>
      <c r="I108" s="0" t="n">
        <f aca="false">CI99</f>
        <v>0.216669423228062</v>
      </c>
      <c r="O108" s="2"/>
      <c r="P108" s="0" t="s">
        <v>285</v>
      </c>
      <c r="R108" s="0" t="n">
        <f aca="false">DR61</f>
        <v>0.269558369751185</v>
      </c>
      <c r="S108" s="0" t="n">
        <f aca="false">DR75</f>
        <v>36.8895597456153</v>
      </c>
      <c r="T108" s="0" t="n">
        <f aca="false">DS75</f>
        <v>1.06571417175457</v>
      </c>
      <c r="U108" s="0" t="n">
        <f aca="false">DR77</f>
        <v>36.8895597456153</v>
      </c>
      <c r="V108" s="0" t="n">
        <f aca="false">DS77</f>
        <v>1.06571417175457</v>
      </c>
      <c r="W108" s="0" t="n">
        <f aca="false">DR76</f>
        <v>36.8895597456153</v>
      </c>
      <c r="X108" s="0" t="n">
        <f aca="false">DS76</f>
        <v>1.06571417175457</v>
      </c>
      <c r="AC108" s="39"/>
      <c r="AD108" s="22"/>
      <c r="AE108" s="22"/>
      <c r="AF108" s="22"/>
      <c r="AG108" s="22"/>
      <c r="AH108" s="22"/>
      <c r="AI108" s="22"/>
      <c r="AJ108" s="22"/>
      <c r="AK108" s="22"/>
      <c r="AL108" s="22"/>
      <c r="BF108" s="8"/>
      <c r="BG108" s="8" t="n">
        <f aca="false">BF16</f>
        <v>39.0888685217564</v>
      </c>
      <c r="BH108" s="8" t="n">
        <f aca="false">BG16</f>
        <v>39.807392282766</v>
      </c>
      <c r="BI108" s="8" t="n">
        <f aca="false">BH16</f>
        <v>39.2678630647137</v>
      </c>
      <c r="BJ108" s="17" t="n">
        <f aca="false">BJ16</f>
        <v>2.23419219759188</v>
      </c>
      <c r="BK108" s="8" t="n">
        <f aca="false">BO16</f>
        <v>1.79239168949825</v>
      </c>
      <c r="BL108" s="8" t="n">
        <f aca="false">BM16</f>
        <v>1.23299611039215</v>
      </c>
      <c r="BM108" s="8" t="n">
        <f aca="false">BN16</f>
        <v>7.89</v>
      </c>
      <c r="BN108" s="17" t="n">
        <f aca="false">BL16</f>
        <v>1.54507120196056</v>
      </c>
      <c r="BX108" s="0" t="n">
        <v>40.4976052373832</v>
      </c>
      <c r="BZ108" s="0" t="n">
        <v>2.52960348518892</v>
      </c>
      <c r="CA108" s="0" t="n">
        <v>1.53781909507327</v>
      </c>
      <c r="CB108" s="0" t="n">
        <v>40.178010293638</v>
      </c>
      <c r="CC108" s="0" t="n">
        <v>40.5363222856562</v>
      </c>
      <c r="CD108" s="0" t="n">
        <v>0.358311992018173</v>
      </c>
      <c r="CE108" s="20" t="n">
        <f aca="false">(CD108)^2</f>
        <v>0.128387483624031</v>
      </c>
      <c r="CG108" s="0" t="n">
        <v>2.52960348518892</v>
      </c>
      <c r="CH108" s="0" t="n">
        <v>1.53781909507327</v>
      </c>
      <c r="CI108" s="0" t="n">
        <v>40.566008731347</v>
      </c>
      <c r="CJ108" s="0" t="n">
        <v>40.8519069419647</v>
      </c>
      <c r="CK108" s="0" t="n">
        <v>0.285898210617724</v>
      </c>
      <c r="CL108" s="20" t="n">
        <f aca="false">(CK108)^2</f>
        <v>0.0817377868344163</v>
      </c>
      <c r="CN108" s="0" t="n">
        <v>2.52960348518892</v>
      </c>
      <c r="CO108" s="0" t="n">
        <v>1.53781909507327</v>
      </c>
      <c r="CP108" s="0" t="n">
        <v>40.4976052373832</v>
      </c>
      <c r="CQ108" s="0" t="n">
        <v>40.8519069419647</v>
      </c>
      <c r="CR108" s="0" t="n">
        <v>0.354301704581474</v>
      </c>
      <c r="CS108" s="20" t="n">
        <f aca="false">(CR108)^2</f>
        <v>0.125529697869338</v>
      </c>
      <c r="CU108" s="0" t="n">
        <v>39.9166540391504</v>
      </c>
      <c r="CV108" s="0" t="n">
        <v>40.1885067796351</v>
      </c>
      <c r="CW108" s="0" t="n">
        <v>40.3823661888664</v>
      </c>
      <c r="CX108" s="0" t="n">
        <v>0.193859409231337</v>
      </c>
      <c r="CY108" s="20" t="n">
        <f aca="false">(CX108)^2</f>
        <v>0.0375814705475228</v>
      </c>
      <c r="DC108" s="0" t="s">
        <v>103</v>
      </c>
      <c r="DD108" s="0" t="e">
        <f aca="false">$DC$103</f>
        <v>#VALUE!</v>
      </c>
      <c r="DJ108" s="0" t="s">
        <v>103</v>
      </c>
      <c r="DK108" s="0" t="n">
        <f aca="false">$DJ$103</f>
        <v>0.462756723322898</v>
      </c>
      <c r="DQ108" s="0" t="s">
        <v>103</v>
      </c>
      <c r="DR108" s="0" t="n">
        <f aca="false">$DQ$103</f>
        <v>0.447273184777169</v>
      </c>
      <c r="DX108" s="0" t="s">
        <v>103</v>
      </c>
      <c r="DY108" s="0" t="n">
        <f aca="false">$DX$103</f>
        <v>0.470937429682179</v>
      </c>
    </row>
    <row r="109" customFormat="false" ht="13.2" hidden="false" customHeight="false" outlineLevel="0" collapsed="false">
      <c r="A109" s="0" t="s">
        <v>286</v>
      </c>
      <c r="B109" s="0" t="n">
        <f aca="false">CS142</f>
        <v>0.329224787689627</v>
      </c>
      <c r="C109" s="0" t="n">
        <f aca="false">CO98</f>
        <v>36.0061775699594</v>
      </c>
      <c r="D109" s="0" t="n">
        <f aca="false">CP98</f>
        <v>0.668721822032403</v>
      </c>
      <c r="E109" s="0" t="n">
        <f aca="false">CO100</f>
        <v>2.43025907368837</v>
      </c>
      <c r="F109" s="0" t="n">
        <f aca="false">CP100</f>
        <v>0.439334168736719</v>
      </c>
      <c r="G109" s="0" t="n">
        <f aca="false">CO99</f>
        <v>0.298121370541373</v>
      </c>
      <c r="I109" s="0" t="n">
        <f aca="false">CP99</f>
        <v>0.211801478590301</v>
      </c>
      <c r="O109" s="2"/>
      <c r="P109" s="0" t="s">
        <v>286</v>
      </c>
      <c r="R109" s="0" t="n">
        <f aca="false">DY61</f>
        <v>0.334138226742241</v>
      </c>
      <c r="S109" s="0" t="n">
        <f aca="false">DY75</f>
        <v>36.4342454941221</v>
      </c>
      <c r="T109" s="0" t="n">
        <f aca="false">DZ75</f>
        <v>1.32103426761648</v>
      </c>
      <c r="U109" s="0" t="n">
        <f aca="false">DY77</f>
        <v>36.4342454941221</v>
      </c>
      <c r="V109" s="0" t="n">
        <f aca="false">DZ77</f>
        <v>1.32103426761648</v>
      </c>
      <c r="W109" s="0" t="n">
        <f aca="false">DY76</f>
        <v>36.4342454941221</v>
      </c>
      <c r="X109" s="0" t="n">
        <f aca="false">DZ76</f>
        <v>1.32103426761648</v>
      </c>
      <c r="AC109" s="39"/>
      <c r="AD109" s="22"/>
      <c r="AE109" s="22"/>
      <c r="AF109" s="22"/>
      <c r="AG109" s="22"/>
      <c r="AH109" s="22"/>
      <c r="AI109" s="22"/>
      <c r="AJ109" s="22"/>
      <c r="AK109" s="22"/>
      <c r="AL109" s="22"/>
      <c r="BF109" s="8"/>
      <c r="BG109" s="8" t="n">
        <f aca="false">BF17</f>
        <v>39.3364926286811</v>
      </c>
      <c r="BH109" s="8" t="n">
        <f aca="false">BG17</f>
        <v>39.6234285182525</v>
      </c>
      <c r="BI109" s="8" t="n">
        <f aca="false">BH17</f>
        <v>39.6234285182525</v>
      </c>
      <c r="BJ109" s="17" t="n">
        <f aca="false">BJ17</f>
        <v>2.51128671835605</v>
      </c>
      <c r="BK109" s="8" t="n">
        <f aca="false">BO17</f>
        <v>1.53147891704226</v>
      </c>
      <c r="BL109" s="8" t="n">
        <f aca="false">BM17</f>
        <v>1.3541084391474</v>
      </c>
      <c r="BM109" s="8" t="n">
        <f aca="false">BN17</f>
        <v>8.27</v>
      </c>
      <c r="BN109" s="17" t="n">
        <f aca="false">BL17</f>
        <v>1.96442405905461</v>
      </c>
      <c r="BX109" s="0" t="n">
        <v>40.0142545265612</v>
      </c>
      <c r="BZ109" s="0" t="n">
        <v>2.40587460839648</v>
      </c>
      <c r="CA109" s="0" t="n">
        <v>1.3541084391474</v>
      </c>
      <c r="CB109" s="0" t="n">
        <v>39.6716618089648</v>
      </c>
      <c r="CC109" s="0" t="n">
        <v>39.9166540391504</v>
      </c>
      <c r="CD109" s="0" t="n">
        <v>0.244992230185566</v>
      </c>
      <c r="CE109" s="20" t="n">
        <f aca="false">(CD109)^2</f>
        <v>0.0600211928512976</v>
      </c>
      <c r="CG109" s="0" t="n">
        <v>2.40587460839648</v>
      </c>
      <c r="CH109" s="0" t="n">
        <v>1.3541084391474</v>
      </c>
      <c r="CI109" s="0" t="n">
        <v>40.1739729166804</v>
      </c>
      <c r="CJ109" s="0" t="n">
        <v>40.3823661888664</v>
      </c>
      <c r="CK109" s="0" t="n">
        <v>0.208393272186015</v>
      </c>
      <c r="CL109" s="20" t="n">
        <f aca="false">(CK109)^2</f>
        <v>0.0434277558923946</v>
      </c>
      <c r="CN109" s="0" t="n">
        <v>2.40587460839648</v>
      </c>
      <c r="CO109" s="0" t="n">
        <v>1.3541084391474</v>
      </c>
      <c r="CP109" s="0" t="n">
        <v>40.0142545265612</v>
      </c>
      <c r="CQ109" s="0" t="n">
        <v>40.3823661888664</v>
      </c>
      <c r="CR109" s="0" t="n">
        <v>0.368111662305168</v>
      </c>
      <c r="CS109" s="20" t="n">
        <f aca="false">(CR109)^2</f>
        <v>0.135506195925074</v>
      </c>
      <c r="CU109" s="0" t="n">
        <v>39.9203081956583</v>
      </c>
      <c r="CV109" s="0" t="n">
        <v>40.1917881806946</v>
      </c>
      <c r="CW109" s="0" t="n">
        <v>39.8052047714277</v>
      </c>
      <c r="CX109" s="0" t="n">
        <v>-0.386583409266855</v>
      </c>
      <c r="CY109" s="20" t="n">
        <f aca="false">(CX109)^2</f>
        <v>0.149446732320385</v>
      </c>
      <c r="DC109" s="0" t="s">
        <v>106</v>
      </c>
      <c r="DD109" s="0" t="e">
        <f aca="false">$DD$103</f>
        <v>#VALUE!</v>
      </c>
      <c r="DJ109" s="0" t="s">
        <v>106</v>
      </c>
      <c r="DK109" s="0" t="n">
        <f aca="false">$DK$103</f>
        <v>0.34139885877944</v>
      </c>
      <c r="DQ109" s="0" t="s">
        <v>106</v>
      </c>
      <c r="DR109" s="0" t="n">
        <f aca="false">$DR$103</f>
        <v>0.28618352875761</v>
      </c>
      <c r="DX109" s="0" t="s">
        <v>106</v>
      </c>
      <c r="DY109" s="0" t="n">
        <f aca="false">$DY$103</f>
        <v>0.337849586367511</v>
      </c>
    </row>
    <row r="110" customFormat="false" ht="13.2" hidden="false" customHeight="false" outlineLevel="0" collapsed="false">
      <c r="O110" s="2"/>
      <c r="AC110" s="39"/>
      <c r="AD110" s="22"/>
      <c r="AE110" s="22"/>
      <c r="AF110" s="22"/>
      <c r="AG110" s="22"/>
      <c r="AH110" s="22"/>
      <c r="AI110" s="22"/>
      <c r="AJ110" s="22"/>
      <c r="AK110" s="22"/>
      <c r="AL110" s="22"/>
      <c r="BF110" s="8"/>
      <c r="BG110" s="8" t="n">
        <f aca="false">BF18</f>
        <v>40.3263420583806</v>
      </c>
      <c r="BH110" s="8" t="n">
        <f aca="false">BG18</f>
        <v>40.3264007404092</v>
      </c>
      <c r="BI110" s="8" t="n">
        <f aca="false">BH18</f>
        <v>40.3264007404092</v>
      </c>
      <c r="BJ110" s="17" t="n">
        <f aca="false">BJ18</f>
        <v>2.98461060088215</v>
      </c>
      <c r="BK110" s="8" t="n">
        <f aca="false">BO18</f>
        <v>1.34242268082221</v>
      </c>
      <c r="BL110" s="8" t="n">
        <f aca="false">BM18</f>
        <v>1.48572142648158</v>
      </c>
      <c r="BM110" s="8" t="n">
        <f aca="false">BN18</f>
        <v>8.49</v>
      </c>
      <c r="BN110" s="17" t="n">
        <f aca="false">BL18</f>
        <v>2.35784156259318</v>
      </c>
      <c r="BX110" s="0" t="n">
        <v>40.3821411378344</v>
      </c>
      <c r="BZ110" s="0" t="n">
        <v>3.06295399039048</v>
      </c>
      <c r="CA110" s="0" t="n">
        <v>1.42488163663107</v>
      </c>
      <c r="CB110" s="0" t="n">
        <v>40.1893406593487</v>
      </c>
      <c r="CC110" s="0" t="n">
        <v>39.9203081956583</v>
      </c>
      <c r="CD110" s="0" t="n">
        <v>-0.269032463690415</v>
      </c>
      <c r="CE110" s="20" t="n">
        <f aca="false">(CD110)^2</f>
        <v>0.0723784665193345</v>
      </c>
      <c r="CG110" s="0" t="n">
        <v>3.06295399039048</v>
      </c>
      <c r="CH110" s="0" t="n">
        <v>1.42488163663107</v>
      </c>
      <c r="CI110" s="0" t="n">
        <v>40.5978748029947</v>
      </c>
      <c r="CJ110" s="0" t="n">
        <v>39.8052047714277</v>
      </c>
      <c r="CK110" s="0" t="n">
        <v>-0.792670031567006</v>
      </c>
      <c r="CL110" s="20" t="n">
        <f aca="false">(CK110)^2</f>
        <v>0.628325778944438</v>
      </c>
      <c r="CN110" s="0" t="n">
        <v>3.06295399039048</v>
      </c>
      <c r="CO110" s="0" t="n">
        <v>1.42488163663107</v>
      </c>
      <c r="CP110" s="0" t="n">
        <v>40.3821411378344</v>
      </c>
      <c r="CQ110" s="0" t="n">
        <v>39.8052047714277</v>
      </c>
      <c r="CR110" s="0" t="n">
        <v>-0.576936366406692</v>
      </c>
      <c r="CS110" s="20" t="n">
        <f aca="false">(CR110)^2</f>
        <v>0.332855570882556</v>
      </c>
      <c r="CU110" s="0" t="n">
        <v>40.0555420750015</v>
      </c>
      <c r="CV110" s="0" t="n">
        <v>40.3132270391553</v>
      </c>
      <c r="CW110" s="0" t="n">
        <v>40.1409607062428</v>
      </c>
      <c r="CX110" s="0" t="n">
        <v>-0.172266332912471</v>
      </c>
      <c r="CY110" s="20" t="n">
        <f aca="false">(CX110)^2</f>
        <v>0.0296756894551104</v>
      </c>
      <c r="DC110" s="0" t="s">
        <v>109</v>
      </c>
      <c r="DD110" s="0" t="n">
        <f aca="false">2</f>
        <v>2</v>
      </c>
      <c r="DJ110" s="0" t="s">
        <v>109</v>
      </c>
      <c r="DK110" s="0" t="n">
        <f aca="false">2</f>
        <v>2</v>
      </c>
      <c r="DQ110" s="0" t="s">
        <v>109</v>
      </c>
      <c r="DR110" s="0" t="n">
        <f aca="false">2</f>
        <v>2</v>
      </c>
      <c r="DX110" s="0" t="s">
        <v>109</v>
      </c>
      <c r="DY110" s="0" t="n">
        <f aca="false">2</f>
        <v>2</v>
      </c>
    </row>
    <row r="111" customFormat="false" ht="13.2" hidden="false" customHeight="false" outlineLevel="0" collapsed="false">
      <c r="O111" s="2"/>
      <c r="AC111" s="39"/>
      <c r="AD111" s="22"/>
      <c r="AE111" s="22"/>
      <c r="AF111" s="22"/>
      <c r="AG111" s="22"/>
      <c r="AH111" s="22"/>
      <c r="AI111" s="22"/>
      <c r="AJ111" s="22"/>
      <c r="AK111" s="22"/>
      <c r="AL111" s="22"/>
      <c r="BF111" s="8"/>
      <c r="BG111" s="8" t="n">
        <f aca="false">BF19</f>
        <v>39.7238406799932</v>
      </c>
      <c r="BH111" s="8" t="n">
        <f aca="false">BG19</f>
        <v>40.2529720067542</v>
      </c>
      <c r="BI111" s="8" t="n">
        <f aca="false">BH19</f>
        <v>40.0756659371669</v>
      </c>
      <c r="BJ111" s="17" t="n">
        <f aca="false">BJ19</f>
        <v>2.65208067517048</v>
      </c>
      <c r="BK111" s="8" t="n">
        <f aca="false">BO19</f>
        <v>1.30102999566398</v>
      </c>
      <c r="BL111" s="8" t="n">
        <f aca="false">BM19</f>
        <v>1.39967372148104</v>
      </c>
      <c r="BM111" s="8" t="n">
        <f aca="false">BN19</f>
        <v>8.02</v>
      </c>
      <c r="BN111" s="17" t="n">
        <f aca="false">BL19</f>
        <v>2.04990126579397</v>
      </c>
      <c r="BX111" s="0" t="n">
        <v>40.3847256094043</v>
      </c>
      <c r="BZ111" s="0" t="n">
        <v>2.96671683363053</v>
      </c>
      <c r="CA111" s="0" t="n">
        <v>1.43775056282039</v>
      </c>
      <c r="CB111" s="0" t="n">
        <v>40.1692760288157</v>
      </c>
      <c r="CC111" s="0" t="n">
        <v>40.0555420750015</v>
      </c>
      <c r="CD111" s="0" t="n">
        <v>-0.11373395381424</v>
      </c>
      <c r="CE111" s="20" t="n">
        <f aca="false">(CD111)^2</f>
        <v>0.0129354122502197</v>
      </c>
      <c r="CG111" s="0" t="n">
        <v>2.96671683363053</v>
      </c>
      <c r="CH111" s="0" t="n">
        <v>1.43775056282039</v>
      </c>
      <c r="CI111" s="0" t="n">
        <v>40.5783646069746</v>
      </c>
      <c r="CJ111" s="0" t="n">
        <v>40.1409607062428</v>
      </c>
      <c r="CK111" s="0" t="n">
        <v>-0.437403900731788</v>
      </c>
      <c r="CL111" s="20" t="n">
        <f aca="false">(CK111)^2</f>
        <v>0.191322172375383</v>
      </c>
      <c r="CN111" s="0" t="n">
        <v>2.96671683363053</v>
      </c>
      <c r="CO111" s="0" t="n">
        <v>1.43775056282039</v>
      </c>
      <c r="CP111" s="0" t="n">
        <v>40.3847256094043</v>
      </c>
      <c r="CQ111" s="0" t="n">
        <v>40.1409607062428</v>
      </c>
      <c r="CR111" s="0" t="n">
        <v>-0.243764903161527</v>
      </c>
      <c r="CS111" s="20" t="n">
        <f aca="false">(CR111)^2</f>
        <v>0.0594213280133484</v>
      </c>
      <c r="CU111" s="0" t="n">
        <v>39.6009701741581</v>
      </c>
      <c r="CV111" s="0" t="n">
        <v>39.9050253888377</v>
      </c>
      <c r="CW111" s="0" t="n">
        <v>39.9728485150304</v>
      </c>
      <c r="CX111" s="0" t="n">
        <v>0.0678231261927067</v>
      </c>
      <c r="CY111" s="20" t="n">
        <f aca="false">(CX111)^2</f>
        <v>0.00459997644655182</v>
      </c>
      <c r="DC111" s="0" t="s">
        <v>112</v>
      </c>
      <c r="DD111" s="0" t="n">
        <f aca="false">16</f>
        <v>16</v>
      </c>
      <c r="DJ111" s="0" t="s">
        <v>112</v>
      </c>
      <c r="DK111" s="0" t="n">
        <f aca="false">16</f>
        <v>16</v>
      </c>
      <c r="DQ111" s="0" t="s">
        <v>112</v>
      </c>
      <c r="DR111" s="0" t="n">
        <f aca="false">16</f>
        <v>16</v>
      </c>
      <c r="DX111" s="0" t="s">
        <v>112</v>
      </c>
      <c r="DY111" s="0" t="n">
        <f aca="false">16</f>
        <v>16</v>
      </c>
    </row>
    <row r="112" customFormat="false" ht="13.2" hidden="false" customHeight="false" outlineLevel="0" collapsed="false">
      <c r="A112" s="0" t="s">
        <v>287</v>
      </c>
      <c r="B112" s="0" t="n">
        <f aca="false">CE213</f>
        <v>0.276509138007338</v>
      </c>
      <c r="C112" s="0" t="n">
        <f aca="false">CA169</f>
        <v>35.8416994123029</v>
      </c>
      <c r="D112" s="0" t="n">
        <f aca="false">CB169</f>
        <v>0.479409493845342</v>
      </c>
      <c r="E112" s="0" t="n">
        <f aca="false">CA171</f>
        <v>2.04055656410502</v>
      </c>
      <c r="F112" s="0" t="n">
        <f aca="false">CB171</f>
        <v>0.427569645176809</v>
      </c>
      <c r="G112" s="0" t="n">
        <f aca="false">CA170</f>
        <v>0.614660953158255</v>
      </c>
      <c r="I112" s="0" t="n">
        <f aca="false">CB170</f>
        <v>0.207914474105837</v>
      </c>
      <c r="O112" s="2"/>
      <c r="P112" s="0" t="s">
        <v>287</v>
      </c>
      <c r="R112" s="0" t="n">
        <f aca="false">DK109</f>
        <v>0.34139885877944</v>
      </c>
      <c r="S112" s="0" t="n">
        <f aca="false">DK123</f>
        <v>36.9587449005688</v>
      </c>
      <c r="T112" s="0" t="n">
        <f aca="false">DL123</f>
        <v>0.951130812652845</v>
      </c>
      <c r="U112" s="0" t="n">
        <f aca="false">DK124</f>
        <v>36.9246084606647</v>
      </c>
      <c r="V112" s="0" t="n">
        <f aca="false">DL124</f>
        <v>0.937067374259744</v>
      </c>
      <c r="W112" s="0" t="n">
        <f aca="false">DK125</f>
        <v>36.9246084606647</v>
      </c>
      <c r="X112" s="0" t="n">
        <f aca="false">DL125</f>
        <v>0.937067374259744</v>
      </c>
      <c r="AC112" s="39"/>
      <c r="AD112" s="22"/>
      <c r="AE112" s="22"/>
      <c r="AF112" s="22"/>
      <c r="AG112" s="22"/>
      <c r="AH112" s="22"/>
      <c r="AI112" s="22"/>
      <c r="AJ112" s="22"/>
      <c r="AK112" s="22"/>
      <c r="AL112" s="22"/>
      <c r="BF112" s="8"/>
      <c r="BG112" s="8" t="n">
        <f aca="false">BF20</f>
        <v>40.069553025812</v>
      </c>
      <c r="BH112" s="8" t="n">
        <f aca="false">BG20</f>
        <v>41.2641577153917</v>
      </c>
      <c r="BI112" s="8" t="n">
        <f aca="false">BH20</f>
        <v>40.7238661685937</v>
      </c>
      <c r="BJ112" s="17" t="n">
        <f aca="false">BJ20</f>
        <v>3.14327666168951</v>
      </c>
      <c r="BK112" s="8" t="n">
        <f aca="false">BO20</f>
        <v>1</v>
      </c>
      <c r="BL112" s="8" t="n">
        <f aca="false">BM20</f>
        <v>1.3384564936046</v>
      </c>
      <c r="BM112" s="8" t="n">
        <f aca="false">BN20</f>
        <v>8.5</v>
      </c>
      <c r="BN112" s="17" t="n">
        <f aca="false">BL20</f>
        <v>2.20522175876517</v>
      </c>
      <c r="BX112" s="0" t="n">
        <v>39.8939089381834</v>
      </c>
      <c r="BZ112" s="0" t="n">
        <v>2.33023762449035</v>
      </c>
      <c r="CA112" s="0" t="n">
        <v>1.31386722036915</v>
      </c>
      <c r="CB112" s="0" t="n">
        <v>39.5350545671859</v>
      </c>
      <c r="CC112" s="0" t="n">
        <v>39.6009701741581</v>
      </c>
      <c r="CD112" s="0" t="n">
        <v>0.06591560697224</v>
      </c>
      <c r="CE112" s="20" t="n">
        <f aca="false">(CD112)^2</f>
        <v>0.00434486724251881</v>
      </c>
      <c r="CG112" s="0" t="n">
        <v>2.33023762449035</v>
      </c>
      <c r="CH112" s="0" t="n">
        <v>1.31386722036915</v>
      </c>
      <c r="CI112" s="0" t="n">
        <v>40.066366763541</v>
      </c>
      <c r="CJ112" s="0" t="n">
        <v>39.9728485150304</v>
      </c>
      <c r="CK112" s="0" t="n">
        <v>-0.0935182485105983</v>
      </c>
      <c r="CL112" s="20" t="n">
        <f aca="false">(CK112)^2</f>
        <v>0.00874566280449002</v>
      </c>
      <c r="CN112" s="0" t="n">
        <v>2.33023762449035</v>
      </c>
      <c r="CO112" s="0" t="n">
        <v>1.31386722036915</v>
      </c>
      <c r="CP112" s="0" t="n">
        <v>39.8939089381834</v>
      </c>
      <c r="CQ112" s="0" t="n">
        <v>39.9728485150304</v>
      </c>
      <c r="CR112" s="0" t="n">
        <v>0.0789395768469987</v>
      </c>
      <c r="CS112" s="20" t="n">
        <f aca="false">(CR112)^2</f>
        <v>0.00623145679278321</v>
      </c>
      <c r="CU112" s="0" t="n">
        <v>39.7119114592515</v>
      </c>
      <c r="CV112" s="0" t="n">
        <v>40.0046497069697</v>
      </c>
      <c r="CW112" s="0" t="n">
        <v>40.3675165950432</v>
      </c>
      <c r="CX112" s="0" t="n">
        <v>0.362866888073526</v>
      </c>
      <c r="CY112" s="20" t="n">
        <f aca="false">(CX112)^2</f>
        <v>0.131672378460165</v>
      </c>
      <c r="DC112" s="0" t="s">
        <v>115</v>
      </c>
      <c r="DD112" s="0" t="e">
        <f aca="false">1 - (1 - $DC$103)*($DD$111 - 1)/($DD$111 - $DD$110 - 1)</f>
        <v>#VALUE!</v>
      </c>
      <c r="DJ112" s="0" t="s">
        <v>115</v>
      </c>
      <c r="DK112" s="0" t="n">
        <f aca="false">1 - (1 - $DJ$103)*($DK$111 - 1)/($DK$111 - $DK$110 - 1)</f>
        <v>0.380103911526421</v>
      </c>
      <c r="DQ112" s="0" t="s">
        <v>115</v>
      </c>
      <c r="DR112" s="0" t="n">
        <f aca="false">1 - (1 - $DQ$103)*($DR$111 - 1)/($DR$111 - $DR$110 - 1)</f>
        <v>0.362238290127502</v>
      </c>
      <c r="DX112" s="0" t="s">
        <v>115</v>
      </c>
      <c r="DY112" s="0" t="n">
        <f aca="false">1 - (1 - $DX$103)*($DY$111 - 1)/($DY$111 - $DY$110 - 1)</f>
        <v>0.389543188094822</v>
      </c>
    </row>
    <row r="113" customFormat="false" ht="13.2" hidden="false" customHeight="false" outlineLevel="0" collapsed="false">
      <c r="A113" s="0" t="s">
        <v>288</v>
      </c>
      <c r="B113" s="0" t="n">
        <f aca="false">CL213</f>
        <v>0.348809179770639</v>
      </c>
      <c r="C113" s="0" t="n">
        <f aca="false">CH169</f>
        <v>37.2650488189149</v>
      </c>
      <c r="D113" s="0" t="n">
        <f aca="false">CI169</f>
        <v>0.604762770328455</v>
      </c>
      <c r="E113" s="0" t="n">
        <f aca="false">CH171</f>
        <v>1.76372272942815</v>
      </c>
      <c r="F113" s="0" t="n">
        <f aca="false">CI171</f>
        <v>0.539368131931278</v>
      </c>
      <c r="G113" s="0" t="n">
        <f aca="false">CH170</f>
        <v>0.32585969882725</v>
      </c>
      <c r="I113" s="0" t="n">
        <f aca="false">CI170</f>
        <v>0.262278772043244</v>
      </c>
      <c r="O113" s="2"/>
      <c r="P113" s="0" t="s">
        <v>288</v>
      </c>
      <c r="R113" s="0" t="n">
        <f aca="false">DR109</f>
        <v>0.28618352875761</v>
      </c>
      <c r="S113" s="0" t="n">
        <f aca="false">DR123</f>
        <v>37.8875129391959</v>
      </c>
      <c r="T113" s="0" t="n">
        <f aca="false">DS123</f>
        <v>0.797301939579529</v>
      </c>
      <c r="U113" s="0" t="n">
        <f aca="false">DR124</f>
        <v>37.8875129391959</v>
      </c>
      <c r="V113" s="0" t="n">
        <f aca="false">DS124</f>
        <v>0.797301939579529</v>
      </c>
      <c r="W113" s="0" t="n">
        <f aca="false">DR125</f>
        <v>37.8875129391959</v>
      </c>
      <c r="X113" s="0" t="n">
        <f aca="false">DS125</f>
        <v>0.797301939579529</v>
      </c>
      <c r="AC113" s="39"/>
      <c r="AD113" s="22"/>
      <c r="AE113" s="22"/>
      <c r="AF113" s="22"/>
      <c r="AG113" s="22"/>
      <c r="AH113" s="22"/>
      <c r="AI113" s="22"/>
      <c r="AJ113" s="22"/>
      <c r="AK113" s="22"/>
      <c r="AL113" s="22"/>
      <c r="BF113" s="8"/>
      <c r="BG113" s="8" t="n">
        <f aca="false">BF21</f>
        <v>39.8138398098754</v>
      </c>
      <c r="BH113" s="8" t="n">
        <f aca="false">BG21</f>
        <v>40.2861528339909</v>
      </c>
      <c r="BI113" s="8" t="n">
        <f aca="false">BH21</f>
        <v>39.8999512285901</v>
      </c>
      <c r="BJ113" s="17" t="n">
        <f aca="false">BJ21</f>
        <v>2.72075204192537</v>
      </c>
      <c r="BK113" s="8" t="n">
        <f aca="false">BO21</f>
        <v>1.32221929473392</v>
      </c>
      <c r="BL113" s="8" t="n">
        <f aca="false">BM21</f>
        <v>1.25527250510331</v>
      </c>
      <c r="BM113" s="8" t="n">
        <f aca="false">BN21</f>
        <v>7.96</v>
      </c>
      <c r="BN113" s="17" t="n">
        <f aca="false">BL21</f>
        <v>1.96796675188098</v>
      </c>
      <c r="BX113" s="0" t="n">
        <v>40.3745697691316</v>
      </c>
      <c r="BZ113" s="0" t="n">
        <v>2.28501935429668</v>
      </c>
      <c r="CA113" s="0" t="n">
        <v>1.51719589794997</v>
      </c>
      <c r="CB113" s="0" t="n">
        <v>39.999042911653</v>
      </c>
      <c r="CC113" s="0" t="n">
        <v>39.7119114592515</v>
      </c>
      <c r="CD113" s="0" t="n">
        <v>-0.287131452401496</v>
      </c>
      <c r="CE113" s="20" t="n">
        <f aca="false">(CD113)^2</f>
        <v>0.0824444709581927</v>
      </c>
      <c r="CG113" s="0" t="n">
        <v>2.28501935429668</v>
      </c>
      <c r="CH113" s="0" t="n">
        <v>1.51719589794997</v>
      </c>
      <c r="CI113" s="0" t="n">
        <v>40.4187026971433</v>
      </c>
      <c r="CJ113" s="0" t="n">
        <v>40.3675165950432</v>
      </c>
      <c r="CK113" s="0" t="n">
        <v>-0.051186102100047</v>
      </c>
      <c r="CL113" s="20" t="n">
        <f aca="false">(CK113)^2</f>
        <v>0.00262001704819644</v>
      </c>
      <c r="CN113" s="0" t="n">
        <v>2.28501935429668</v>
      </c>
      <c r="CO113" s="0" t="n">
        <v>1.51719589794997</v>
      </c>
      <c r="CP113" s="0" t="n">
        <v>40.3745697691316</v>
      </c>
      <c r="CQ113" s="0" t="n">
        <v>40.3675165950432</v>
      </c>
      <c r="CR113" s="0" t="n">
        <v>-0.0070531740883979</v>
      </c>
      <c r="CS113" s="20" t="n">
        <f aca="false">(CR113)^2</f>
        <v>4.97472647212475E-005</v>
      </c>
      <c r="CU113" s="0" t="n">
        <v>39.8158956218551</v>
      </c>
      <c r="CV113" s="0" t="n">
        <v>40.0980265890491</v>
      </c>
      <c r="CW113" s="0" t="n">
        <v>40.2813702480347</v>
      </c>
      <c r="CX113" s="0" t="n">
        <v>0.183343658985592</v>
      </c>
      <c r="CY113" s="20" t="n">
        <f aca="false">(CX113)^2</f>
        <v>0.0336148972902251</v>
      </c>
    </row>
    <row r="114" customFormat="false" ht="13.2" hidden="false" customHeight="false" outlineLevel="0" collapsed="false">
      <c r="A114" s="0" t="s">
        <v>289</v>
      </c>
      <c r="B114" s="0" t="n">
        <f aca="false">CS213</f>
        <v>0.316682380811235</v>
      </c>
      <c r="C114" s="0" t="n">
        <f aca="false">CO169</f>
        <v>36.3347814469617</v>
      </c>
      <c r="D114" s="0" t="n">
        <f aca="false">CP169</f>
        <v>0.549061564433446</v>
      </c>
      <c r="E114" s="0" t="n">
        <f aca="false">CO171</f>
        <v>1.99912862203331</v>
      </c>
      <c r="F114" s="0" t="n">
        <f aca="false">CP171</f>
        <v>0.489690048484452</v>
      </c>
      <c r="G114" s="0" t="n">
        <f aca="false">CO170</f>
        <v>0.53507594205709</v>
      </c>
      <c r="I114" s="0" t="n">
        <f aca="false">CP170</f>
        <v>0.23812178917286</v>
      </c>
      <c r="O114" s="2"/>
      <c r="P114" s="0" t="s">
        <v>289</v>
      </c>
      <c r="R114" s="0" t="n">
        <f aca="false">DY109</f>
        <v>0.337849586367511</v>
      </c>
      <c r="S114" s="0" t="n">
        <f aca="false">DY123</f>
        <v>37.0475359521811</v>
      </c>
      <c r="T114" s="0" t="n">
        <f aca="false">DZ123</f>
        <v>0.941242606331497</v>
      </c>
      <c r="U114" s="0" t="n">
        <f aca="false">DY124</f>
        <v>37.0475359521811</v>
      </c>
      <c r="V114" s="0" t="n">
        <f aca="false">DZ124</f>
        <v>0.941242606331497</v>
      </c>
      <c r="W114" s="0" t="n">
        <f aca="false">DY125</f>
        <v>37.0475359521811</v>
      </c>
      <c r="X114" s="0" t="n">
        <f aca="false">DZ125</f>
        <v>0.941242606331497</v>
      </c>
      <c r="AC114" s="39"/>
      <c r="AD114" s="22"/>
      <c r="AE114" s="22"/>
      <c r="AF114" s="22"/>
      <c r="AG114" s="22"/>
      <c r="AH114" s="22"/>
      <c r="AI114" s="22"/>
      <c r="AJ114" s="22"/>
      <c r="AK114" s="22"/>
      <c r="AL114" s="22"/>
      <c r="BF114" s="8"/>
      <c r="BG114" s="8" t="n">
        <f aca="false">BF22</f>
        <v>39.0981383321098</v>
      </c>
      <c r="BH114" s="8" t="n">
        <f aca="false">BG22</f>
        <v>39.9333875133335</v>
      </c>
      <c r="BI114" s="8" t="n">
        <f aca="false">BH22</f>
        <v>39.7399913960693</v>
      </c>
      <c r="BJ114" s="17" t="n">
        <f aca="false">BJ22</f>
        <v>2.48769573000203</v>
      </c>
      <c r="BK114" s="8" t="n">
        <f aca="false">BO22</f>
        <v>0.602059991327962</v>
      </c>
      <c r="BL114" s="8" t="n">
        <f aca="false">BM22</f>
        <v>1.22010808804006</v>
      </c>
      <c r="BM114" s="8" t="n">
        <f aca="false">BN22</f>
        <v>8.56</v>
      </c>
      <c r="BN114" s="17" t="n">
        <f aca="false">BL22</f>
        <v>1.83307698166838</v>
      </c>
      <c r="BX114" s="0" t="n">
        <v>39.8722445255949</v>
      </c>
      <c r="BZ114" s="0" t="n">
        <v>2.18948247828467</v>
      </c>
      <c r="CA114" s="0" t="n">
        <v>1.32221929473392</v>
      </c>
      <c r="CB114" s="0" t="n">
        <v>39.4805839302218</v>
      </c>
      <c r="CC114" s="0" t="n">
        <v>39.8158956218551</v>
      </c>
      <c r="CD114" s="0" t="n">
        <v>0.335311691633301</v>
      </c>
      <c r="CE114" s="20" t="n">
        <f aca="false">(CD114)^2</f>
        <v>0.112433930545986</v>
      </c>
      <c r="CG114" s="0" t="n">
        <v>2.18948247828467</v>
      </c>
      <c r="CH114" s="0" t="n">
        <v>1.32221929473392</v>
      </c>
      <c r="CI114" s="0" t="n">
        <v>40.0186463002859</v>
      </c>
      <c r="CJ114" s="0" t="n">
        <v>40.2813702480347</v>
      </c>
      <c r="CK114" s="0" t="n">
        <v>0.262723947748782</v>
      </c>
      <c r="CL114" s="20" t="n">
        <f aca="false">(CK114)^2</f>
        <v>0.0690238727207047</v>
      </c>
      <c r="CN114" s="0" t="n">
        <v>2.18948247828467</v>
      </c>
      <c r="CO114" s="0" t="n">
        <v>1.32221929473392</v>
      </c>
      <c r="CP114" s="0" t="n">
        <v>39.8722445255949</v>
      </c>
      <c r="CQ114" s="0" t="n">
        <v>40.2813702480347</v>
      </c>
      <c r="CR114" s="0" t="n">
        <v>0.409125722439782</v>
      </c>
      <c r="CS114" s="20" t="n">
        <f aca="false">(CR114)^2</f>
        <v>0.167383856761874</v>
      </c>
      <c r="CU114" s="0" t="n">
        <v>39.9770046637507</v>
      </c>
      <c r="CV114" s="0" t="n">
        <v>40.2427011205387</v>
      </c>
      <c r="CW114" s="0" t="n">
        <v>40.2717584423895</v>
      </c>
      <c r="CX114" s="0" t="n">
        <v>0.0290573218507646</v>
      </c>
      <c r="CY114" s="20" t="n">
        <f aca="false">(CX114)^2</f>
        <v>0.000844327953138922</v>
      </c>
      <c r="DC114" s="0" t="s">
        <v>120</v>
      </c>
      <c r="DJ114" s="0" t="s">
        <v>120</v>
      </c>
      <c r="DQ114" s="0" t="s">
        <v>120</v>
      </c>
      <c r="DX114" s="0" t="s">
        <v>120</v>
      </c>
    </row>
    <row r="115" customFormat="false" ht="13.2" hidden="false" customHeight="false" outlineLevel="0" collapsed="false">
      <c r="O115" s="2"/>
      <c r="AC115" s="39"/>
      <c r="AD115" s="22"/>
      <c r="AE115" s="22"/>
      <c r="AF115" s="22"/>
      <c r="AG115" s="22"/>
      <c r="AH115" s="22"/>
      <c r="AI115" s="22"/>
      <c r="AJ115" s="22"/>
      <c r="AK115" s="22"/>
      <c r="AL115" s="22"/>
      <c r="BF115" s="8"/>
      <c r="BG115" s="8" t="n">
        <f aca="false">BF23</f>
        <v>40.6295612869068</v>
      </c>
      <c r="BH115" s="8" t="n">
        <f aca="false">BG23</f>
        <v>40.9807675767649</v>
      </c>
      <c r="BI115" s="8" t="n">
        <f aca="false">BH23</f>
        <v>40.9807675767649</v>
      </c>
      <c r="BJ115" s="17" t="n">
        <f aca="false">BJ23</f>
        <v>2.80181789701222</v>
      </c>
      <c r="BK115" s="8" t="n">
        <f aca="false">BO23</f>
        <v>1.91907809237607</v>
      </c>
      <c r="BL115" s="8" t="n">
        <f aca="false">BM23</f>
        <v>1.50514997831991</v>
      </c>
      <c r="BM115" s="8" t="n">
        <f aca="false">BN23</f>
        <v>8.14</v>
      </c>
      <c r="BN115" s="17" t="n">
        <f aca="false">BL23</f>
        <v>2.24498078176473</v>
      </c>
      <c r="BX115" s="0" t="n">
        <v>39.9008499202758</v>
      </c>
      <c r="BZ115" s="0" t="n">
        <v>3.01277417174865</v>
      </c>
      <c r="CA115" s="0" t="n">
        <v>1.23299611039215</v>
      </c>
      <c r="CB115" s="0" t="n">
        <v>39.7023104513765</v>
      </c>
      <c r="CC115" s="0" t="n">
        <v>39.9770046637507</v>
      </c>
      <c r="CD115" s="0" t="n">
        <v>0.274694212374179</v>
      </c>
      <c r="CE115" s="20" t="n">
        <f aca="false">(CD115)^2</f>
        <v>0.0754569103118705</v>
      </c>
      <c r="CG115" s="0" t="n">
        <v>3.01277417174865</v>
      </c>
      <c r="CH115" s="0" t="n">
        <v>1.23299611039215</v>
      </c>
      <c r="CI115" s="0" t="n">
        <v>40.2237917623491</v>
      </c>
      <c r="CJ115" s="0" t="n">
        <v>40.5618565782759</v>
      </c>
      <c r="CK115" s="0" t="n">
        <v>0.338064815926778</v>
      </c>
      <c r="CL115" s="20" t="n">
        <f aca="false">(CK115)^2</f>
        <v>0.114287819767606</v>
      </c>
      <c r="CN115" s="0" t="n">
        <v>3.01277417174865</v>
      </c>
      <c r="CO115" s="0" t="n">
        <v>1.23299611039215</v>
      </c>
      <c r="CP115" s="0" t="n">
        <v>39.9008499202758</v>
      </c>
      <c r="CQ115" s="0" t="n">
        <v>40.2717584423895</v>
      </c>
      <c r="CR115" s="0" t="n">
        <v>0.37090852211373</v>
      </c>
      <c r="CS115" s="20" t="n">
        <f aca="false">(CR115)^2</f>
        <v>0.137573131776591</v>
      </c>
      <c r="CU115" s="0" t="n">
        <v>39.0888685217564</v>
      </c>
      <c r="CV115" s="0" t="n">
        <v>39.4451625173032</v>
      </c>
      <c r="CW115" s="0" t="n">
        <v>39.2678630647137</v>
      </c>
      <c r="CX115" s="0" t="n">
        <v>-0.177299452589509</v>
      </c>
      <c r="CY115" s="20" t="n">
        <f aca="false">(CX115)^2</f>
        <v>0.0314350958885394</v>
      </c>
      <c r="DD115" s="0" t="s">
        <v>123</v>
      </c>
      <c r="DE115" s="0" t="s">
        <v>124</v>
      </c>
      <c r="DF115" s="0" t="s">
        <v>125</v>
      </c>
      <c r="DG115" s="0" t="s">
        <v>126</v>
      </c>
      <c r="DH115" s="0" t="s">
        <v>127</v>
      </c>
      <c r="DK115" s="0" t="s">
        <v>123</v>
      </c>
      <c r="DL115" s="0" t="s">
        <v>124</v>
      </c>
      <c r="DM115" s="0" t="s">
        <v>125</v>
      </c>
      <c r="DN115" s="0" t="s">
        <v>126</v>
      </c>
      <c r="DO115" s="0" t="s">
        <v>127</v>
      </c>
      <c r="DR115" s="0" t="s">
        <v>123</v>
      </c>
      <c r="DS115" s="0" t="s">
        <v>124</v>
      </c>
      <c r="DT115" s="0" t="s">
        <v>125</v>
      </c>
      <c r="DU115" s="0" t="s">
        <v>126</v>
      </c>
      <c r="DV115" s="0" t="s">
        <v>127</v>
      </c>
      <c r="DY115" s="0" t="s">
        <v>123</v>
      </c>
      <c r="DZ115" s="0" t="s">
        <v>124</v>
      </c>
      <c r="EA115" s="0" t="s">
        <v>125</v>
      </c>
      <c r="EB115" s="0" t="s">
        <v>126</v>
      </c>
      <c r="EC115" s="0" t="s">
        <v>127</v>
      </c>
    </row>
    <row r="116" customFormat="false" ht="13.2" hidden="false" customHeight="false" outlineLevel="0" collapsed="false">
      <c r="A116" s="0" t="s">
        <v>290</v>
      </c>
      <c r="B116" s="0" t="n">
        <f aca="false">CE283</f>
        <v>0.310608246741096</v>
      </c>
      <c r="C116" s="0" t="n">
        <f aca="false">CA240</f>
        <v>35.9403189107826</v>
      </c>
      <c r="D116" s="0" t="n">
        <f aca="false">CB240</f>
        <v>0.570791336739758</v>
      </c>
      <c r="E116" s="0" t="n">
        <f aca="false">CA242</f>
        <v>2.76712445313536</v>
      </c>
      <c r="F116" s="0" t="n">
        <f aca="false">CB242</f>
        <v>0.401459180881795</v>
      </c>
      <c r="G116" s="0" t="n">
        <f aca="false">CA241</f>
        <v>0.0166094581361699</v>
      </c>
      <c r="I116" s="0" t="n">
        <f aca="false">CB241</f>
        <v>0.0409363634394292</v>
      </c>
      <c r="O116" s="2"/>
      <c r="AC116" s="39"/>
      <c r="AD116" s="22"/>
      <c r="AE116" s="22"/>
      <c r="AF116" s="22"/>
      <c r="AG116" s="22"/>
      <c r="AH116" s="22"/>
      <c r="AI116" s="22"/>
      <c r="AJ116" s="22"/>
      <c r="AK116" s="22"/>
      <c r="AL116" s="22"/>
      <c r="BF116" s="8"/>
      <c r="BG116" s="8" t="n">
        <f aca="false">BF24</f>
        <v>40.2970404904863</v>
      </c>
      <c r="BH116" s="8" t="n">
        <f aca="false">BG24</f>
        <v>40.7309227353314</v>
      </c>
      <c r="BI116" s="8" t="n">
        <f aca="false">BH24</f>
        <v>40.7309227353314</v>
      </c>
      <c r="BJ116" s="17" t="n">
        <f aca="false">BJ24</f>
        <v>3.10471867515012</v>
      </c>
      <c r="BK116" s="8" t="n">
        <f aca="false">BO24</f>
        <v>1.44715803134222</v>
      </c>
      <c r="BL116" s="8" t="n">
        <f aca="false">BM24</f>
        <v>1.45788189673399</v>
      </c>
      <c r="BM116" s="8" t="n">
        <f aca="false">BN24</f>
        <v>7.77</v>
      </c>
      <c r="BN116" s="17" t="n">
        <f aca="false">BL24</f>
        <v>2.15959850059392</v>
      </c>
      <c r="BX116" s="0" t="n">
        <v>39.6687379950613</v>
      </c>
      <c r="BZ116" s="0" t="n">
        <v>2.23419219759188</v>
      </c>
      <c r="CA116" s="0" t="n">
        <v>1.23299611039215</v>
      </c>
      <c r="CB116" s="0" t="n">
        <v>39.2901443047451</v>
      </c>
      <c r="CC116" s="0" t="n">
        <v>39.0888685217564</v>
      </c>
      <c r="CD116" s="0" t="n">
        <v>-0.201275782988738</v>
      </c>
      <c r="CE116" s="20" t="n">
        <f aca="false">(CD116)^2</f>
        <v>0.0405119408177294</v>
      </c>
      <c r="CG116" s="0" t="n">
        <v>2.23419219759188</v>
      </c>
      <c r="CH116" s="0" t="n">
        <v>1.23299611039215</v>
      </c>
      <c r="CI116" s="0" t="n">
        <v>39.8751715454894</v>
      </c>
      <c r="CJ116" s="0" t="n">
        <v>39.807392282766</v>
      </c>
      <c r="CK116" s="0" t="n">
        <v>-0.0677792627234055</v>
      </c>
      <c r="CL116" s="20" t="n">
        <f aca="false">(CK116)^2</f>
        <v>0.00459402845532843</v>
      </c>
      <c r="CN116" s="0" t="n">
        <v>2.23419219759188</v>
      </c>
      <c r="CO116" s="0" t="n">
        <v>1.23299611039215</v>
      </c>
      <c r="CP116" s="0" t="n">
        <v>39.6687379950613</v>
      </c>
      <c r="CQ116" s="0" t="n">
        <v>39.2678630647137</v>
      </c>
      <c r="CR116" s="0" t="n">
        <v>-0.400874930347641</v>
      </c>
      <c r="CS116" s="20" t="n">
        <f aca="false">(CR116)^2</f>
        <v>0.160700709781226</v>
      </c>
      <c r="CU116" s="0" t="n">
        <v>39.3364926286811</v>
      </c>
      <c r="CV116" s="0" t="n">
        <v>39.667526831766</v>
      </c>
      <c r="CW116" s="0" t="n">
        <v>39.6234285182525</v>
      </c>
      <c r="CX116" s="0" t="n">
        <v>-0.0440983135134729</v>
      </c>
      <c r="CY116" s="20" t="n">
        <f aca="false">(CX116)^2</f>
        <v>0.00194466125473255</v>
      </c>
      <c r="DC116" s="0" t="s">
        <v>130</v>
      </c>
      <c r="DD116" s="0" t="n">
        <f aca="false">$DD$110</f>
        <v>2</v>
      </c>
      <c r="DE116" s="0" t="e">
        <f aca="false">$DC$105</f>
        <v>#VALUE!</v>
      </c>
      <c r="DF116" s="0" t="e">
        <f aca="false">$DC$105 / $DD$116</f>
        <v>#VALUE!</v>
      </c>
      <c r="DG116" s="0" t="e">
        <f aca="false">$DC$104</f>
        <v>#VALUE!</v>
      </c>
      <c r="DH116" s="0" t="e">
        <f aca="false">FDIST($DC$104 , $DD$116 , $DD$104)</f>
        <v>#VALUE!</v>
      </c>
      <c r="DJ116" s="0" t="s">
        <v>130</v>
      </c>
      <c r="DK116" s="0" t="n">
        <f aca="false">$DK$110</f>
        <v>2</v>
      </c>
      <c r="DL116" s="0" t="n">
        <f aca="false">$DJ$105</f>
        <v>1.30511635010141</v>
      </c>
      <c r="DM116" s="0" t="n">
        <f aca="false">$DJ$105 / $DK$116</f>
        <v>0.652558175050706</v>
      </c>
      <c r="DN116" s="0" t="n">
        <f aca="false">$DJ$104</f>
        <v>5.5988019435126</v>
      </c>
      <c r="DO116" s="0" t="n">
        <f aca="false">FDIST($DJ$104 , $DK$116 , $DK$104)</f>
        <v>0.0176242818690909</v>
      </c>
      <c r="DQ116" s="0" t="s">
        <v>130</v>
      </c>
      <c r="DR116" s="0" t="n">
        <f aca="false">$DR$110</f>
        <v>2</v>
      </c>
      <c r="DS116" s="0" t="n">
        <f aca="false">$DQ$105</f>
        <v>0.861578689166227</v>
      </c>
      <c r="DT116" s="0" t="n">
        <f aca="false">$DQ$105 / $DR$116</f>
        <v>0.430789344583113</v>
      </c>
      <c r="DU116" s="0" t="n">
        <f aca="false">$DQ$104</f>
        <v>5.25987815496075</v>
      </c>
      <c r="DV116" s="0" t="n">
        <f aca="false">FDIST($DQ$104 , $DR$116 , $DR$104)</f>
        <v>0.0211991513338805</v>
      </c>
      <c r="DX116" s="0" t="s">
        <v>130</v>
      </c>
      <c r="DY116" s="0" t="n">
        <f aca="false">$DY$110</f>
        <v>2</v>
      </c>
      <c r="DZ116" s="0" t="n">
        <f aca="false">$DX$105</f>
        <v>1.32082812213997</v>
      </c>
      <c r="EA116" s="0" t="n">
        <f aca="false">$DX$105 / $DY$116</f>
        <v>0.660414061069987</v>
      </c>
      <c r="EB116" s="0" t="n">
        <f aca="false">$DX$104</f>
        <v>5.78588141492468</v>
      </c>
      <c r="EC116" s="0" t="n">
        <f aca="false">FDIST($DX$104 , $DY$116 , $DY$104)</f>
        <v>0.0159512875425412</v>
      </c>
    </row>
    <row r="117" customFormat="false" ht="13.2" hidden="false" customHeight="false" outlineLevel="0" collapsed="false">
      <c r="A117" s="0" t="s">
        <v>291</v>
      </c>
      <c r="B117" s="0" t="n">
        <f aca="false">CL283</f>
        <v>0.354357933169086</v>
      </c>
      <c r="C117" s="0" t="n">
        <f aca="false">CH240</f>
        <v>37.1951161570463</v>
      </c>
      <c r="D117" s="0" t="n">
        <f aca="false">CI240</f>
        <v>0.651188242682157</v>
      </c>
      <c r="E117" s="0" t="n">
        <f aca="false">CH242</f>
        <v>2.1496677967723</v>
      </c>
      <c r="F117" s="0" t="n">
        <f aca="false">CI242</f>
        <v>0.458005371981016</v>
      </c>
      <c r="G117" s="0" t="n">
        <f aca="false">CH241</f>
        <v>0.0251596097844438</v>
      </c>
      <c r="I117" s="0" t="n">
        <f aca="false">CI241</f>
        <v>0.0467023180873431</v>
      </c>
      <c r="O117" s="2"/>
      <c r="P117" s="0" t="s">
        <v>290</v>
      </c>
      <c r="R117" s="0" t="n">
        <f aca="false">DK157</f>
        <v>0.351088980516221</v>
      </c>
      <c r="S117" s="0" t="n">
        <f aca="false">DK171</f>
        <v>37.1794084527819</v>
      </c>
      <c r="T117" s="0" t="n">
        <f aca="false">DL171</f>
        <v>3.00615461582369</v>
      </c>
      <c r="U117" s="0" t="n">
        <f aca="false">DK173</f>
        <v>37.601588956218</v>
      </c>
      <c r="V117" s="0" t="n">
        <f aca="false">DL173</f>
        <v>2.97778162331132</v>
      </c>
      <c r="W117" s="0" t="n">
        <f aca="false">DK172</f>
        <v>37.601588956218</v>
      </c>
      <c r="X117" s="0" t="n">
        <f aca="false">DL172</f>
        <v>2.97778162331132</v>
      </c>
      <c r="AC117" s="39"/>
      <c r="AD117" s="22"/>
      <c r="AE117" s="22"/>
      <c r="AF117" s="22"/>
      <c r="AG117" s="22"/>
      <c r="AH117" s="22"/>
      <c r="AI117" s="22"/>
      <c r="AJ117" s="22"/>
      <c r="AK117" s="22"/>
      <c r="AL117" s="22"/>
      <c r="BF117" s="8"/>
      <c r="BG117" s="8" t="n">
        <f aca="false">BF25</f>
        <v>39.5808250944804</v>
      </c>
      <c r="BH117" s="8" t="n">
        <f aca="false">BG25</f>
        <v>40.2880850465456</v>
      </c>
      <c r="BI117" s="8" t="n">
        <f aca="false">BH25</f>
        <v>39.4996349548837</v>
      </c>
      <c r="BJ117" s="17" t="n">
        <f aca="false">BJ25</f>
        <v>2.70767614445813</v>
      </c>
      <c r="BK117" s="8" t="n">
        <f aca="false">BO25</f>
        <v>1.55630250076729</v>
      </c>
      <c r="BL117" s="8" t="n">
        <f aca="false">BM25</f>
        <v>1.39269695325967</v>
      </c>
      <c r="BM117" s="8" t="n">
        <f aca="false">BN25</f>
        <v>8.02</v>
      </c>
      <c r="BN117" s="17" t="n">
        <f aca="false">BL25</f>
        <v>1.62445521813276</v>
      </c>
      <c r="BX117" s="0" t="n">
        <v>40.045680129254</v>
      </c>
      <c r="BZ117" s="0" t="n">
        <v>2.51128671835605</v>
      </c>
      <c r="CA117" s="0" t="n">
        <v>1.3541084391474</v>
      </c>
      <c r="CB117" s="0" t="n">
        <v>39.727464928755</v>
      </c>
      <c r="CC117" s="0" t="n">
        <v>39.3364926286811</v>
      </c>
      <c r="CD117" s="0" t="n">
        <v>-0.390972300073884</v>
      </c>
      <c r="CE117" s="20" t="n">
        <f aca="false">(CD117)^2</f>
        <v>0.152859339425063</v>
      </c>
      <c r="CG117" s="0" t="n">
        <v>2.51128671835605</v>
      </c>
      <c r="CH117" s="0" t="n">
        <v>1.3541084391474</v>
      </c>
      <c r="CI117" s="0" t="n">
        <v>40.2211725614879</v>
      </c>
      <c r="CJ117" s="0" t="n">
        <v>39.6234285182525</v>
      </c>
      <c r="CK117" s="0" t="n">
        <v>-0.597744043235409</v>
      </c>
      <c r="CL117" s="20" t="n">
        <f aca="false">(CK117)^2</f>
        <v>0.357297941223414</v>
      </c>
      <c r="CN117" s="0" t="n">
        <v>2.51128671835605</v>
      </c>
      <c r="CO117" s="0" t="n">
        <v>1.3541084391474</v>
      </c>
      <c r="CP117" s="0" t="n">
        <v>40.045680129254</v>
      </c>
      <c r="CQ117" s="0" t="n">
        <v>39.6234285182525</v>
      </c>
      <c r="CR117" s="0" t="n">
        <v>-0.422251611001535</v>
      </c>
      <c r="CS117" s="20" t="n">
        <f aca="false">(CR117)^2</f>
        <v>0.178296422993392</v>
      </c>
      <c r="CU117" s="0" t="n">
        <v>40.3263420583806</v>
      </c>
      <c r="CV117" s="0" t="n">
        <v>40.5564030909883</v>
      </c>
      <c r="CW117" s="0" t="n">
        <v>40.3264007404092</v>
      </c>
      <c r="CX117" s="0" t="n">
        <v>-0.230002350579078</v>
      </c>
      <c r="CY117" s="20" t="n">
        <f aca="false">(CX117)^2</f>
        <v>0.0529010812719009</v>
      </c>
      <c r="DC117" s="0" t="s">
        <v>133</v>
      </c>
      <c r="DD117" s="0" t="e">
        <f aca="false">$DD$104</f>
        <v>#VALUE!</v>
      </c>
      <c r="DE117" s="0" t="e">
        <f aca="false">$DD$105</f>
        <v>#VALUE!</v>
      </c>
      <c r="DF117" s="0" t="e">
        <f aca="false">$DD$105 / $DD$104</f>
        <v>#VALUE!</v>
      </c>
      <c r="DJ117" s="0" t="s">
        <v>133</v>
      </c>
      <c r="DK117" s="0" t="n">
        <f aca="false">$DK$104</f>
        <v>13</v>
      </c>
      <c r="DL117" s="0" t="n">
        <f aca="false">$DK$105</f>
        <v>1.51519135008675</v>
      </c>
      <c r="DM117" s="0" t="n">
        <f aca="false">$DK$105 / $DK$104</f>
        <v>0.116553180775904</v>
      </c>
      <c r="DQ117" s="0" t="s">
        <v>133</v>
      </c>
      <c r="DR117" s="0" t="n">
        <f aca="false">$DR$104</f>
        <v>13</v>
      </c>
      <c r="DS117" s="0" t="n">
        <f aca="false">$DR$105</f>
        <v>1.06471315771805</v>
      </c>
      <c r="DT117" s="0" t="n">
        <f aca="false">$DR$105 / $DR$104</f>
        <v>0.081901012132158</v>
      </c>
      <c r="DX117" s="0" t="s">
        <v>133</v>
      </c>
      <c r="DY117" s="0" t="n">
        <f aca="false">$DY$104</f>
        <v>13</v>
      </c>
      <c r="DZ117" s="0" t="n">
        <f aca="false">$DY$105</f>
        <v>1.48385045911308</v>
      </c>
      <c r="EA117" s="0" t="n">
        <f aca="false">$DY$105 / $DY$104</f>
        <v>0.114142343008699</v>
      </c>
    </row>
    <row r="118" customFormat="false" ht="13.2" hidden="false" customHeight="false" outlineLevel="0" collapsed="false">
      <c r="A118" s="0" t="s">
        <v>292</v>
      </c>
      <c r="B118" s="0" t="n">
        <f aca="false">CS283</f>
        <v>0.338389260512613</v>
      </c>
      <c r="C118" s="0" t="n">
        <f aca="false">CO240</f>
        <v>36.326495870113</v>
      </c>
      <c r="D118" s="0" t="n">
        <f aca="false">CP240</f>
        <v>0.621843303817268</v>
      </c>
      <c r="E118" s="0" t="n">
        <f aca="false">CO242</f>
        <v>2.60482498308636</v>
      </c>
      <c r="F118" s="0" t="n">
        <f aca="false">CP242</f>
        <v>0.437365964265029</v>
      </c>
      <c r="G118" s="0" t="n">
        <f aca="false">CO241</f>
        <v>0.0313528562647741</v>
      </c>
      <c r="I118" s="0" t="n">
        <f aca="false">CP241</f>
        <v>0.0445977397499381</v>
      </c>
      <c r="O118" s="2"/>
      <c r="P118" s="0" t="s">
        <v>291</v>
      </c>
      <c r="R118" s="0" t="n">
        <f aca="false">DR157</f>
        <v>0.286491866170021</v>
      </c>
      <c r="S118" s="0" t="n">
        <f aca="false">DR171</f>
        <v>38.6216477461591</v>
      </c>
      <c r="T118" s="0" t="n">
        <f aca="false">DS171</f>
        <v>2.45305006331055</v>
      </c>
      <c r="U118" s="0" t="n">
        <f aca="false">DR173</f>
        <v>38.6216477461591</v>
      </c>
      <c r="V118" s="0" t="n">
        <f aca="false">DS173</f>
        <v>2.45305006331055</v>
      </c>
      <c r="W118" s="0" t="n">
        <f aca="false">DR172</f>
        <v>38.6216477461591</v>
      </c>
      <c r="X118" s="0" t="n">
        <f aca="false">DS172</f>
        <v>2.45305006331055</v>
      </c>
      <c r="AC118" s="39"/>
      <c r="AD118" s="22"/>
      <c r="AE118" s="22"/>
      <c r="AF118" s="22"/>
      <c r="AG118" s="22"/>
      <c r="AH118" s="22"/>
      <c r="AI118" s="22"/>
      <c r="AJ118" s="22"/>
      <c r="AK118" s="22"/>
      <c r="AL118" s="22"/>
      <c r="BF118" s="8"/>
      <c r="BG118" s="8" t="n">
        <f aca="false">BF26</f>
        <v>40.3643638589132</v>
      </c>
      <c r="BH118" s="8" t="n">
        <f aca="false">BG26</f>
        <v>41.0286745143046</v>
      </c>
      <c r="BI118" s="8" t="n">
        <f aca="false">BH26</f>
        <v>40.3849932800756</v>
      </c>
      <c r="BJ118" s="17" t="n">
        <f aca="false">BJ26</f>
        <v>2.82411303198074</v>
      </c>
      <c r="BK118" s="8" t="n">
        <f aca="false">BO26</f>
        <v>1.79239168949825</v>
      </c>
      <c r="BL118" s="8" t="n">
        <f aca="false">BM26</f>
        <v>1.50379068305718</v>
      </c>
      <c r="BM118" s="8" t="n">
        <f aca="false">BN26</f>
        <v>8.28</v>
      </c>
      <c r="BN118" s="17" t="n">
        <f aca="false">BL26</f>
        <v>1.8596134656703</v>
      </c>
      <c r="BX118" s="0" t="n">
        <v>40.5066417505068</v>
      </c>
      <c r="BZ118" s="0" t="n">
        <v>2.98461060088215</v>
      </c>
      <c r="CA118" s="0" t="n">
        <v>1.48572142648158</v>
      </c>
      <c r="CB118" s="0" t="n">
        <v>40.2938638953151</v>
      </c>
      <c r="CC118" s="0" t="n">
        <v>40.3263420583806</v>
      </c>
      <c r="CD118" s="0" t="n">
        <v>0.0324781630655195</v>
      </c>
      <c r="CE118" s="20" t="n">
        <f aca="false">(CD118)^2</f>
        <v>0.00105483107611048</v>
      </c>
      <c r="CG118" s="0" t="n">
        <v>2.98461060088215</v>
      </c>
      <c r="CH118" s="0" t="n">
        <v>1.48572142648158</v>
      </c>
      <c r="CI118" s="0" t="n">
        <v>40.6742794186144</v>
      </c>
      <c r="CJ118" s="0" t="n">
        <v>40.3264007404092</v>
      </c>
      <c r="CK118" s="0" t="n">
        <v>-0.347878678205184</v>
      </c>
      <c r="CL118" s="20" t="n">
        <f aca="false">(CK118)^2</f>
        <v>0.121019574749786</v>
      </c>
      <c r="CN118" s="0" t="n">
        <v>2.98461060088215</v>
      </c>
      <c r="CO118" s="0" t="n">
        <v>1.48572142648158</v>
      </c>
      <c r="CP118" s="0" t="n">
        <v>40.5066417505068</v>
      </c>
      <c r="CQ118" s="0" t="n">
        <v>40.3264007404092</v>
      </c>
      <c r="CR118" s="0" t="n">
        <v>-0.180241010097603</v>
      </c>
      <c r="CS118" s="20" t="n">
        <f aca="false">(CR118)^2</f>
        <v>0.0324868217210043</v>
      </c>
      <c r="CU118" s="0" t="n">
        <v>39.7238406799932</v>
      </c>
      <c r="CV118" s="0" t="n">
        <v>40.0153620444123</v>
      </c>
      <c r="CW118" s="0" t="n">
        <v>40.0756659371669</v>
      </c>
      <c r="CX118" s="0" t="n">
        <v>0.060303892754618</v>
      </c>
      <c r="CY118" s="20" t="n">
        <f aca="false">(CX118)^2</f>
        <v>0.00363655948136047</v>
      </c>
      <c r="DC118" s="0" t="s">
        <v>136</v>
      </c>
      <c r="DD118" s="0" t="e">
        <f aca="false">$DD$116 + $DD$104</f>
        <v>#VALUE!</v>
      </c>
      <c r="DE118" s="0" t="e">
        <f aca="false">$DC$105 + $DD$105</f>
        <v>#VALUE!</v>
      </c>
      <c r="DJ118" s="0" t="s">
        <v>136</v>
      </c>
      <c r="DK118" s="0" t="n">
        <f aca="false">$DK$116 + $DK$104</f>
        <v>15</v>
      </c>
      <c r="DL118" s="0" t="n">
        <f aca="false">$DJ$105 + $DK$105</f>
        <v>2.82030770018816</v>
      </c>
      <c r="DQ118" s="0" t="s">
        <v>136</v>
      </c>
      <c r="DR118" s="0" t="n">
        <f aca="false">$DR$116 + $DR$104</f>
        <v>15</v>
      </c>
      <c r="DS118" s="0" t="n">
        <f aca="false">$DQ$105 + $DR$105</f>
        <v>1.92629184688428</v>
      </c>
      <c r="DX118" s="0" t="s">
        <v>136</v>
      </c>
      <c r="DY118" s="0" t="n">
        <f aca="false">$DY$116 + $DY$104</f>
        <v>15</v>
      </c>
      <c r="DZ118" s="0" t="n">
        <f aca="false">$DX$105 + $DY$105</f>
        <v>2.80467858125306</v>
      </c>
    </row>
    <row r="119" customFormat="false" ht="13.2" hidden="false" customHeight="false" outlineLevel="0" collapsed="false">
      <c r="O119" s="2"/>
      <c r="P119" s="0" t="s">
        <v>292</v>
      </c>
      <c r="R119" s="0" t="n">
        <f aca="false">DY157</f>
        <v>0.338775652671757</v>
      </c>
      <c r="S119" s="0" t="n">
        <f aca="false">DY171</f>
        <v>36.4964770342873</v>
      </c>
      <c r="T119" s="0" t="n">
        <f aca="false">DZ171</f>
        <v>2.90072331666596</v>
      </c>
      <c r="U119" s="0" t="n">
        <f aca="false">DY173</f>
        <v>36.4964770342873</v>
      </c>
      <c r="V119" s="0" t="n">
        <f aca="false">DZ173</f>
        <v>2.90072331666596</v>
      </c>
      <c r="W119" s="0" t="n">
        <f aca="false">DY172</f>
        <v>36.4964770342873</v>
      </c>
      <c r="X119" s="0" t="n">
        <f aca="false">DZ172</f>
        <v>2.90072331666596</v>
      </c>
      <c r="AC119" s="39"/>
      <c r="AD119" s="8"/>
      <c r="AE119" s="8"/>
      <c r="AF119" s="8"/>
      <c r="AG119" s="8"/>
      <c r="AH119" s="22"/>
      <c r="AI119" s="22"/>
      <c r="AJ119" s="22"/>
      <c r="AK119" s="22"/>
      <c r="AL119" s="22"/>
      <c r="BF119" s="8"/>
      <c r="BG119" s="8" t="n">
        <f aca="false">BF27</f>
        <v>41.0032839602938</v>
      </c>
      <c r="BH119" s="8" t="n">
        <f aca="false">BG27</f>
        <v>41.1844537060535</v>
      </c>
      <c r="BI119" s="8" t="n">
        <f aca="false">BH27</f>
        <v>41.1844537060535</v>
      </c>
      <c r="BJ119" s="17" t="n">
        <f aca="false">BJ27</f>
        <v>3.10408301855785</v>
      </c>
      <c r="BK119" s="8" t="n">
        <f aca="false">BO27</f>
        <v>0.954242509439325</v>
      </c>
      <c r="BL119" s="8" t="n">
        <f aca="false">BM27</f>
        <v>1.76937732607614</v>
      </c>
      <c r="BM119" s="8" t="n">
        <f aca="false">BN27</f>
        <v>8.71</v>
      </c>
      <c r="BN119" s="17" t="n">
        <f aca="false">BL27</f>
        <v>2.46994216668405</v>
      </c>
      <c r="BX119" s="0" t="n">
        <v>40.19838925746</v>
      </c>
      <c r="BZ119" s="0" t="n">
        <v>2.65208067517048</v>
      </c>
      <c r="CA119" s="0" t="n">
        <v>1.39967372148104</v>
      </c>
      <c r="CB119" s="0" t="n">
        <v>39.9113411119962</v>
      </c>
      <c r="CC119" s="0" t="n">
        <v>39.7238406799932</v>
      </c>
      <c r="CD119" s="0" t="n">
        <v>-0.187500432003034</v>
      </c>
      <c r="CE119" s="20" t="n">
        <f aca="false">(CD119)^2</f>
        <v>0.0351564120013245</v>
      </c>
      <c r="CG119" s="0" t="n">
        <v>2.65208067517048</v>
      </c>
      <c r="CH119" s="0" t="n">
        <v>1.39967372148104</v>
      </c>
      <c r="CI119" s="0" t="n">
        <v>40.367709504254</v>
      </c>
      <c r="CJ119" s="0" t="n">
        <v>40.2529720067542</v>
      </c>
      <c r="CK119" s="0" t="n">
        <v>-0.114737497499831</v>
      </c>
      <c r="CL119" s="20" t="n">
        <f aca="false">(CK119)^2</f>
        <v>0.0131646933325238</v>
      </c>
      <c r="CN119" s="0" t="n">
        <v>2.65208067517048</v>
      </c>
      <c r="CO119" s="0" t="n">
        <v>1.39967372148104</v>
      </c>
      <c r="CP119" s="0" t="n">
        <v>40.19838925746</v>
      </c>
      <c r="CQ119" s="0" t="n">
        <v>40.0756659371669</v>
      </c>
      <c r="CR119" s="0" t="n">
        <v>-0.122723320293098</v>
      </c>
      <c r="CS119" s="20" t="n">
        <f aca="false">(CR119)^2</f>
        <v>0.0150610133437622</v>
      </c>
      <c r="CU119" s="0" t="n">
        <v>40.069553025812</v>
      </c>
      <c r="CV119" s="0" t="n">
        <v>40.3258087522633</v>
      </c>
      <c r="CW119" s="0" t="n">
        <v>40.7238661685937</v>
      </c>
      <c r="CX119" s="0" t="n">
        <v>0.398057416330438</v>
      </c>
      <c r="CY119" s="20" t="n">
        <f aca="false">(CX119)^2</f>
        <v>0.158449706695664</v>
      </c>
    </row>
    <row r="120" customFormat="false" ht="13.2" hidden="false" customHeight="false" outlineLevel="0" collapsed="false">
      <c r="O120" s="2"/>
      <c r="AC120" s="39"/>
      <c r="AD120" s="22"/>
      <c r="AE120" s="22"/>
      <c r="AF120" s="22"/>
      <c r="AG120" s="22"/>
      <c r="AH120" s="22"/>
      <c r="AI120" s="22"/>
      <c r="AJ120" s="22"/>
      <c r="AK120" s="22"/>
      <c r="AL120" s="22"/>
      <c r="BF120" s="8"/>
      <c r="BG120" s="8" t="n">
        <f aca="false">BF28</f>
        <v>39.4879266153321</v>
      </c>
      <c r="BH120" s="8" t="n">
        <f aca="false">BG28</f>
        <v>39.8774043417796</v>
      </c>
      <c r="BI120" s="8" t="n">
        <f aca="false">BH28</f>
        <v>39.4378067534722</v>
      </c>
      <c r="BJ120" s="17" t="n">
        <f aca="false">BJ28</f>
        <v>2.56730132345877</v>
      </c>
      <c r="BK120" s="8" t="n">
        <f aca="false">BO28</f>
        <v>1.60205999132796</v>
      </c>
      <c r="BL120" s="8" t="n">
        <f aca="false">BM28</f>
        <v>1.23044892137827</v>
      </c>
      <c r="BM120" s="8" t="n">
        <f aca="false">BN28</f>
        <v>7.88</v>
      </c>
      <c r="BN120" s="17" t="n">
        <f aca="false">BL28</f>
        <v>1.82381405372363</v>
      </c>
      <c r="BX120" s="0" t="n">
        <v>40.1960515546527</v>
      </c>
      <c r="BZ120" s="0" t="n">
        <v>3.14327666168951</v>
      </c>
      <c r="CA120" s="0" t="n">
        <v>1.3384564936046</v>
      </c>
      <c r="CB120" s="0" t="n">
        <v>40.0244682724871</v>
      </c>
      <c r="CC120" s="0" t="n">
        <v>40.069553025812</v>
      </c>
      <c r="CD120" s="0" t="n">
        <v>0.0450847533249288</v>
      </c>
      <c r="CE120" s="20" t="n">
        <f aca="false">(CD120)^2</f>
        <v>0.00203263498236968</v>
      </c>
      <c r="CG120" s="0" t="n">
        <v>3.14327666168951</v>
      </c>
      <c r="CH120" s="0" t="n">
        <v>1.3384564936046</v>
      </c>
      <c r="CI120" s="0" t="n">
        <v>40.4754733907086</v>
      </c>
      <c r="CJ120" s="0" t="n">
        <v>41.2641577153917</v>
      </c>
      <c r="CK120" s="0" t="n">
        <v>0.788684324683111</v>
      </c>
      <c r="CL120" s="20" t="n">
        <f aca="false">(CK120)^2</f>
        <v>0.622022964000854</v>
      </c>
      <c r="CN120" s="0" t="n">
        <v>3.14327666168951</v>
      </c>
      <c r="CO120" s="0" t="n">
        <v>1.3384564936046</v>
      </c>
      <c r="CP120" s="0" t="n">
        <v>40.1960515546527</v>
      </c>
      <c r="CQ120" s="0" t="n">
        <v>40.7238661685937</v>
      </c>
      <c r="CR120" s="0" t="n">
        <v>0.527814613940997</v>
      </c>
      <c r="CS120" s="20" t="n">
        <f aca="false">(CR120)^2</f>
        <v>0.278588266689684</v>
      </c>
      <c r="CU120" s="0" t="n">
        <v>39.8138398098754</v>
      </c>
      <c r="CV120" s="0" t="n">
        <v>40.0961804876044</v>
      </c>
      <c r="CW120" s="0" t="n">
        <v>39.8999512285901</v>
      </c>
      <c r="CX120" s="0" t="n">
        <v>-0.196229259014331</v>
      </c>
      <c r="CY120" s="20" t="n">
        <f aca="false">(CX120)^2</f>
        <v>0.0385059220933133</v>
      </c>
      <c r="DC120" s="0" t="s">
        <v>141</v>
      </c>
      <c r="DD120" s="0" t="n">
        <v>0.95</v>
      </c>
      <c r="DJ120" s="0" t="s">
        <v>141</v>
      </c>
      <c r="DK120" s="0" t="n">
        <v>0.95</v>
      </c>
      <c r="DQ120" s="0" t="s">
        <v>141</v>
      </c>
      <c r="DR120" s="0" t="n">
        <v>0.95</v>
      </c>
      <c r="DX120" s="0" t="s">
        <v>141</v>
      </c>
      <c r="DY120" s="0" t="n">
        <v>0.95</v>
      </c>
    </row>
    <row r="121" customFormat="false" ht="13.2" hidden="false" customHeight="false" outlineLevel="0" collapsed="false">
      <c r="A121" s="0" t="s">
        <v>293</v>
      </c>
      <c r="B121" s="0" t="n">
        <f aca="false">CE353</f>
        <v>0.306608254498952</v>
      </c>
      <c r="C121" s="0" t="n">
        <f aca="false">CA310</f>
        <v>35.7332799820453</v>
      </c>
      <c r="D121" s="0" t="n">
        <f aca="false">CB310</f>
        <v>0.596163117880086</v>
      </c>
      <c r="E121" s="0" t="n">
        <f aca="false">CA312</f>
        <v>2.86323275530589</v>
      </c>
      <c r="F121" s="0" t="n">
        <f aca="false">CB312</f>
        <v>0.389824320497522</v>
      </c>
      <c r="G121" s="0" t="n">
        <f aca="false">CA311</f>
        <v>0.126496308380099</v>
      </c>
      <c r="I121" s="0" t="n">
        <f aca="false">CB311</f>
        <v>0.121266134223776</v>
      </c>
      <c r="O121" s="2"/>
      <c r="AC121" s="39"/>
      <c r="AD121" s="22"/>
      <c r="AE121" s="22"/>
      <c r="AF121" s="22"/>
      <c r="AG121" s="22"/>
      <c r="AH121" s="22"/>
      <c r="AI121" s="22"/>
      <c r="AJ121" s="22"/>
      <c r="AK121" s="22"/>
      <c r="AL121" s="22"/>
      <c r="BF121" s="8"/>
      <c r="BG121" s="8" t="n">
        <f aca="false">BF29</f>
        <v>39.8907352023789</v>
      </c>
      <c r="BH121" s="8" t="n">
        <f aca="false">BG29</f>
        <v>40.3666338830954</v>
      </c>
      <c r="BI121" s="8" t="n">
        <f aca="false">BH29</f>
        <v>40.0674853105121</v>
      </c>
      <c r="BJ121" s="17" t="n">
        <f aca="false">BJ29</f>
        <v>2.59311533827612</v>
      </c>
      <c r="BK121" s="8" t="n">
        <f aca="false">BO29</f>
        <v>2.11058971029925</v>
      </c>
      <c r="BL121" s="8" t="n">
        <f aca="false">BM29</f>
        <v>1.24303804868629</v>
      </c>
      <c r="BM121" s="8" t="n">
        <f aca="false">BN29</f>
        <v>7.54</v>
      </c>
      <c r="BN121" s="17" t="n">
        <f aca="false">BL29</f>
        <v>1.94462288151652</v>
      </c>
      <c r="BX121" s="0" t="n">
        <v>39.8679292930803</v>
      </c>
      <c r="BZ121" s="0" t="n">
        <v>2.72075204192537</v>
      </c>
      <c r="CA121" s="0" t="n">
        <v>1.25527250510331</v>
      </c>
      <c r="CB121" s="0" t="n">
        <v>39.6011760843304</v>
      </c>
      <c r="CC121" s="0" t="n">
        <v>39.8138398098754</v>
      </c>
      <c r="CD121" s="0" t="n">
        <v>0.212663725545006</v>
      </c>
      <c r="CE121" s="20" t="n">
        <f aca="false">(CD121)^2</f>
        <v>0.0452258601626818</v>
      </c>
      <c r="CG121" s="0" t="n">
        <v>2.72075204192537</v>
      </c>
      <c r="CH121" s="0" t="n">
        <v>1.25527250510331</v>
      </c>
      <c r="CI121" s="0" t="n">
        <v>40.1338547041513</v>
      </c>
      <c r="CJ121" s="0" t="n">
        <v>40.2861528339909</v>
      </c>
      <c r="CK121" s="0" t="n">
        <v>0.152298129839636</v>
      </c>
      <c r="CL121" s="20" t="n">
        <f aca="false">(CK121)^2</f>
        <v>0.0231947203526506</v>
      </c>
      <c r="CN121" s="0" t="n">
        <v>2.72075204192537</v>
      </c>
      <c r="CO121" s="0" t="n">
        <v>1.25527250510331</v>
      </c>
      <c r="CP121" s="0" t="n">
        <v>39.8679292930803</v>
      </c>
      <c r="CQ121" s="0" t="n">
        <v>39.8999512285901</v>
      </c>
      <c r="CR121" s="0" t="n">
        <v>0.0320219355097961</v>
      </c>
      <c r="CS121" s="20" t="n">
        <f aca="false">(CR121)^2</f>
        <v>0.00102540435379354</v>
      </c>
      <c r="CU121" s="0" t="n">
        <v>39.0981383321098</v>
      </c>
      <c r="CV121" s="0" t="n">
        <v>39.4534867271309</v>
      </c>
      <c r="CW121" s="0" t="n">
        <v>39.7399913960693</v>
      </c>
      <c r="CX121" s="0" t="n">
        <v>0.286504668938413</v>
      </c>
      <c r="CY121" s="20" t="n">
        <f aca="false">(CX121)^2</f>
        <v>0.0820849253235096</v>
      </c>
    </row>
    <row r="122" customFormat="false" ht="13.2" hidden="false" customHeight="false" outlineLevel="0" collapsed="false">
      <c r="A122" s="0" t="s">
        <v>294</v>
      </c>
      <c r="B122" s="0" t="n">
        <f aca="false">CL353</f>
        <v>0.354371464694605</v>
      </c>
      <c r="C122" s="0" t="n">
        <f aca="false">CH310</f>
        <v>37.1455248117655</v>
      </c>
      <c r="D122" s="0" t="n">
        <f aca="false">CI310</f>
        <v>0.689032973444591</v>
      </c>
      <c r="E122" s="0" t="n">
        <f aca="false">CH312</f>
        <v>2.24115085467981</v>
      </c>
      <c r="F122" s="0" t="n">
        <f aca="false">CI312</f>
        <v>0.450550868743028</v>
      </c>
      <c r="G122" s="0" t="n">
        <f aca="false">CH311</f>
        <v>0.0751543333169943</v>
      </c>
      <c r="I122" s="0" t="n">
        <f aca="false">CI311</f>
        <v>0.14015688414181</v>
      </c>
      <c r="O122" s="2"/>
      <c r="P122" s="0" t="s">
        <v>293</v>
      </c>
      <c r="R122" s="0" t="n">
        <f aca="false">DK205</f>
        <v>0.343581711763138</v>
      </c>
      <c r="S122" s="0" t="n">
        <f aca="false">DK219</f>
        <v>36.7322951643822</v>
      </c>
      <c r="T122" s="0" t="n">
        <f aca="false">DL219</f>
        <v>0.983876902664754</v>
      </c>
      <c r="U122" s="0" t="n">
        <f aca="false">DK220</f>
        <v>36.6919345531664</v>
      </c>
      <c r="V122" s="0" t="n">
        <f aca="false">DL220</f>
        <v>0.976260534145772</v>
      </c>
      <c r="W122" s="0" t="n">
        <f aca="false">DK221</f>
        <v>36.6919345531664</v>
      </c>
      <c r="X122" s="0" t="n">
        <f aca="false">DL221</f>
        <v>0.976260534145772</v>
      </c>
      <c r="AC122" s="39"/>
      <c r="AD122" s="22"/>
      <c r="AE122" s="22"/>
      <c r="AF122" s="22"/>
      <c r="AG122" s="22"/>
      <c r="AH122" s="22"/>
      <c r="AI122" s="22"/>
      <c r="AJ122" s="22"/>
      <c r="AK122" s="22"/>
      <c r="AL122" s="22"/>
      <c r="BF122" s="8"/>
      <c r="BG122" s="8" t="n">
        <f aca="false">BF30</f>
        <v>39.8855611883631</v>
      </c>
      <c r="BH122" s="8" t="n">
        <f aca="false">BG30</f>
        <v>40.3210963526474</v>
      </c>
      <c r="BI122" s="8" t="n">
        <f aca="false">BH30</f>
        <v>40.3210963526474</v>
      </c>
      <c r="BJ122" s="17" t="n">
        <f aca="false">BJ30</f>
        <v>2.59318251388042</v>
      </c>
      <c r="BK122" s="8" t="n">
        <f aca="false">BO30</f>
        <v>1.70757017609794</v>
      </c>
      <c r="BL122" s="8" t="n">
        <f aca="false">BM30</f>
        <v>1.3096301674259</v>
      </c>
      <c r="BM122" s="8" t="n">
        <f aca="false">BN30</f>
        <v>8.26</v>
      </c>
      <c r="BN122" s="17" t="n">
        <f aca="false">BL30</f>
        <v>1.91210243315721</v>
      </c>
      <c r="BX122" s="0" t="n">
        <v>39.7129915823175</v>
      </c>
      <c r="BZ122" s="0" t="n">
        <v>2.48769573000203</v>
      </c>
      <c r="CA122" s="0" t="n">
        <v>1.22010808804006</v>
      </c>
      <c r="CB122" s="0" t="n">
        <v>39.393416869397</v>
      </c>
      <c r="CC122" s="0" t="n">
        <v>39.0981383321098</v>
      </c>
      <c r="CD122" s="0" t="n">
        <v>-0.29527853728716</v>
      </c>
      <c r="CE122" s="20" t="n">
        <f aca="false">(CD122)^2</f>
        <v>0.0871894145824449</v>
      </c>
      <c r="CG122" s="0" t="n">
        <v>2.48769573000203</v>
      </c>
      <c r="CH122" s="0" t="n">
        <v>1.22010808804006</v>
      </c>
      <c r="CI122" s="0" t="n">
        <v>39.9650648168349</v>
      </c>
      <c r="CJ122" s="0" t="n">
        <v>39.9333875133335</v>
      </c>
      <c r="CK122" s="0" t="n">
        <v>-0.0316773035013611</v>
      </c>
      <c r="CL122" s="20" t="n">
        <f aca="false">(CK122)^2</f>
        <v>0.00100345155711734</v>
      </c>
      <c r="CN122" s="0" t="n">
        <v>2.48769573000203</v>
      </c>
      <c r="CO122" s="0" t="n">
        <v>1.22010808804006</v>
      </c>
      <c r="CP122" s="0" t="n">
        <v>39.7129915823175</v>
      </c>
      <c r="CQ122" s="0" t="n">
        <v>39.7399913960693</v>
      </c>
      <c r="CR122" s="0" t="n">
        <v>0.0269998137518286</v>
      </c>
      <c r="CS122" s="20" t="n">
        <f aca="false">(CR122)^2</f>
        <v>0.000728989942633432</v>
      </c>
      <c r="CU122" s="0" t="n">
        <v>40.6295612869068</v>
      </c>
      <c r="CV122" s="0" t="n">
        <v>40.8286913456357</v>
      </c>
      <c r="CW122" s="0" t="n">
        <v>40.9807675767649</v>
      </c>
      <c r="CX122" s="0" t="n">
        <v>0.152076231129172</v>
      </c>
      <c r="CY122" s="20" t="n">
        <f aca="false">(CX122)^2</f>
        <v>0.0231271800744533</v>
      </c>
      <c r="DD122" s="0" t="s">
        <v>146</v>
      </c>
      <c r="DE122" s="0" t="s">
        <v>106</v>
      </c>
      <c r="DF122" s="0" t="s">
        <v>147</v>
      </c>
      <c r="DG122" s="0" t="s">
        <v>148</v>
      </c>
      <c r="DH122" s="0" t="str">
        <f aca="false">_xlfn.CONCAT("Lower " , INT($DD$120 * 100) , "%")</f>
        <v>Lower 95%</v>
      </c>
      <c r="DI122" s="0" t="str">
        <f aca="false">_xlfn.CONCAT("Upper " , INT($DD$120 * 100) , "%")</f>
        <v>Upper 95%</v>
      </c>
      <c r="DK122" s="0" t="s">
        <v>146</v>
      </c>
      <c r="DL122" s="0" t="s">
        <v>106</v>
      </c>
      <c r="DM122" s="0" t="s">
        <v>147</v>
      </c>
      <c r="DN122" s="0" t="s">
        <v>148</v>
      </c>
      <c r="DO122" s="0" t="str">
        <f aca="false">_xlfn.CONCAT("Lower " , INT($DK$120 * 100) , "%")</f>
        <v>Lower 95%</v>
      </c>
      <c r="DP122" s="0" t="str">
        <f aca="false">_xlfn.CONCAT("Upper " , INT($DK$120 * 100) , "%")</f>
        <v>Upper 95%</v>
      </c>
      <c r="DR122" s="0" t="s">
        <v>146</v>
      </c>
      <c r="DS122" s="0" t="s">
        <v>106</v>
      </c>
      <c r="DT122" s="0" t="s">
        <v>147</v>
      </c>
      <c r="DU122" s="0" t="s">
        <v>148</v>
      </c>
      <c r="DV122" s="0" t="str">
        <f aca="false">_xlfn.CONCAT("Lower " , INT($DR$120 * 100) , "%")</f>
        <v>Lower 95%</v>
      </c>
      <c r="DW122" s="0" t="str">
        <f aca="false">_xlfn.CONCAT("Upper " , INT($DR$120 * 100) , "%")</f>
        <v>Upper 95%</v>
      </c>
      <c r="DY122" s="0" t="s">
        <v>146</v>
      </c>
      <c r="DZ122" s="0" t="s">
        <v>106</v>
      </c>
      <c r="EA122" s="0" t="s">
        <v>147</v>
      </c>
      <c r="EB122" s="0" t="s">
        <v>148</v>
      </c>
      <c r="EC122" s="0" t="str">
        <f aca="false">_xlfn.CONCAT("Lower " , INT($DY$120 * 100) , "%")</f>
        <v>Lower 95%</v>
      </c>
      <c r="ED122" s="0" t="str">
        <f aca="false">_xlfn.CONCAT("Upper " , INT($DY$120 * 100) , "%")</f>
        <v>Upper 95%</v>
      </c>
    </row>
    <row r="123" customFormat="false" ht="13.2" hidden="false" customHeight="false" outlineLevel="0" collapsed="false">
      <c r="A123" s="0" t="s">
        <v>295</v>
      </c>
      <c r="B123" s="0" t="n">
        <f aca="false">CS353</f>
        <v>0.338240549109464</v>
      </c>
      <c r="C123" s="0" t="n">
        <f aca="false">CO310</f>
        <v>36.2571756139432</v>
      </c>
      <c r="D123" s="0" t="n">
        <f aca="false">CP310</f>
        <v>0.657668335381559</v>
      </c>
      <c r="E123" s="0" t="n">
        <f aca="false">CO312</f>
        <v>2.72036854247562</v>
      </c>
      <c r="F123" s="0" t="n">
        <f aca="false">CP312</f>
        <v>0.430041886630801</v>
      </c>
      <c r="G123" s="0" t="n">
        <f aca="false">CO311</f>
        <v>0.0969718907626339</v>
      </c>
      <c r="I123" s="0" t="n">
        <f aca="false">CP311</f>
        <v>0.133776971840699</v>
      </c>
      <c r="O123" s="2"/>
      <c r="P123" s="0" t="s">
        <v>294</v>
      </c>
      <c r="R123" s="0" t="n">
        <f aca="false">DR205</f>
        <v>0.275037179062213</v>
      </c>
      <c r="S123" s="0" t="n">
        <f aca="false">DR219</f>
        <v>37.6976092758441</v>
      </c>
      <c r="T123" s="0" t="n">
        <f aca="false">DS219</f>
        <v>0.787593514406646</v>
      </c>
      <c r="U123" s="0" t="n">
        <f aca="false">DR220</f>
        <v>37.6976092758441</v>
      </c>
      <c r="V123" s="0" t="n">
        <f aca="false">DS220</f>
        <v>0.787593514406646</v>
      </c>
      <c r="W123" s="0" t="n">
        <f aca="false">DR221</f>
        <v>37.6976092758441</v>
      </c>
      <c r="X123" s="0" t="n">
        <f aca="false">DS221</f>
        <v>0.787593514406646</v>
      </c>
      <c r="AC123" s="39"/>
      <c r="AD123" s="8"/>
      <c r="AE123" s="8"/>
      <c r="AF123" s="8"/>
      <c r="AG123" s="8"/>
      <c r="AH123" s="22"/>
      <c r="AI123" s="22"/>
      <c r="AJ123" s="22"/>
      <c r="AK123" s="22"/>
      <c r="AL123" s="22"/>
      <c r="BF123" s="8"/>
      <c r="BG123" s="8" t="n">
        <f aca="false">BF31</f>
        <v>40.8602418490241</v>
      </c>
      <c r="BH123" s="8" t="n">
        <f aca="false">BG31</f>
        <v>41.2889669095893</v>
      </c>
      <c r="BI123" s="8" t="n">
        <f aca="false">BH31</f>
        <v>40.7432526092177</v>
      </c>
      <c r="BJ123" s="17" t="n">
        <f aca="false">BJ31</f>
        <v>2.70206666441626</v>
      </c>
      <c r="BK123" s="8" t="n">
        <f aca="false">BO31</f>
        <v>2</v>
      </c>
      <c r="BL123" s="8" t="n">
        <f aca="false">BM31</f>
        <v>1.54900326202579</v>
      </c>
      <c r="BM123" s="8" t="n">
        <f aca="false">BN31</f>
        <v>8.01</v>
      </c>
      <c r="BN123" s="17" t="n">
        <f aca="false">BL31</f>
        <v>2.04195187164556</v>
      </c>
      <c r="BX123" s="0" t="n">
        <v>40.4993637534979</v>
      </c>
      <c r="BZ123" s="0" t="n">
        <v>2.80181789701222</v>
      </c>
      <c r="CA123" s="0" t="n">
        <v>1.50514997831991</v>
      </c>
      <c r="CB123" s="0" t="n">
        <v>40.2437195176849</v>
      </c>
      <c r="CC123" s="0" t="n">
        <v>40.6295612869068</v>
      </c>
      <c r="CD123" s="0" t="n">
        <v>0.385841769221877</v>
      </c>
      <c r="CE123" s="20" t="n">
        <f aca="false">(CD123)^2</f>
        <v>0.148873870876268</v>
      </c>
      <c r="CG123" s="0" t="n">
        <v>2.80181789701222</v>
      </c>
      <c r="CH123" s="0" t="n">
        <v>1.50514997831991</v>
      </c>
      <c r="CI123" s="0" t="n">
        <v>40.6280328213869</v>
      </c>
      <c r="CJ123" s="0" t="n">
        <v>40.9807675767649</v>
      </c>
      <c r="CK123" s="0" t="n">
        <v>0.352734755378016</v>
      </c>
      <c r="CL123" s="20" t="n">
        <f aca="false">(CK123)^2</f>
        <v>0.124421807651589</v>
      </c>
      <c r="CN123" s="0" t="n">
        <v>2.80181789701222</v>
      </c>
      <c r="CO123" s="0" t="n">
        <v>1.50514997831991</v>
      </c>
      <c r="CP123" s="0" t="n">
        <v>40.4993637534979</v>
      </c>
      <c r="CQ123" s="0" t="n">
        <v>40.9807675767649</v>
      </c>
      <c r="CR123" s="0" t="n">
        <v>0.481403823267037</v>
      </c>
      <c r="CS123" s="20" t="n">
        <f aca="false">(CR123)^2</f>
        <v>0.231749641056121</v>
      </c>
      <c r="CU123" s="0" t="n">
        <v>40.2970404904863</v>
      </c>
      <c r="CV123" s="0" t="n">
        <v>40.5300905354846</v>
      </c>
      <c r="CW123" s="0" t="n">
        <v>40.7309227353314</v>
      </c>
      <c r="CX123" s="0" t="n">
        <v>0.200832199846772</v>
      </c>
      <c r="CY123" s="20" t="n">
        <f aca="false">(CX123)^2</f>
        <v>0.0403335724952938</v>
      </c>
      <c r="DC123" s="0" t="str">
        <f aca="false">"Intercept"</f>
        <v>Intercept</v>
      </c>
      <c r="DD123" s="0" t="e">
        <f aca="false" t="array" ref="DD123:DD123">INDEX($DC$101:$DE$101, 1 , 126 - ROW())</f>
        <v>#VALUE!</v>
      </c>
      <c r="DE123" s="0" t="e">
        <f aca="false" t="array" ref="DE123:DE123">INDEX($DC$102:$DE$102, 1 , 126 - ROW())</f>
        <v>#VALUE!</v>
      </c>
      <c r="DF123" s="0" t="e">
        <f aca="false" t="array" ref="DF123:DF125">$DD$123:$DD$125 / $DE$123:$DE$125</f>
        <v>#VALUE!</v>
      </c>
      <c r="DG123" s="0" t="e">
        <f aca="false" t="array" ref="DG123:DG125">TDIST(ABS($DF$123:$DF$125) , $DD$104 , 2 )</f>
        <v>#VALUE!</v>
      </c>
      <c r="DH123" s="0" t="e">
        <f aca="false" t="array" ref="DH123:DH125">$DD$123:$DD$125 - $DE$123:$DE$125 * TINV(1 - $DD$120 , $DD$104)</f>
        <v>#VALUE!</v>
      </c>
      <c r="DI123" s="0" t="e">
        <f aca="false" t="array" ref="DI123:DI125">$DD$123:$DD$125 + $DE$123:$DE$125 * TINV(1 - $DD$120 , $DD$104)</f>
        <v>#VALUE!</v>
      </c>
      <c r="DJ123" s="0" t="str">
        <f aca="false">"Intercept"</f>
        <v>Intercept</v>
      </c>
      <c r="DK123" s="0" t="n">
        <f aca="false" t="array" ref="DK123:DK123">INDEX($DJ$101:$DL$101, 1 , 126 - ROW())</f>
        <v>36.9587449005688</v>
      </c>
      <c r="DL123" s="0" t="n">
        <f aca="false" t="array" ref="DL123:DL123">INDEX($DJ$102:$DL$102, 1 , 126 - ROW())</f>
        <v>0.951130812652845</v>
      </c>
      <c r="DM123" s="0" t="n">
        <f aca="false" t="array" ref="DM123:DM125">$DK$123:$DK$125 / $DL$123:$DL$125</f>
        <v>38.8576885628228</v>
      </c>
      <c r="DN123" s="0" t="n">
        <f aca="false" t="array" ref="DN123:DN125">TDIST(ABS($DM$123:$DM$125) , $DK$104 , 2 )</f>
        <v>7.78875656565401E-015</v>
      </c>
      <c r="DO123" s="0" t="n">
        <f aca="false" t="array" ref="DO123:DO125">$DK$123:$DK$125 - $DL$123:$DL$125 * TINV(1 - $DK$120 , $DK$104)</f>
        <v>34.9039517047176</v>
      </c>
      <c r="DP123" s="0" t="n">
        <f aca="false" t="array" ref="DP123:DP125">$DK$123:$DK$125 + $DL$123:$DL$125 * TINV(1 - $DK$120 , $DK$104)</f>
        <v>39.01353809642</v>
      </c>
      <c r="DQ123" s="0" t="str">
        <f aca="false">"Intercept"</f>
        <v>Intercept</v>
      </c>
      <c r="DR123" s="0" t="n">
        <f aca="false" t="array" ref="DR123:DR123">INDEX($DQ$101:$DS$101, 1 , 126 - ROW())</f>
        <v>37.8875129391959</v>
      </c>
      <c r="DS123" s="0" t="n">
        <f aca="false" t="array" ref="DS123:DS123">INDEX($DQ$102:$DS$102, 1 , 126 - ROW())</f>
        <v>0.797301939579529</v>
      </c>
      <c r="DT123" s="0" t="n">
        <f aca="false" t="array" ref="DT123:DT125">$DR$123:$DR$125 / $DS$123:$DS$125</f>
        <v>47.5196547987536</v>
      </c>
      <c r="DU123" s="0" t="n">
        <f aca="false" t="array" ref="DU123:DU125">TDIST(ABS($DT$123:$DT$125) , $DR$104 , 2 )</f>
        <v>5.79133899193615E-016</v>
      </c>
      <c r="DV123" s="0" t="n">
        <f aca="false" t="array" ref="DV123:DV125">$DR$123:$DR$125 - $DS$123:$DS$125 * TINV(1 - $DR$120 , $DR$104)</f>
        <v>36.1650468191913</v>
      </c>
      <c r="DW123" s="0" t="n">
        <f aca="false" t="array" ref="DW123:DW125">$DR$123:$DR$125 + $DS$123:$DS$125 * TINV(1 - $DR$120 , $DR$104)</f>
        <v>39.6099790592005</v>
      </c>
      <c r="DX123" s="0" t="str">
        <f aca="false">"Intercept"</f>
        <v>Intercept</v>
      </c>
      <c r="DY123" s="0" t="n">
        <f aca="false" t="array" ref="DY123:DY123">INDEX($DX$101:$DZ$101, 1 , 126 - ROW())</f>
        <v>37.0475359521811</v>
      </c>
      <c r="DZ123" s="0" t="n">
        <f aca="false" t="array" ref="DZ123:DZ123">INDEX($DX$102:$DZ$102, 1 , 126 - ROW())</f>
        <v>0.941242606331497</v>
      </c>
      <c r="EA123" s="0" t="n">
        <f aca="false" t="array" ref="EA123:EA125">$DY$123:$DY$125 / $DZ$123:$DZ$125</f>
        <v>39.3602411354648</v>
      </c>
      <c r="EB123" s="0" t="n">
        <f aca="false" t="array" ref="EB123:EB125">TDIST(ABS($EA$123:$EA$125) , $DY$104 , 2 )</f>
        <v>6.59915987670389E-015</v>
      </c>
      <c r="EC123" s="0" t="n">
        <f aca="false" t="array" ref="EC123:EC125">$DY$123:$DY$125 - $DZ$123:$DZ$125 * TINV(1 - $DY$120 , $DY$104)</f>
        <v>35.0141049273352</v>
      </c>
      <c r="ED123" s="0" t="n">
        <f aca="false" t="array" ref="ED123:ED125">$DY$123:$DY$125 + $DZ$123:$DZ$125 * TINV(1 - $DY$120 , $DY$104)</f>
        <v>39.0809669770271</v>
      </c>
    </row>
    <row r="124" customFormat="false" ht="13.2" hidden="false" customHeight="false" outlineLevel="0" collapsed="false">
      <c r="O124" s="2"/>
      <c r="P124" s="0" t="s">
        <v>295</v>
      </c>
      <c r="R124" s="0" t="n">
        <f aca="false">DY205</f>
        <v>0.321294476868854</v>
      </c>
      <c r="S124" s="0" t="n">
        <f aca="false">DY219</f>
        <v>36.7619861016769</v>
      </c>
      <c r="T124" s="0" t="n">
        <f aca="false">DZ219</f>
        <v>0.920055415996491</v>
      </c>
      <c r="U124" s="0" t="n">
        <f aca="false">DY220</f>
        <v>36.7619861016769</v>
      </c>
      <c r="V124" s="0" t="n">
        <f aca="false">DZ220</f>
        <v>0.920055415996491</v>
      </c>
      <c r="W124" s="0" t="n">
        <f aca="false">DY221</f>
        <v>36.7619861016769</v>
      </c>
      <c r="X124" s="0" t="n">
        <f aca="false">DZ221</f>
        <v>0.920055415996491</v>
      </c>
      <c r="AC124" s="39"/>
      <c r="AD124" s="22"/>
      <c r="AE124" s="22"/>
      <c r="AF124" s="22"/>
      <c r="AG124" s="22"/>
      <c r="AH124" s="22"/>
      <c r="AI124" s="22"/>
      <c r="AJ124" s="22"/>
      <c r="AK124" s="22"/>
      <c r="AL124" s="22"/>
      <c r="BF124" s="8"/>
      <c r="BG124" s="8" t="n">
        <f aca="false">BF32</f>
        <v>39.5307026003539</v>
      </c>
      <c r="BH124" s="8" t="n">
        <f aca="false">BG32</f>
        <v>40.3112205857885</v>
      </c>
      <c r="BI124" s="8" t="n">
        <f aca="false">BH32</f>
        <v>39.8411325938</v>
      </c>
      <c r="BJ124" s="17" t="n">
        <f aca="false">BJ32</f>
        <v>2.85513640282165</v>
      </c>
      <c r="BK124" s="8" t="n">
        <f aca="false">BO32</f>
        <v>0.698970004336019</v>
      </c>
      <c r="BL124" s="8" t="n">
        <f aca="false">BM32</f>
        <v>1.38021124171161</v>
      </c>
      <c r="BM124" s="8" t="n">
        <f aca="false">BN32</f>
        <v>8.48</v>
      </c>
      <c r="BN124" s="17" t="n">
        <f aca="false">BL32</f>
        <v>2.02175318417612</v>
      </c>
      <c r="BX124" s="0" t="n">
        <v>40.4747912644444</v>
      </c>
      <c r="BZ124" s="0" t="n">
        <v>3.10471867515012</v>
      </c>
      <c r="CA124" s="0" t="n">
        <v>1.45788189673399</v>
      </c>
      <c r="CB124" s="0" t="n">
        <v>40.290640501036</v>
      </c>
      <c r="CC124" s="0" t="n">
        <v>40.2970404904863</v>
      </c>
      <c r="CD124" s="0" t="n">
        <v>0.00639998945027998</v>
      </c>
      <c r="CE124" s="20" t="n">
        <f aca="false">(CD124)^2</f>
        <v>4.0959864963695E-005</v>
      </c>
      <c r="CG124" s="0" t="n">
        <v>3.10471867515012</v>
      </c>
      <c r="CH124" s="0" t="n">
        <v>1.45788189673399</v>
      </c>
      <c r="CI124" s="0" t="n">
        <v>40.6770457346071</v>
      </c>
      <c r="CJ124" s="0" t="n">
        <v>40.7309227353314</v>
      </c>
      <c r="CK124" s="0" t="n">
        <v>0.053877000724313</v>
      </c>
      <c r="CL124" s="20" t="n">
        <f aca="false">(CK124)^2</f>
        <v>0.00290273120704762</v>
      </c>
      <c r="CN124" s="0" t="n">
        <v>3.10471867515012</v>
      </c>
      <c r="CO124" s="0" t="n">
        <v>1.45788189673399</v>
      </c>
      <c r="CP124" s="0" t="n">
        <v>40.4747912644444</v>
      </c>
      <c r="CQ124" s="0" t="n">
        <v>40.7309227353314</v>
      </c>
      <c r="CR124" s="0" t="n">
        <v>0.256131470887041</v>
      </c>
      <c r="CS124" s="20" t="n">
        <f aca="false">(CR124)^2</f>
        <v>0.0656033303787593</v>
      </c>
      <c r="CU124" s="0" t="n">
        <v>39.5808250944804</v>
      </c>
      <c r="CV124" s="0" t="n">
        <v>39.8869352808593</v>
      </c>
      <c r="CW124" s="0" t="n">
        <v>39.4996349548837</v>
      </c>
      <c r="CX124" s="0" t="n">
        <v>-0.387300325975566</v>
      </c>
      <c r="CY124" s="20" t="n">
        <f aca="false">(CX124)^2</f>
        <v>0.15000154250078</v>
      </c>
      <c r="DC124" s="24" t="str">
        <f aca="false">$BJ$137</f>
        <v>Log(σH) 2011</v>
      </c>
      <c r="DD124" s="0" t="n">
        <v>36.9602607641736</v>
      </c>
      <c r="DE124" s="0" t="n">
        <v>0.95113081265283</v>
      </c>
      <c r="DF124" s="0" t="n">
        <v>38.8592823116376</v>
      </c>
      <c r="DG124" s="0" t="e">
        <v>#VALUE!</v>
      </c>
      <c r="DH124" s="0" t="e">
        <v>#VALUE!</v>
      </c>
      <c r="DI124" s="0" t="e">
        <v>#VALUE!</v>
      </c>
      <c r="DJ124" s="24" t="str">
        <f aca="false">$BJ$137</f>
        <v>Log(σH) 2011</v>
      </c>
      <c r="DK124" s="0" t="n">
        <v>36.9246084606647</v>
      </c>
      <c r="DL124" s="0" t="n">
        <v>0.937067374259744</v>
      </c>
      <c r="DM124" s="0" t="n">
        <v>39.4044328881198</v>
      </c>
      <c r="DN124" s="0" t="n">
        <v>6.5043289775326E-015</v>
      </c>
      <c r="DO124" s="0" t="n">
        <v>34.9001974763201</v>
      </c>
      <c r="DP124" s="0" t="n">
        <v>38.9490194450093</v>
      </c>
      <c r="DQ124" s="24" t="str">
        <f aca="false">$BJ$137</f>
        <v>Log(σH) 2011</v>
      </c>
      <c r="DR124" s="0" t="n">
        <v>37.8875129391959</v>
      </c>
      <c r="DS124" s="0" t="n">
        <v>0.797301939579529</v>
      </c>
      <c r="DT124" s="0" t="n">
        <v>47.5196547987536</v>
      </c>
      <c r="DU124" s="0" t="n">
        <v>5.79133899193619E-016</v>
      </c>
      <c r="DV124" s="0" t="n">
        <v>36.1650468191913</v>
      </c>
      <c r="DW124" s="0" t="n">
        <v>39.6099790592005</v>
      </c>
      <c r="DX124" s="24" t="str">
        <f aca="false">$BJ$137</f>
        <v>Log(σH) 2011</v>
      </c>
      <c r="DY124" s="0" t="n">
        <v>37.0475359521811</v>
      </c>
      <c r="DZ124" s="0" t="n">
        <v>0.941242606331497</v>
      </c>
      <c r="EA124" s="0" t="n">
        <v>39.3602411354648</v>
      </c>
      <c r="EB124" s="0" t="n">
        <v>6.59915987670397E-015</v>
      </c>
      <c r="EC124" s="0" t="n">
        <v>35.0141049273352</v>
      </c>
      <c r="ED124" s="0" t="n">
        <v>39.080966977027</v>
      </c>
    </row>
    <row r="125" customFormat="false" ht="13.2" hidden="false" customHeight="false" outlineLevel="0" collapsed="false">
      <c r="A125" s="0" t="s">
        <v>296</v>
      </c>
      <c r="B125" s="0" t="n">
        <f aca="false">CF565</f>
        <v>0.283459418445854</v>
      </c>
      <c r="C125" s="0" t="n">
        <f aca="false">CA521</f>
        <v>34.5378271964684</v>
      </c>
      <c r="D125" s="0" t="n">
        <f aca="false">CB521</f>
        <v>0.7483009085689</v>
      </c>
      <c r="E125" s="0" t="n">
        <f aca="false">CA523</f>
        <v>2.98272881594503</v>
      </c>
      <c r="F125" s="0" t="n">
        <f aca="false">CB523</f>
        <v>0.369016865277815</v>
      </c>
      <c r="G125" s="0" t="n">
        <f aca="false">CA524</f>
        <v>0.108540655952837</v>
      </c>
      <c r="I125" s="0" t="n">
        <f aca="false">CB524</f>
        <v>0.0451469467202428</v>
      </c>
      <c r="J125" s="0" t="n">
        <f aca="false">CA522</f>
        <v>0.234463384101598</v>
      </c>
      <c r="K125" s="0" t="n">
        <f aca="false">CB522</f>
        <v>0.122291507398216</v>
      </c>
      <c r="M125" s="21"/>
      <c r="O125" s="2"/>
      <c r="AB125" s="21"/>
      <c r="AC125" s="39"/>
      <c r="AD125" s="8"/>
      <c r="AE125" s="8"/>
      <c r="AF125" s="8"/>
      <c r="AG125" s="8"/>
      <c r="AH125" s="22"/>
      <c r="AI125" s="22"/>
      <c r="AJ125" s="22"/>
      <c r="AK125" s="22"/>
      <c r="AL125" s="22"/>
      <c r="BF125" s="8"/>
      <c r="BG125" s="8" t="n">
        <f aca="false">BF33</f>
        <v>39.4259659076773</v>
      </c>
      <c r="BH125" s="8" t="n">
        <f aca="false">BG33</f>
        <v>39.794334988839</v>
      </c>
      <c r="BI125" s="8" t="n">
        <f aca="false">BH33</f>
        <v>39.794334988839</v>
      </c>
      <c r="BJ125" s="17" t="n">
        <f aca="false">BJ33</f>
        <v>2.7281271270983</v>
      </c>
      <c r="BK125" s="8" t="n">
        <f aca="false">BO33</f>
        <v>1.04139268515823</v>
      </c>
      <c r="BL125" s="8" t="n">
        <f aca="false">BM33</f>
        <v>1.41161970596323</v>
      </c>
      <c r="BM125" s="8" t="n">
        <f aca="false">BN33</f>
        <v>7.99</v>
      </c>
      <c r="BN125" s="17" t="n">
        <f aca="false">BL33</f>
        <v>2.07570236963626</v>
      </c>
      <c r="BX125" s="0" t="n">
        <v>40.1980081006849</v>
      </c>
      <c r="BZ125" s="0" t="n">
        <v>2.70767614445813</v>
      </c>
      <c r="CA125" s="0" t="n">
        <v>1.39269695325967</v>
      </c>
      <c r="CB125" s="0" t="n">
        <v>39.9240301830329</v>
      </c>
      <c r="CC125" s="0" t="n">
        <v>39.5808250944804</v>
      </c>
      <c r="CD125" s="0" t="n">
        <v>-0.343205088552494</v>
      </c>
      <c r="CE125" s="20" t="n">
        <f aca="false">(CD125)^2</f>
        <v>0.117789732808326</v>
      </c>
      <c r="CG125" s="0" t="n">
        <v>2.70767614445813</v>
      </c>
      <c r="CH125" s="0" t="n">
        <v>1.39269695325967</v>
      </c>
      <c r="CI125" s="0" t="n">
        <v>40.3798187481847</v>
      </c>
      <c r="CJ125" s="0" t="n">
        <v>40.2880850465456</v>
      </c>
      <c r="CK125" s="0" t="n">
        <v>-0.0917337016391073</v>
      </c>
      <c r="CL125" s="20" t="n">
        <f aca="false">(CK125)^2</f>
        <v>0.00841507201641276</v>
      </c>
      <c r="CN125" s="0" t="n">
        <v>2.70767614445813</v>
      </c>
      <c r="CO125" s="0" t="n">
        <v>1.39269695325967</v>
      </c>
      <c r="CP125" s="0" t="n">
        <v>40.1980081006849</v>
      </c>
      <c r="CQ125" s="0" t="n">
        <v>39.4996349548837</v>
      </c>
      <c r="CR125" s="0" t="n">
        <v>-0.698373145801213</v>
      </c>
      <c r="CS125" s="20" t="n">
        <f aca="false">(CR125)^2</f>
        <v>0.487725050776282</v>
      </c>
      <c r="CU125" s="0" t="n">
        <v>40.3643638589132</v>
      </c>
      <c r="CV125" s="0" t="n">
        <v>40.5905463402667</v>
      </c>
      <c r="CW125" s="0" t="n">
        <v>40.3849932800756</v>
      </c>
      <c r="CX125" s="0" t="n">
        <v>-0.205553060191086</v>
      </c>
      <c r="CY125" s="20" t="n">
        <f aca="false">(CX125)^2</f>
        <v>0.0422520605539202</v>
      </c>
      <c r="DC125" s="24" t="str">
        <f aca="false">$BK$137</f>
        <v>Log(RefB.K)</v>
      </c>
      <c r="DD125" s="0" t="n">
        <v>36.9602607641736</v>
      </c>
      <c r="DE125" s="0" t="n">
        <v>0.95113081265283</v>
      </c>
      <c r="DF125" s="0" t="n">
        <v>38.8592823116376</v>
      </c>
      <c r="DG125" s="0" t="e">
        <v>#VALUE!</v>
      </c>
      <c r="DH125" s="0" t="e">
        <v>#VALUE!</v>
      </c>
      <c r="DI125" s="0" t="e">
        <v>#VALUE!</v>
      </c>
      <c r="DJ125" s="24" t="str">
        <f aca="false">$BK$137</f>
        <v>Log(RefB.K)</v>
      </c>
      <c r="DK125" s="0" t="n">
        <v>36.9246084606647</v>
      </c>
      <c r="DL125" s="0" t="n">
        <v>0.937067374259744</v>
      </c>
      <c r="DM125" s="0" t="n">
        <v>39.4044328881198</v>
      </c>
      <c r="DN125" s="0" t="n">
        <v>6.5043289775326E-015</v>
      </c>
      <c r="DO125" s="0" t="n">
        <v>34.9001974763201</v>
      </c>
      <c r="DP125" s="0" t="n">
        <v>38.9490194450093</v>
      </c>
      <c r="DQ125" s="24" t="str">
        <f aca="false">$BK$137</f>
        <v>Log(RefB.K)</v>
      </c>
      <c r="DR125" s="0" t="n">
        <v>37.8875129391959</v>
      </c>
      <c r="DS125" s="0" t="n">
        <v>0.797301939579529</v>
      </c>
      <c r="DT125" s="0" t="n">
        <v>47.5196547987536</v>
      </c>
      <c r="DU125" s="0" t="n">
        <v>5.79133899193619E-016</v>
      </c>
      <c r="DV125" s="0" t="n">
        <v>36.1650468191913</v>
      </c>
      <c r="DW125" s="0" t="n">
        <v>39.6099790592005</v>
      </c>
      <c r="DX125" s="24" t="str">
        <f aca="false">$BK$137</f>
        <v>Log(RefB.K)</v>
      </c>
      <c r="DY125" s="0" t="n">
        <v>37.0475359521811</v>
      </c>
      <c r="DZ125" s="0" t="n">
        <v>0.941242606331497</v>
      </c>
      <c r="EA125" s="0" t="n">
        <v>39.3602411354648</v>
      </c>
      <c r="EB125" s="0" t="n">
        <v>6.59915987670397E-015</v>
      </c>
      <c r="EC125" s="0" t="n">
        <v>35.0141049273352</v>
      </c>
      <c r="ED125" s="0" t="n">
        <v>39.080966977027</v>
      </c>
    </row>
    <row r="126" customFormat="false" ht="13.2" hidden="false" customHeight="false" outlineLevel="0" collapsed="false">
      <c r="A126" s="0" t="s">
        <v>297</v>
      </c>
      <c r="B126" s="0" t="n">
        <f aca="false">CM565</f>
        <v>0.346789428936065</v>
      </c>
      <c r="C126" s="0" t="n">
        <f aca="false">CH521</f>
        <v>36.3997311387295</v>
      </c>
      <c r="D126" s="0" t="n">
        <f aca="false">CI521</f>
        <v>0.915484996680457</v>
      </c>
      <c r="E126" s="0" t="n">
        <f aca="false">CH523</f>
        <v>2.31569951695457</v>
      </c>
      <c r="F126" s="0" t="n">
        <f aca="false">CI523</f>
        <v>0.451461971802199</v>
      </c>
      <c r="G126" s="0" t="n">
        <f aca="false">CH524</f>
        <v>0.0677140372697708</v>
      </c>
      <c r="I126" s="0" t="n">
        <f aca="false">CI524</f>
        <v>0.0552335990709393</v>
      </c>
      <c r="J126" s="0" t="n">
        <f aca="false">CH522</f>
        <v>0.142510537544196</v>
      </c>
      <c r="K126" s="0" t="n">
        <f aca="false">CI522</f>
        <v>0.149613663383913</v>
      </c>
      <c r="O126" s="2"/>
      <c r="AC126" s="39"/>
      <c r="AD126" s="8"/>
      <c r="AE126" s="8"/>
      <c r="AF126" s="8"/>
      <c r="AG126" s="8"/>
      <c r="AH126" s="22"/>
      <c r="AI126" s="22"/>
      <c r="AJ126" s="22"/>
      <c r="AK126" s="22"/>
      <c r="AL126" s="22"/>
      <c r="BF126" s="8"/>
      <c r="BG126" s="8" t="n">
        <f aca="false">BF35</f>
        <v>39.3876198532141</v>
      </c>
      <c r="BH126" s="8" t="n">
        <f aca="false">BG35</f>
        <v>39.9396196552323</v>
      </c>
      <c r="BI126" s="8" t="n">
        <f aca="false">BH35</f>
        <v>39.6143001977675</v>
      </c>
      <c r="BJ126" s="16" t="n">
        <f aca="false">BJ35</f>
        <v>2.81672091333267</v>
      </c>
      <c r="BK126" s="8" t="n">
        <f aca="false">BO35</f>
        <v>1.69019608002851</v>
      </c>
      <c r="BL126" s="8" t="n">
        <f aca="false">BM35</f>
        <v>1.24797326636181</v>
      </c>
      <c r="BM126" s="8" t="n">
        <v>8.01</v>
      </c>
      <c r="BN126" s="16" t="n">
        <f aca="false">BL35</f>
        <v>1.58373370004733</v>
      </c>
      <c r="BX126" s="0" t="n">
        <v>40.502706970045</v>
      </c>
      <c r="BZ126" s="0" t="n">
        <v>2.82411303198074</v>
      </c>
      <c r="CA126" s="0" t="n">
        <v>1.50379068305718</v>
      </c>
      <c r="CB126" s="0" t="n">
        <v>40.252260239558</v>
      </c>
      <c r="CC126" s="0" t="n">
        <v>40.3643638589132</v>
      </c>
      <c r="CD126" s="0" t="n">
        <v>0.112103619355175</v>
      </c>
      <c r="CE126" s="20" t="n">
        <f aca="false">(CD126)^2</f>
        <v>0.0125672214725299</v>
      </c>
      <c r="CG126" s="0" t="n">
        <v>2.82411303198074</v>
      </c>
      <c r="CH126" s="0" t="n">
        <v>1.50379068305718</v>
      </c>
      <c r="CI126" s="0" t="n">
        <v>40.635524962109</v>
      </c>
      <c r="CJ126" s="0" t="n">
        <v>41.0286745143046</v>
      </c>
      <c r="CK126" s="0" t="n">
        <v>0.393149552195609</v>
      </c>
      <c r="CL126" s="20" t="n">
        <f aca="false">(CK126)^2</f>
        <v>0.154566570391608</v>
      </c>
      <c r="CN126" s="0" t="n">
        <v>2.82411303198074</v>
      </c>
      <c r="CO126" s="0" t="n">
        <v>1.50379068305718</v>
      </c>
      <c r="CP126" s="0" t="n">
        <v>40.502706970045</v>
      </c>
      <c r="CQ126" s="0" t="n">
        <v>40.3849932800756</v>
      </c>
      <c r="CR126" s="0" t="n">
        <v>-0.117713689969413</v>
      </c>
      <c r="CS126" s="20" t="n">
        <f aca="false">(CR126)^2</f>
        <v>0.0138565128062152</v>
      </c>
      <c r="CU126" s="0" t="n">
        <v>41.0032839602938</v>
      </c>
      <c r="CV126" s="0" t="n">
        <v>41.164291086303</v>
      </c>
      <c r="CW126" s="0" t="n">
        <v>41.1844537060535</v>
      </c>
      <c r="CX126" s="0" t="n">
        <v>0.0201626197505149</v>
      </c>
      <c r="CY126" s="20" t="n">
        <f aca="false">(CX126)^2</f>
        <v>0.000406531235203854</v>
      </c>
    </row>
    <row r="127" customFormat="false" ht="13.2" hidden="false" customHeight="false" outlineLevel="0" collapsed="false">
      <c r="A127" s="0" t="s">
        <v>298</v>
      </c>
      <c r="B127" s="0" t="n">
        <f aca="false">CT565</f>
        <v>0.334912539609867</v>
      </c>
      <c r="C127" s="0" t="n">
        <f aca="false">CO521</f>
        <v>35.7730409962397</v>
      </c>
      <c r="D127" s="0" t="n">
        <f aca="false">CP521</f>
        <v>0.884131347814266</v>
      </c>
      <c r="E127" s="0" t="n">
        <f aca="false">CO523</f>
        <v>2.7687620719672</v>
      </c>
      <c r="F127" s="0" t="n">
        <f aca="false">CP523</f>
        <v>0.436000243656298</v>
      </c>
      <c r="G127" s="0" t="n">
        <f aca="false">CO524</f>
        <v>0.0439568083399089</v>
      </c>
      <c r="I127" s="0" t="n">
        <f aca="false">CP524</f>
        <v>0.0533419516084843</v>
      </c>
      <c r="J127" s="0" t="n">
        <f aca="false">CO522</f>
        <v>0.140696410509156</v>
      </c>
      <c r="K127" s="0" t="n">
        <f aca="false">CP522</f>
        <v>0.144489675241744</v>
      </c>
      <c r="O127" s="2"/>
      <c r="P127" s="0" t="s">
        <v>296</v>
      </c>
      <c r="R127" s="0" t="n">
        <f aca="false">DK253</f>
        <v>0.355250176034705</v>
      </c>
      <c r="S127" s="0" t="n">
        <f aca="false">DK267</f>
        <v>35.2633684157625</v>
      </c>
      <c r="T127" s="0" t="n">
        <f aca="false">DL267</f>
        <v>3.81022802000357</v>
      </c>
      <c r="U127" s="0" t="n">
        <f aca="false">DK269</f>
        <v>35.9327419156797</v>
      </c>
      <c r="V127" s="0" t="n">
        <f aca="false">DL269</f>
        <v>3.79905870022311</v>
      </c>
      <c r="W127" s="0" t="n">
        <f aca="false">DK268</f>
        <v>35.9327419156797</v>
      </c>
      <c r="X127" s="0" t="n">
        <f aca="false">DL268</f>
        <v>3.79905870022311</v>
      </c>
      <c r="Y127" s="0" t="n">
        <f aca="false">DK270</f>
        <v>35.9327419156797</v>
      </c>
      <c r="Z127" s="0" t="n">
        <f aca="false">DL270</f>
        <v>3.79905870022311</v>
      </c>
      <c r="AC127" s="39"/>
      <c r="AD127" s="22"/>
      <c r="AE127" s="22"/>
      <c r="AF127" s="22"/>
      <c r="AG127" s="22"/>
      <c r="AH127" s="22"/>
      <c r="AI127" s="22"/>
      <c r="AJ127" s="22"/>
      <c r="AK127" s="22"/>
      <c r="AL127" s="22"/>
      <c r="BF127" s="8"/>
      <c r="BG127" s="8" t="n">
        <f aca="false">BF36</f>
        <v>39.7992940202333</v>
      </c>
      <c r="BH127" s="8" t="n">
        <f aca="false">BG36</f>
        <v>40.5671950296227</v>
      </c>
      <c r="BI127" s="8" t="n">
        <f aca="false">BH36</f>
        <v>40.5671950296227</v>
      </c>
      <c r="BJ127" s="16" t="n">
        <f aca="false">BJ36</f>
        <v>2.81967486601435</v>
      </c>
      <c r="BK127" s="8" t="n">
        <f aca="false">BO36</f>
        <v>1.46239799789896</v>
      </c>
      <c r="BL127" s="8" t="n">
        <f aca="false">BM36</f>
        <v>1.3541084391474</v>
      </c>
      <c r="BM127" s="8" t="n">
        <v>7.74</v>
      </c>
      <c r="BN127" s="16" t="n">
        <f aca="false">BL36</f>
        <v>2.07441923117618</v>
      </c>
      <c r="BX127" s="0" t="n">
        <v>41.2316163552011</v>
      </c>
      <c r="BZ127" s="0" t="n">
        <v>3.10408301855785</v>
      </c>
      <c r="CA127" s="0" t="n">
        <v>1.76937732607614</v>
      </c>
      <c r="CB127" s="0" t="n">
        <v>41.0377968045057</v>
      </c>
      <c r="CC127" s="0" t="n">
        <v>41.0032839602938</v>
      </c>
      <c r="CD127" s="0" t="n">
        <v>-0.0345128442119318</v>
      </c>
      <c r="CE127" s="20" t="n">
        <f aca="false">(CD127)^2</f>
        <v>0.00119113641559707</v>
      </c>
      <c r="CG127" s="0" t="n">
        <v>3.10408301855785</v>
      </c>
      <c r="CH127" s="0" t="n">
        <v>1.76937732607614</v>
      </c>
      <c r="CI127" s="0" t="n">
        <v>41.247550749942</v>
      </c>
      <c r="CJ127" s="0" t="n">
        <v>41.1844537060535</v>
      </c>
      <c r="CK127" s="0" t="n">
        <v>-0.063097043888483</v>
      </c>
      <c r="CL127" s="20" t="n">
        <f aca="false">(CK127)^2</f>
        <v>0.00398123694746515</v>
      </c>
      <c r="CN127" s="0" t="n">
        <v>3.10408301855785</v>
      </c>
      <c r="CO127" s="0" t="n">
        <v>1.76937732607614</v>
      </c>
      <c r="CP127" s="0" t="n">
        <v>41.2316163552011</v>
      </c>
      <c r="CQ127" s="0" t="n">
        <v>41.1844537060535</v>
      </c>
      <c r="CR127" s="0" t="n">
        <v>-0.0471626491475874</v>
      </c>
      <c r="CS127" s="20" t="n">
        <f aca="false">(CR127)^2</f>
        <v>0.00222431547461843</v>
      </c>
      <c r="CU127" s="0" t="n">
        <v>39.4879266153321</v>
      </c>
      <c r="CV127" s="0" t="n">
        <v>39.8035132470073</v>
      </c>
      <c r="CW127" s="0" t="n">
        <v>39.4378067534722</v>
      </c>
      <c r="CX127" s="0" t="n">
        <v>-0.365706493535058</v>
      </c>
      <c r="CY127" s="20" t="n">
        <f aca="false">(CX127)^2</f>
        <v>0.133741239413707</v>
      </c>
      <c r="DC127" s="0" t="str">
        <f aca="false">$BJ$137</f>
        <v>Log(σH) 2011</v>
      </c>
      <c r="DD127" s="0" t="str">
        <f aca="false">$BK$137</f>
        <v>Log(RefB.K)</v>
      </c>
      <c r="DE127" s="0" t="s">
        <v>157</v>
      </c>
      <c r="DF127" s="0" t="n">
        <f aca="false">$BE$137</f>
        <v>0</v>
      </c>
      <c r="DG127" s="0" t="s">
        <v>133</v>
      </c>
      <c r="DJ127" s="0" t="str">
        <f aca="false">$BJ$137</f>
        <v>Log(σH) 2011</v>
      </c>
      <c r="DK127" s="0" t="str">
        <f aca="false">$BK$137</f>
        <v>Log(RefB.K)</v>
      </c>
      <c r="DL127" s="0" t="s">
        <v>157</v>
      </c>
      <c r="DM127" s="0" t="str">
        <f aca="false">$BF$137</f>
        <v>Log(LHβ) 2011</v>
      </c>
      <c r="DN127" s="0" t="s">
        <v>133</v>
      </c>
      <c r="DQ127" s="0" t="str">
        <f aca="false">$BJ$137</f>
        <v>Log(σH) 2011</v>
      </c>
      <c r="DR127" s="0" t="str">
        <f aca="false">$BK$137</f>
        <v>Log(RefB.K)</v>
      </c>
      <c r="DS127" s="0" t="s">
        <v>157</v>
      </c>
      <c r="DT127" s="0" t="str">
        <f aca="false">$BG$137</f>
        <v>Full Log(LHβ) 2007</v>
      </c>
      <c r="DU127" s="0" t="s">
        <v>133</v>
      </c>
      <c r="DX127" s="0" t="str">
        <f aca="false">$BJ$137</f>
        <v>Log(σH) 2011</v>
      </c>
      <c r="DY127" s="0" t="str">
        <f aca="false">$BK$137</f>
        <v>Log(RefB.K)</v>
      </c>
      <c r="DZ127" s="0" t="s">
        <v>157</v>
      </c>
      <c r="EA127" s="0" t="str">
        <f aca="false">$BH$137</f>
        <v>BK Log(LHβ) 2007</v>
      </c>
      <c r="EB127" s="0" t="s">
        <v>133</v>
      </c>
    </row>
    <row r="128" customFormat="false" ht="13.2" hidden="false" customHeight="false" outlineLevel="0" collapsed="false">
      <c r="O128" s="2"/>
      <c r="P128" s="0" t="s">
        <v>297</v>
      </c>
      <c r="R128" s="0" t="n">
        <f aca="false">DR253</f>
        <v>0.284741146582372</v>
      </c>
      <c r="S128" s="0" t="n">
        <f aca="false">DR267</f>
        <v>36.6404592853898</v>
      </c>
      <c r="T128" s="0" t="n">
        <f aca="false">DS267</f>
        <v>3.05398496143211</v>
      </c>
      <c r="U128" s="0" t="n">
        <f aca="false">DR269</f>
        <v>36.6404592853898</v>
      </c>
      <c r="V128" s="0" t="n">
        <f aca="false">DS269</f>
        <v>3.05398496143211</v>
      </c>
      <c r="W128" s="0" t="n">
        <f aca="false">DR268</f>
        <v>36.6404592853898</v>
      </c>
      <c r="X128" s="0" t="n">
        <f aca="false">DS268</f>
        <v>3.05398496143211</v>
      </c>
      <c r="Y128" s="0" t="n">
        <f aca="false">DR270</f>
        <v>36.6404592853898</v>
      </c>
      <c r="Z128" s="0" t="n">
        <f aca="false">DS270</f>
        <v>3.05398496143211</v>
      </c>
      <c r="AC128" s="39"/>
      <c r="AD128" s="22"/>
      <c r="AE128" s="22"/>
      <c r="AF128" s="22"/>
      <c r="AG128" s="22"/>
      <c r="AH128" s="22"/>
      <c r="AI128" s="22"/>
      <c r="AJ128" s="22"/>
      <c r="AK128" s="22"/>
      <c r="AL128" s="22"/>
      <c r="BF128" s="8"/>
      <c r="BG128" s="8" t="n">
        <f aca="false">BF37</f>
        <v>39.5414546476421</v>
      </c>
      <c r="BH128" s="8" t="n">
        <f aca="false">BG37</f>
        <v>39.9994654634455</v>
      </c>
      <c r="BI128" s="8" t="n">
        <f aca="false">BH37</f>
        <v>39.4317743737488</v>
      </c>
      <c r="BJ128" s="16" t="n">
        <f aca="false">BJ37</f>
        <v>2.98153856858654</v>
      </c>
      <c r="BK128" s="8" t="n">
        <f aca="false">BO37</f>
        <v>1.64345267648619</v>
      </c>
      <c r="BL128" s="8" t="n">
        <f aca="false">BM37</f>
        <v>1.20682587603185</v>
      </c>
      <c r="BM128" s="8" t="n">
        <v>7.95</v>
      </c>
      <c r="BN128" s="16" t="n">
        <f aca="false">BL37</f>
        <v>1.91822534255641</v>
      </c>
      <c r="BX128" s="0" t="n">
        <v>39.7618546149912</v>
      </c>
      <c r="BZ128" s="0" t="n">
        <v>2.56730132345877</v>
      </c>
      <c r="CA128" s="0" t="n">
        <v>1.23044892137827</v>
      </c>
      <c r="CB128" s="0" t="n">
        <v>39.4603733271906</v>
      </c>
      <c r="CC128" s="0" t="n">
        <v>39.4879266153321</v>
      </c>
      <c r="CD128" s="0" t="n">
        <v>0.0275532881414762</v>
      </c>
      <c r="CE128" s="20" t="n">
        <f aca="false">(CD128)^2</f>
        <v>0.000759183687407212</v>
      </c>
      <c r="CG128" s="0" t="n">
        <v>2.56730132345877</v>
      </c>
      <c r="CH128" s="0" t="n">
        <v>1.23044892137827</v>
      </c>
      <c r="CI128" s="0" t="n">
        <v>40.0196579805948</v>
      </c>
      <c r="CJ128" s="0" t="n">
        <v>39.8774043417796</v>
      </c>
      <c r="CK128" s="0" t="n">
        <v>-0.142253638815198</v>
      </c>
      <c r="CL128" s="20" t="n">
        <f aca="false">(CK128)^2</f>
        <v>0.0202360977561649</v>
      </c>
      <c r="CN128" s="0" t="n">
        <v>2.56730132345877</v>
      </c>
      <c r="CO128" s="0" t="n">
        <v>1.23044892137827</v>
      </c>
      <c r="CP128" s="0" t="n">
        <v>39.7618546149912</v>
      </c>
      <c r="CQ128" s="0" t="n">
        <v>39.4378067534722</v>
      </c>
      <c r="CR128" s="0" t="n">
        <v>-0.324047861519034</v>
      </c>
      <c r="CS128" s="20" t="n">
        <f aca="false">(CR128)^2</f>
        <v>0.105007016555059</v>
      </c>
      <c r="CU128" s="0" t="n">
        <v>39.8907352023789</v>
      </c>
      <c r="CV128" s="0" t="n">
        <v>40.1652318875337</v>
      </c>
      <c r="CW128" s="0" t="n">
        <v>40.0674853105121</v>
      </c>
      <c r="CX128" s="0" t="n">
        <v>-0.0977465770216028</v>
      </c>
      <c r="CY128" s="20" t="n">
        <f aca="false">(CX128)^2</f>
        <v>0.00955439331944014</v>
      </c>
      <c r="DC128" s="0" t="n">
        <f aca="false" t="array" ref="DC128:DD143">$BJ$138:$BK$153</f>
        <v>1.52762990087134</v>
      </c>
      <c r="DD128" s="0" t="n">
        <v>2.48979141903991</v>
      </c>
      <c r="DE128" s="0" t="e">
        <f aca="false" t="array" ref="DE128:DE143">MMULT($DC$128:$DD$143 , $DD$124:$DD$125) + $DD$123</f>
        <v>#VALUE!</v>
      </c>
      <c r="DF128" s="0" t="n">
        <f aca="false" t="array" ref="DF128:DF143">$BE$138:$BE$153</f>
        <v>0</v>
      </c>
      <c r="DG128" s="0" t="e">
        <f aca="false" t="array" ref="DG128:DG143">$DF$128:$DF$143 - $DE$128:$DE$143</f>
        <v>#VALUE!</v>
      </c>
      <c r="DJ128" s="0" t="n">
        <f aca="false" t="array" ref="DJ128:DK143">$BJ$138:$BK$153</f>
        <v>1.52762990087134</v>
      </c>
      <c r="DK128" s="0" t="n">
        <v>2.48979141903991</v>
      </c>
      <c r="DL128" s="0" t="n">
        <f aca="false" t="array" ref="DL128:DL143">MMULT($DJ$128:$DK$143 , $DK$124:$DK$125) + $DK$123</f>
        <v>185.300454159818</v>
      </c>
      <c r="DM128" s="0" t="n">
        <f aca="false" t="array" ref="DM128:DM143">$BF$138:$BF$153</f>
        <v>39.9963150223595</v>
      </c>
      <c r="DN128" s="0" t="n">
        <f aca="false" t="array" ref="DN128:DN143">$DM$128:$DM$143 - $DL$128:$DL$143</f>
        <v>-145.304139137459</v>
      </c>
      <c r="DQ128" s="0" t="n">
        <f aca="false" t="array" ref="DQ128:DR143">$BJ$138:$BK$153</f>
        <v>1.52762990087134</v>
      </c>
      <c r="DR128" s="0" t="n">
        <v>2.48979141903991</v>
      </c>
      <c r="DS128" s="0" t="n">
        <f aca="false" t="array" ref="DS128:DS143">MMULT($DQ$128:$DR$143 , $DR$124:$DR$125) + $DR$123</f>
        <v>190.097615179535</v>
      </c>
      <c r="DT128" s="0" t="n">
        <f aca="false" t="array" ref="DT128:DT143">$BG$138:$BG$153</f>
        <v>40.4667860464016</v>
      </c>
      <c r="DU128" s="0" t="n">
        <f aca="false" t="array" ref="DU128:DU143">$DT$128:$DT$143 - $DS$128:$DS$143</f>
        <v>-149.630829133133</v>
      </c>
      <c r="DX128" s="0" t="n">
        <f aca="false" t="array" ref="DX128:DY143">$BJ$138:$BK$153</f>
        <v>1.52762990087134</v>
      </c>
      <c r="DY128" s="0" t="n">
        <v>2.48979141903991</v>
      </c>
      <c r="DZ128" s="0" t="n">
        <f aca="false" t="array" ref="DZ128:DZ143">MMULT($DX$128:$DY$143 , $DY$124:$DY$125) + $DY$123</f>
        <v>185.883096736652</v>
      </c>
      <c r="EA128" s="0" t="n">
        <f aca="false" t="array" ref="EA128:EA143">$BH$138:$BH$153</f>
        <v>40.4667860464016</v>
      </c>
      <c r="EB128" s="0" t="n">
        <f aca="false" t="array" ref="EB128:EB143">$EA$128:$EA$143 - $DZ$128:$DZ$143</f>
        <v>-145.41631069025</v>
      </c>
    </row>
    <row r="129" customFormat="false" ht="13.2" hidden="false" customHeight="false" outlineLevel="0" collapsed="false">
      <c r="A129" s="0" t="s">
        <v>299</v>
      </c>
      <c r="B129" s="0" t="n">
        <f aca="false">CF780</f>
        <v>0.240611215859286</v>
      </c>
      <c r="C129" s="0" t="n">
        <f aca="false">CA736</f>
        <v>33.7484943122836</v>
      </c>
      <c r="D129" s="0" t="n">
        <f aca="false">CB736</f>
        <v>0.641129196456942</v>
      </c>
      <c r="E129" s="0" t="n">
        <f aca="false">CA739</f>
        <v>2.35535511784666</v>
      </c>
      <c r="F129" s="0" t="n">
        <f aca="false">CB739</f>
        <v>0.329390313926833</v>
      </c>
      <c r="G129" s="0" t="n">
        <f aca="false">CA738</f>
        <v>0.384183571247483</v>
      </c>
      <c r="I129" s="0" t="n">
        <f aca="false">CB738</f>
        <v>0.111594256694338</v>
      </c>
      <c r="J129" s="0" t="n">
        <f aca="false">CA737</f>
        <v>0.840256910795675</v>
      </c>
      <c r="K129" s="0" t="n">
        <f aca="false">CB737</f>
        <v>0.1824506887563</v>
      </c>
      <c r="L129" s="0" t="n">
        <v>0</v>
      </c>
      <c r="M129" s="0" t="n">
        <v>0</v>
      </c>
      <c r="O129" s="2"/>
      <c r="P129" s="0" t="s">
        <v>298</v>
      </c>
      <c r="R129" s="0" t="n">
        <f aca="false">DY253</f>
        <v>0.318483361666501</v>
      </c>
      <c r="S129" s="0" t="n">
        <f aca="false">DY267</f>
        <v>33.1103585884274</v>
      </c>
      <c r="T129" s="0" t="n">
        <f aca="false">DZ267</f>
        <v>3.41588635386935</v>
      </c>
      <c r="U129" s="0" t="n">
        <f aca="false">DY269</f>
        <v>33.1103585884274</v>
      </c>
      <c r="V129" s="0" t="n">
        <f aca="false">DZ269</f>
        <v>3.41588635386935</v>
      </c>
      <c r="W129" s="0" t="n">
        <f aca="false">DY268</f>
        <v>33.1103585884274</v>
      </c>
      <c r="X129" s="0" t="n">
        <f aca="false">DZ268</f>
        <v>3.41588635386935</v>
      </c>
      <c r="Y129" s="0" t="n">
        <f aca="false">DY270</f>
        <v>33.1103585884274</v>
      </c>
      <c r="Z129" s="0" t="n">
        <f aca="false">DZ270</f>
        <v>3.41588635386935</v>
      </c>
      <c r="AC129" s="39"/>
      <c r="AD129" s="8"/>
      <c r="AE129" s="8"/>
      <c r="AF129" s="8"/>
      <c r="AG129" s="8"/>
      <c r="AH129" s="22"/>
      <c r="AI129" s="22"/>
      <c r="AJ129" s="22"/>
      <c r="AK129" s="22"/>
      <c r="AL129" s="22"/>
      <c r="BF129" s="8"/>
      <c r="BG129" s="8" t="n">
        <f aca="false">BF38</f>
        <v>39.2951320767752</v>
      </c>
      <c r="BH129" s="8" t="n">
        <f aca="false">BG38</f>
        <v>39.8338814731209</v>
      </c>
      <c r="BI129" s="8" t="n">
        <f aca="false">BH38</f>
        <v>39.7495605874209</v>
      </c>
      <c r="BJ129" s="16" t="n">
        <f aca="false">BJ38</f>
        <v>2.5381406092624</v>
      </c>
      <c r="BK129" s="8" t="n">
        <f aca="false">BO38</f>
        <v>2.19033169817029</v>
      </c>
      <c r="BL129" s="8" t="n">
        <f aca="false">BM38</f>
        <v>1.09691001300806</v>
      </c>
      <c r="BM129" s="8" t="n">
        <v>7.77</v>
      </c>
      <c r="BN129" s="16" t="n">
        <f aca="false">BL38</f>
        <v>1.53606284006086</v>
      </c>
      <c r="BX129" s="0" t="n">
        <v>39.8001451653379</v>
      </c>
      <c r="BZ129" s="0" t="n">
        <v>2.59311533827612</v>
      </c>
      <c r="CA129" s="0" t="n">
        <v>1.24303804868629</v>
      </c>
      <c r="CB129" s="0" t="n">
        <v>39.5042487810038</v>
      </c>
      <c r="CC129" s="0" t="n">
        <v>39.8907352023789</v>
      </c>
      <c r="CD129" s="0" t="n">
        <v>0.386486421375118</v>
      </c>
      <c r="CE129" s="20" t="n">
        <f aca="false">(CD129)^2</f>
        <v>0.149371753907345</v>
      </c>
      <c r="CG129" s="0" t="n">
        <v>2.59311533827612</v>
      </c>
      <c r="CH129" s="0" t="n">
        <v>1.24303804868629</v>
      </c>
      <c r="CI129" s="0" t="n">
        <v>40.0542850775458</v>
      </c>
      <c r="CJ129" s="0" t="n">
        <v>40.3666338830954</v>
      </c>
      <c r="CK129" s="0" t="n">
        <v>0.312348805549604</v>
      </c>
      <c r="CL129" s="20" t="n">
        <f aca="false">(CK129)^2</f>
        <v>0.0975617763282643</v>
      </c>
      <c r="CN129" s="0" t="n">
        <v>2.59311533827612</v>
      </c>
      <c r="CO129" s="0" t="n">
        <v>1.24303804868629</v>
      </c>
      <c r="CP129" s="0" t="n">
        <v>39.8001451653379</v>
      </c>
      <c r="CQ129" s="0" t="n">
        <v>40.0674853105121</v>
      </c>
      <c r="CR129" s="0" t="n">
        <v>0.267340145174202</v>
      </c>
      <c r="CS129" s="20" t="n">
        <f aca="false">(CR129)^2</f>
        <v>0.0714707532217636</v>
      </c>
      <c r="CU129" s="0" t="n">
        <v>39.8855611883631</v>
      </c>
      <c r="CV129" s="0" t="n">
        <v>40.1605856675274</v>
      </c>
      <c r="CW129" s="0" t="n">
        <v>40.3210963526474</v>
      </c>
      <c r="CX129" s="0" t="n">
        <v>0.16051068512003</v>
      </c>
      <c r="CY129" s="20" t="n">
        <f aca="false">(CX129)^2</f>
        <v>0.0257636800377016</v>
      </c>
      <c r="DC129" s="0" t="n">
        <v>1.54530711646582</v>
      </c>
      <c r="DD129" s="0" t="n">
        <v>2.53264650264469</v>
      </c>
      <c r="DE129" s="0" t="e">
        <v>#VALUE!</v>
      </c>
      <c r="DF129" s="0" t="n">
        <v>0</v>
      </c>
      <c r="DG129" s="0" t="e">
        <v>#VALUE!</v>
      </c>
      <c r="DJ129" s="0" t="n">
        <v>1.54530711646582</v>
      </c>
      <c r="DK129" s="0" t="n">
        <v>2.53264650264469</v>
      </c>
      <c r="DL129" s="0" t="n">
        <v>187.535585606975</v>
      </c>
      <c r="DM129" s="0" t="n">
        <v>40.3308782653967</v>
      </c>
      <c r="DN129" s="0" t="n">
        <v>-147.204707341578</v>
      </c>
      <c r="DQ129" s="0" t="n">
        <v>1.54530711646582</v>
      </c>
      <c r="DR129" s="0" t="n">
        <v>2.53264650264469</v>
      </c>
      <c r="DS129" s="0" t="n">
        <v>192.391033448686</v>
      </c>
      <c r="DT129" s="0" t="n">
        <v>40.6750396842358</v>
      </c>
      <c r="DU129" s="0" t="n">
        <v>-151.71599376445</v>
      </c>
      <c r="DX129" s="0" t="n">
        <v>1.54530711646582</v>
      </c>
      <c r="DY129" s="0" t="n">
        <v>2.53264650264469</v>
      </c>
      <c r="DZ129" s="0" t="n">
        <v>188.125669267505</v>
      </c>
      <c r="EA129" s="0" t="n">
        <v>40.6750396842358</v>
      </c>
      <c r="EB129" s="0" t="n">
        <v>-147.450629583269</v>
      </c>
    </row>
    <row r="130" customFormat="false" ht="13.2" hidden="false" customHeight="false" outlineLevel="0" collapsed="false">
      <c r="A130" s="0" t="s">
        <v>300</v>
      </c>
      <c r="B130" s="0" t="n">
        <f aca="false">CM780</f>
        <v>0.321644014782389</v>
      </c>
      <c r="C130" s="0" t="n">
        <f aca="false">CH736</f>
        <v>35.5920471084493</v>
      </c>
      <c r="D130" s="0" t="n">
        <f aca="false">CI736</f>
        <v>0.857048030808408</v>
      </c>
      <c r="E130" s="0" t="n">
        <f aca="false">CH739</f>
        <v>1.84363862057518</v>
      </c>
      <c r="F130" s="0" t="n">
        <f aca="false">CI739</f>
        <v>0.440322046599098</v>
      </c>
      <c r="G130" s="0" t="n">
        <f aca="false">CH738</f>
        <v>0.276844331079389</v>
      </c>
      <c r="I130" s="0" t="n">
        <f aca="false">CI738</f>
        <v>0.149176856206132</v>
      </c>
      <c r="J130" s="0" t="n">
        <f aca="false">CH737</f>
        <v>0.657663140088664</v>
      </c>
      <c r="K130" s="0" t="n">
        <f aca="false">CI737</f>
        <v>0.243896244910328</v>
      </c>
      <c r="L130" s="0" t="n">
        <v>0</v>
      </c>
      <c r="M130" s="0" t="n">
        <v>0</v>
      </c>
      <c r="O130" s="2"/>
      <c r="AC130" s="39"/>
      <c r="AD130" s="22"/>
      <c r="AE130" s="22"/>
      <c r="AF130" s="22"/>
      <c r="AG130" s="22"/>
      <c r="AH130" s="22"/>
      <c r="AI130" s="22"/>
      <c r="AJ130" s="22"/>
      <c r="AK130" s="22"/>
      <c r="AL130" s="22"/>
      <c r="BF130" s="8"/>
      <c r="BG130" s="8" t="n">
        <f aca="false">BF39</f>
        <v>39.0423920343584</v>
      </c>
      <c r="BH130" s="8" t="n">
        <f aca="false">BG39</f>
        <v>39.4843141944881</v>
      </c>
      <c r="BI130" s="8" t="n">
        <f aca="false">BH39</f>
        <v>39.4843141944881</v>
      </c>
      <c r="BJ130" s="16" t="n">
        <f aca="false">BJ39</f>
        <v>2.37977395062333</v>
      </c>
      <c r="BK130" s="8" t="n">
        <f aca="false">BO39</f>
        <v>1.86923171973098</v>
      </c>
      <c r="BL130" s="8" t="n">
        <f aca="false">BM39</f>
        <v>1.28330122870355</v>
      </c>
      <c r="BM130" s="8" t="n">
        <v>7.92</v>
      </c>
      <c r="BN130" s="16" t="n">
        <f aca="false">BL39</f>
        <v>1.58559671011752</v>
      </c>
      <c r="BX130" s="0" t="n">
        <v>39.9620012926242</v>
      </c>
      <c r="BZ130" s="0" t="n">
        <v>2.59318251388042</v>
      </c>
      <c r="CA130" s="0" t="n">
        <v>1.3096301674259</v>
      </c>
      <c r="CB130" s="0" t="n">
        <v>39.66408485675</v>
      </c>
      <c r="CC130" s="0" t="n">
        <v>39.8855611883631</v>
      </c>
      <c r="CD130" s="0" t="n">
        <v>0.22147633161309</v>
      </c>
      <c r="CE130" s="20" t="n">
        <f aca="false">(CD130)^2</f>
        <v>0.0490517654647914</v>
      </c>
      <c r="CG130" s="0" t="n">
        <v>2.59318251388042</v>
      </c>
      <c r="CH130" s="0" t="n">
        <v>1.3096301674259</v>
      </c>
      <c r="CI130" s="0" t="n">
        <v>40.1763397121182</v>
      </c>
      <c r="CJ130" s="0" t="n">
        <v>40.3210963526474</v>
      </c>
      <c r="CK130" s="0" t="n">
        <v>0.144756640529224</v>
      </c>
      <c r="CL130" s="20" t="n">
        <f aca="false">(CK130)^2</f>
        <v>0.0209544849773068</v>
      </c>
      <c r="CN130" s="0" t="n">
        <v>2.59318251388042</v>
      </c>
      <c r="CO130" s="0" t="n">
        <v>1.3096301674259</v>
      </c>
      <c r="CP130" s="0" t="n">
        <v>39.9620012926242</v>
      </c>
      <c r="CQ130" s="0" t="n">
        <v>40.3210963526474</v>
      </c>
      <c r="CR130" s="0" t="n">
        <v>0.359095060023215</v>
      </c>
      <c r="CS130" s="20" t="n">
        <f aca="false">(CR130)^2</f>
        <v>0.128949262133076</v>
      </c>
      <c r="CU130" s="0" t="n">
        <v>40.8602418490241</v>
      </c>
      <c r="CV130" s="0" t="n">
        <v>41.0358405028488</v>
      </c>
      <c r="CW130" s="0" t="n">
        <v>40.7432526092177</v>
      </c>
      <c r="CX130" s="0" t="n">
        <v>-0.292587893631129</v>
      </c>
      <c r="CY130" s="20" t="n">
        <f aca="false">(CX130)^2</f>
        <v>0.085607675499501</v>
      </c>
      <c r="DC130" s="0" t="n">
        <v>1.53781909507327</v>
      </c>
      <c r="DD130" s="0" t="n">
        <v>2.34558873592099</v>
      </c>
      <c r="DE130" s="0" t="e">
        <v>#VALUE!</v>
      </c>
      <c r="DF130" s="0" t="n">
        <v>0</v>
      </c>
      <c r="DG130" s="0" t="e">
        <v>#VALUE!</v>
      </c>
      <c r="DJ130" s="0" t="n">
        <v>1.53781909507327</v>
      </c>
      <c r="DK130" s="0" t="n">
        <v>2.34558873592099</v>
      </c>
      <c r="DL130" s="0" t="n">
        <v>180.352058553111</v>
      </c>
      <c r="DM130" s="0" t="n">
        <v>40.5363222856562</v>
      </c>
      <c r="DN130" s="0" t="n">
        <v>-139.815736267455</v>
      </c>
      <c r="DQ130" s="0" t="n">
        <v>1.53781909507327</v>
      </c>
      <c r="DR130" s="0" t="n">
        <v>2.34558873592099</v>
      </c>
      <c r="DS130" s="0" t="n">
        <v>185.020177384166</v>
      </c>
      <c r="DT130" s="0" t="n">
        <v>40.8519069419647</v>
      </c>
      <c r="DU130" s="0" t="n">
        <v>-144.168270442201</v>
      </c>
      <c r="DX130" s="0" t="n">
        <v>1.53781909507327</v>
      </c>
      <c r="DY130" s="0" t="n">
        <v>2.34558873592099</v>
      </c>
      <c r="DZ130" s="0" t="n">
        <v>180.918227187923</v>
      </c>
      <c r="EA130" s="0" t="n">
        <v>40.8519069419647</v>
      </c>
      <c r="EB130" s="0" t="n">
        <v>-140.066320245958</v>
      </c>
    </row>
    <row r="131" customFormat="false" ht="13.2" hidden="false" customHeight="false" outlineLevel="0" collapsed="false">
      <c r="A131" s="0" t="s">
        <v>301</v>
      </c>
      <c r="B131" s="0" t="n">
        <f aca="false">CT780</f>
        <v>0.319453725279499</v>
      </c>
      <c r="C131" s="0" t="n">
        <f aca="false">CO736</f>
        <v>35.0962367966217</v>
      </c>
      <c r="D131" s="0" t="n">
        <f aca="false">CP736</f>
        <v>0.851211816798261</v>
      </c>
      <c r="E131" s="0" t="n">
        <f aca="false">CO739</f>
        <v>2.42330127080051</v>
      </c>
      <c r="F131" s="0" t="n">
        <f aca="false">CP739</f>
        <v>0.437323598898432</v>
      </c>
      <c r="G131" s="0" t="n">
        <f aca="false">CO738</f>
        <v>0.247698062736662</v>
      </c>
      <c r="I131" s="0" t="n">
        <f aca="false">CP738</f>
        <v>0.148161011087908</v>
      </c>
      <c r="J131" s="0" t="n">
        <f aca="false">CO737</f>
        <v>0.491482218522119</v>
      </c>
      <c r="K131" s="0" t="n">
        <f aca="false">CP737</f>
        <v>0.242235392040478</v>
      </c>
      <c r="L131" s="0" t="n">
        <v>0</v>
      </c>
      <c r="M131" s="0" t="n">
        <v>0</v>
      </c>
      <c r="O131" s="2"/>
      <c r="AC131" s="39"/>
      <c r="AD131" s="22"/>
      <c r="AE131" s="22"/>
      <c r="AF131" s="22"/>
      <c r="AG131" s="22"/>
      <c r="AH131" s="22"/>
      <c r="AI131" s="22"/>
      <c r="AJ131" s="22"/>
      <c r="AK131" s="22"/>
      <c r="AL131" s="22"/>
      <c r="BF131" s="8"/>
      <c r="BG131" s="8" t="n">
        <f aca="false">BF40</f>
        <v>39.7584397069598</v>
      </c>
      <c r="BH131" s="8" t="n">
        <f aca="false">BG40</f>
        <v>40.1263375099171</v>
      </c>
      <c r="BI131" s="8" t="n">
        <f aca="false">BH40</f>
        <v>39.9044887603007</v>
      </c>
      <c r="BJ131" s="16" t="n">
        <f aca="false">BJ40</f>
        <v>2.77079593079515</v>
      </c>
      <c r="BK131" s="8" t="n">
        <f aca="false">BO40</f>
        <v>1.27875360095283</v>
      </c>
      <c r="BL131" s="8" t="n">
        <f aca="false">BM40</f>
        <v>1.23552844690755</v>
      </c>
      <c r="BM131" s="8" t="n">
        <v>7.85</v>
      </c>
      <c r="BN131" s="16" t="n">
        <f aca="false">BL40</f>
        <v>1.92192076742725</v>
      </c>
      <c r="BX131" s="0" t="n">
        <v>40.5762006199604</v>
      </c>
      <c r="BZ131" s="0" t="n">
        <v>2.70206666441626</v>
      </c>
      <c r="CA131" s="0" t="n">
        <v>1.54900326202579</v>
      </c>
      <c r="CB131" s="0" t="n">
        <v>40.2961474905794</v>
      </c>
      <c r="CC131" s="0" t="n">
        <v>40.8602418490241</v>
      </c>
      <c r="CD131" s="0" t="n">
        <v>0.564094358444677</v>
      </c>
      <c r="CE131" s="20" t="n">
        <f aca="false">(CD131)^2</f>
        <v>0.318202445229112</v>
      </c>
      <c r="CG131" s="0" t="n">
        <v>2.70206666441626</v>
      </c>
      <c r="CH131" s="0" t="n">
        <v>1.54900326202579</v>
      </c>
      <c r="CI131" s="0" t="n">
        <v>40.663725427409</v>
      </c>
      <c r="CJ131" s="0" t="n">
        <v>41.2889669095893</v>
      </c>
      <c r="CK131" s="0" t="n">
        <v>0.625241482180265</v>
      </c>
      <c r="CL131" s="20" t="n">
        <f aca="false">(CK131)^2</f>
        <v>0.390926911038974</v>
      </c>
      <c r="CN131" s="0" t="n">
        <v>2.70206666441626</v>
      </c>
      <c r="CO131" s="0" t="n">
        <v>1.54900326202579</v>
      </c>
      <c r="CP131" s="0" t="n">
        <v>40.5762006199604</v>
      </c>
      <c r="CQ131" s="0" t="n">
        <v>40.7432526092177</v>
      </c>
      <c r="CR131" s="0" t="n">
        <v>0.167051989257288</v>
      </c>
      <c r="CS131" s="20" t="n">
        <f aca="false">(CR131)^2</f>
        <v>0.0279063671148172</v>
      </c>
      <c r="CU131" s="0" t="n">
        <v>39.5307026003539</v>
      </c>
      <c r="CV131" s="0" t="n">
        <v>39.8419257129944</v>
      </c>
      <c r="CW131" s="0" t="n">
        <v>39.8411325938</v>
      </c>
      <c r="CX131" s="0" t="n">
        <v>-0.000793119194405278</v>
      </c>
      <c r="CY131" s="20" t="n">
        <f aca="false">(CX131)^2</f>
        <v>6.29038056534078E-007</v>
      </c>
      <c r="DC131" s="0" t="n">
        <v>1.51719589794997</v>
      </c>
      <c r="DD131" s="0" t="n">
        <v>1.56423218661249</v>
      </c>
      <c r="DE131" s="0" t="e">
        <v>#VALUE!</v>
      </c>
      <c r="DF131" s="0" t="n">
        <v>0</v>
      </c>
      <c r="DG131" s="0" t="e">
        <v>#VALUE!</v>
      </c>
      <c r="DJ131" s="0" t="n">
        <v>1.51719589794997</v>
      </c>
      <c r="DK131" s="0" t="n">
        <v>1.56423218661249</v>
      </c>
      <c r="DL131" s="0" t="n">
        <v>150.739270422734</v>
      </c>
      <c r="DM131" s="0" t="n">
        <v>39.7119114592515</v>
      </c>
      <c r="DN131" s="0" t="n">
        <v>-111.027358963482</v>
      </c>
      <c r="DQ131" s="0" t="n">
        <v>1.51719589794997</v>
      </c>
      <c r="DR131" s="0" t="n">
        <v>1.56423218661249</v>
      </c>
      <c r="DS131" s="0" t="n">
        <v>154.635159364258</v>
      </c>
      <c r="DT131" s="0" t="n">
        <v>40.3675165950432</v>
      </c>
      <c r="DU131" s="0" t="n">
        <v>-114.267642769215</v>
      </c>
      <c r="DX131" s="0" t="n">
        <v>1.51719589794997</v>
      </c>
      <c r="DY131" s="0" t="n">
        <v>1.56423218661249</v>
      </c>
      <c r="DZ131" s="0" t="n">
        <v>151.206853699069</v>
      </c>
      <c r="EA131" s="0" t="n">
        <v>40.3675165950432</v>
      </c>
      <c r="EB131" s="0" t="n">
        <v>-110.839337104026</v>
      </c>
    </row>
    <row r="132" customFormat="false" ht="13.2" hidden="false" customHeight="false" outlineLevel="0" collapsed="false">
      <c r="O132" s="2"/>
      <c r="P132" s="0" t="s">
        <v>302</v>
      </c>
      <c r="R132" s="0" t="n">
        <f aca="false">DK302</f>
        <v>0.288409282283777</v>
      </c>
      <c r="S132" s="0" t="n">
        <f aca="false">DK316</f>
        <v>34.6684664844742</v>
      </c>
      <c r="T132" s="0" t="n">
        <f aca="false">DL316</f>
        <v>3.10125507408632</v>
      </c>
      <c r="U132" s="0" t="n">
        <f aca="false">DK318</f>
        <v>35.330628979715</v>
      </c>
      <c r="V132" s="0" t="n">
        <f aca="false">DL318</f>
        <v>3.06119388286911</v>
      </c>
      <c r="W132" s="0" t="n">
        <f aca="false">DK317</f>
        <v>35.330628979715</v>
      </c>
      <c r="X132" s="0" t="n">
        <f aca="false">DL317</f>
        <v>3.06119388286911</v>
      </c>
      <c r="Y132" s="0" t="n">
        <f aca="false">DK319</f>
        <v>35.330628979715</v>
      </c>
      <c r="Z132" s="0" t="n">
        <f aca="false">DL319</f>
        <v>3.06119388286911</v>
      </c>
      <c r="AA132" s="0" t="n">
        <f aca="false">DK320</f>
        <v>35.330628979715</v>
      </c>
      <c r="AB132" s="0" t="n">
        <f aca="false">DL320</f>
        <v>3.06119388286911</v>
      </c>
      <c r="AC132" s="39"/>
      <c r="AD132" s="22"/>
      <c r="AE132" s="22"/>
      <c r="AF132" s="22"/>
      <c r="AG132" s="22"/>
      <c r="AH132" s="22"/>
      <c r="AI132" s="22"/>
      <c r="AJ132" s="22"/>
      <c r="AK132" s="22"/>
      <c r="AL132" s="22"/>
      <c r="BF132" s="8"/>
      <c r="BG132" s="8" t="n">
        <f aca="false">BF41</f>
        <v>39.0217644408478</v>
      </c>
      <c r="BH132" s="8" t="n">
        <f aca="false">BG41</f>
        <v>39.7989606416723</v>
      </c>
      <c r="BI132" s="8" t="n">
        <f aca="false">BH41</f>
        <v>39.4018526150208</v>
      </c>
      <c r="BJ132" s="16" t="n">
        <f aca="false">BJ41</f>
        <v>1.8572240799594</v>
      </c>
      <c r="BK132" s="8" t="n">
        <f aca="false">BO41</f>
        <v>2.72835378202123</v>
      </c>
      <c r="BL132" s="8" t="n">
        <f aca="false">BM41</f>
        <v>1.22788670461367</v>
      </c>
      <c r="BM132" s="8" t="n">
        <v>7.72</v>
      </c>
      <c r="BN132" s="16" t="n">
        <f aca="false">BL41</f>
        <v>1.75461831766389</v>
      </c>
      <c r="BX132" s="0" t="n">
        <v>40.2116256412275</v>
      </c>
      <c r="BZ132" s="0" t="n">
        <v>2.85513640282165</v>
      </c>
      <c r="CA132" s="0" t="n">
        <v>1.38021124171161</v>
      </c>
      <c r="CB132" s="0" t="n">
        <v>39.9721309235623</v>
      </c>
      <c r="CC132" s="0" t="n">
        <v>39.5307026003539</v>
      </c>
      <c r="CD132" s="0" t="n">
        <v>-0.44142832320842</v>
      </c>
      <c r="CE132" s="20" t="n">
        <f aca="false">(CD132)^2</f>
        <v>0.194858964530597</v>
      </c>
      <c r="CG132" s="0" t="n">
        <v>2.85513640282165</v>
      </c>
      <c r="CH132" s="0" t="n">
        <v>1.38021124171161</v>
      </c>
      <c r="CI132" s="0" t="n">
        <v>40.4229669640942</v>
      </c>
      <c r="CJ132" s="0" t="n">
        <v>40.3112205857885</v>
      </c>
      <c r="CK132" s="0" t="n">
        <v>-0.111746378305654</v>
      </c>
      <c r="CL132" s="20" t="n">
        <f aca="false">(CK132)^2</f>
        <v>0.0124872530644302</v>
      </c>
      <c r="CN132" s="0" t="n">
        <v>2.85513640282165</v>
      </c>
      <c r="CO132" s="0" t="n">
        <v>1.38021124171161</v>
      </c>
      <c r="CP132" s="0" t="n">
        <v>40.2116256412275</v>
      </c>
      <c r="CQ132" s="0" t="n">
        <v>39.8411325938</v>
      </c>
      <c r="CR132" s="0" t="n">
        <v>-0.370493047427509</v>
      </c>
      <c r="CS132" s="20" t="n">
        <f aca="false">(CR132)^2</f>
        <v>0.137265098192122</v>
      </c>
      <c r="CU132" s="0" t="n">
        <v>39.4259659076773</v>
      </c>
      <c r="CV132" s="0" t="n">
        <v>39.7478730653933</v>
      </c>
      <c r="CW132" s="0" t="n">
        <v>39.794334988839</v>
      </c>
      <c r="CX132" s="0" t="n">
        <v>0.0464619234457118</v>
      </c>
      <c r="CY132" s="20" t="n">
        <f aca="false">(CX132)^2</f>
        <v>0.00215871033027518</v>
      </c>
      <c r="DC132" s="0" t="n">
        <v>1.32221929473392</v>
      </c>
      <c r="DD132" s="0" t="n">
        <v>1.84744322960342</v>
      </c>
      <c r="DE132" s="0" t="e">
        <v>#VALUE!</v>
      </c>
      <c r="DF132" s="0" t="n">
        <v>0</v>
      </c>
      <c r="DG132" s="0" t="e">
        <v>#VALUE!</v>
      </c>
      <c r="DJ132" s="0" t="n">
        <v>1.32221929473392</v>
      </c>
      <c r="DK132" s="0" t="n">
        <v>1.84744322960342</v>
      </c>
      <c r="DL132" s="0" t="n">
        <v>153.997292564167</v>
      </c>
      <c r="DM132" s="0" t="n">
        <v>39.8158956218551</v>
      </c>
      <c r="DN132" s="0" t="n">
        <v>-114.181396942312</v>
      </c>
      <c r="DQ132" s="0" t="n">
        <v>1.32221929473392</v>
      </c>
      <c r="DR132" s="0" t="n">
        <v>1.84744322960342</v>
      </c>
      <c r="DS132" s="0" t="n">
        <v>157.978142842911</v>
      </c>
      <c r="DT132" s="0" t="n">
        <v>40.2813702480347</v>
      </c>
      <c r="DU132" s="0" t="n">
        <v>-117.696772594877</v>
      </c>
      <c r="DX132" s="0" t="n">
        <v>1.32221929473392</v>
      </c>
      <c r="DY132" s="0" t="n">
        <v>1.84744322960342</v>
      </c>
      <c r="DZ132" s="0" t="n">
        <v>154.47572227885</v>
      </c>
      <c r="EA132" s="0" t="n">
        <v>40.2813702480347</v>
      </c>
      <c r="EB132" s="0" t="n">
        <v>-114.194352030815</v>
      </c>
    </row>
    <row r="133" customFormat="false" ht="13.2" hidden="false" customHeight="false" outlineLevel="0" collapsed="false">
      <c r="A133" s="0" t="s">
        <v>303</v>
      </c>
      <c r="B133" s="0" t="n">
        <f aca="false">CF852</f>
        <v>0.255520155928181</v>
      </c>
      <c r="C133" s="0" t="n">
        <f aca="false">CA808</f>
        <v>35.1438733316032</v>
      </c>
      <c r="D133" s="0" t="n">
        <f aca="false">CB808</f>
        <v>0.526619660816757</v>
      </c>
      <c r="E133" s="0" t="n">
        <f aca="false">CA809</f>
        <v>1.97132423569941</v>
      </c>
      <c r="F133" s="0" t="n">
        <f aca="false">CB809</f>
        <v>0.402291250653496</v>
      </c>
      <c r="G133" s="0" t="n">
        <f aca="false">CA811</f>
        <v>0.258730741986869</v>
      </c>
      <c r="I133" s="0" t="n">
        <f aca="false">CB811</f>
        <v>0.108087138070962</v>
      </c>
      <c r="J133" s="0" t="n">
        <f aca="false">CA810</f>
        <v>0.805656232243408</v>
      </c>
      <c r="K133" s="0" t="n">
        <f aca="false">CB810</f>
        <v>0.208332890258679</v>
      </c>
      <c r="L133" s="0" t="n">
        <v>0</v>
      </c>
      <c r="M133" s="0" t="n">
        <v>0</v>
      </c>
      <c r="O133" s="2"/>
      <c r="P133" s="0" t="s">
        <v>304</v>
      </c>
      <c r="R133" s="0" t="n">
        <f aca="false">DR302</f>
        <v>0.237271999266335</v>
      </c>
      <c r="S133" s="0" t="n">
        <f aca="false">DR316</f>
        <v>36.183522693018</v>
      </c>
      <c r="T133" s="0" t="n">
        <f aca="false">DS316</f>
        <v>2.55137763194218</v>
      </c>
      <c r="U133" s="0" t="n">
        <f aca="false">DR318</f>
        <v>36.183522693018</v>
      </c>
      <c r="V133" s="0" t="n">
        <f aca="false">DS318</f>
        <v>2.55137763194218</v>
      </c>
      <c r="W133" s="0" t="n">
        <f aca="false">DR317</f>
        <v>36.183522693018</v>
      </c>
      <c r="X133" s="0" t="n">
        <f aca="false">DS317</f>
        <v>2.55137763194218</v>
      </c>
      <c r="Y133" s="0" t="n">
        <f aca="false">DR319</f>
        <v>36.183522693018</v>
      </c>
      <c r="Z133" s="0" t="n">
        <f aca="false">DS319</f>
        <v>2.55137763194218</v>
      </c>
      <c r="AA133" s="0" t="n">
        <f aca="false">DR320</f>
        <v>36.183522693018</v>
      </c>
      <c r="AB133" s="0" t="n">
        <f aca="false">DS320</f>
        <v>2.55137763194218</v>
      </c>
      <c r="AC133" s="39"/>
      <c r="AD133" s="22"/>
      <c r="AE133" s="22"/>
      <c r="AF133" s="22"/>
      <c r="AG133" s="22"/>
      <c r="AH133" s="22"/>
      <c r="AI133" s="22"/>
      <c r="AJ133" s="22"/>
      <c r="AK133" s="22"/>
      <c r="AL133" s="22"/>
      <c r="BX133" s="0" t="n">
        <v>40.2500921671155</v>
      </c>
      <c r="BZ133" s="0" t="n">
        <v>2.7281271270983</v>
      </c>
      <c r="CA133" s="0" t="n">
        <v>1.41161970596323</v>
      </c>
      <c r="CB133" s="0" t="n">
        <v>39.9802652964273</v>
      </c>
      <c r="CC133" s="0" t="n">
        <v>39.4259659076773</v>
      </c>
      <c r="CD133" s="0" t="n">
        <v>-0.554299388749982</v>
      </c>
      <c r="CE133" s="20" t="n">
        <f aca="false">(CD133)^2</f>
        <v>0.307247812368603</v>
      </c>
      <c r="CG133" s="0" t="n">
        <v>2.7281271270983</v>
      </c>
      <c r="CH133" s="0" t="n">
        <v>1.41161970596323</v>
      </c>
      <c r="CI133" s="0" t="n">
        <v>40.4236503229062</v>
      </c>
      <c r="CJ133" s="0" t="n">
        <v>39.794334988839</v>
      </c>
      <c r="CK133" s="0" t="n">
        <v>-0.629315334067222</v>
      </c>
      <c r="CL133" s="20" t="n">
        <f aca="false">(CK133)^2</f>
        <v>0.396037789692139</v>
      </c>
      <c r="CN133" s="0" t="n">
        <v>2.7281271270983</v>
      </c>
      <c r="CO133" s="0" t="n">
        <v>1.41161970596323</v>
      </c>
      <c r="CP133" s="0" t="n">
        <v>40.2500921671155</v>
      </c>
      <c r="CQ133" s="0" t="n">
        <v>39.794334988839</v>
      </c>
      <c r="CR133" s="0" t="n">
        <v>-0.455757178276514</v>
      </c>
      <c r="CS133" s="20" t="n">
        <f aca="false">(CR133)^2</f>
        <v>0.20771460555057</v>
      </c>
      <c r="CU133" s="0" t="n">
        <v>39.9477947317714</v>
      </c>
      <c r="CV133" s="0" t="n">
        <v>40.2164708532972</v>
      </c>
      <c r="CW133" s="0" t="n">
        <v>40.1481123266225</v>
      </c>
      <c r="CX133" s="0" t="n">
        <v>-0.0683585266747002</v>
      </c>
      <c r="CY133" s="20" t="n">
        <f aca="false">(CX133)^2</f>
        <v>0.0046728881691357</v>
      </c>
      <c r="DC133" s="0" t="n">
        <v>1.23299611039215</v>
      </c>
      <c r="DD133" s="0" t="n">
        <v>1.70817954621746</v>
      </c>
      <c r="DE133" s="0" t="e">
        <v>#VALUE!</v>
      </c>
      <c r="DF133" s="0" t="n">
        <v>0</v>
      </c>
      <c r="DG133" s="0" t="e">
        <v>#VALUE!</v>
      </c>
      <c r="DJ133" s="0" t="n">
        <v>1.23299611039215</v>
      </c>
      <c r="DK133" s="0" t="n">
        <v>1.70817954621746</v>
      </c>
      <c r="DL133" s="0" t="n">
        <v>145.560504434917</v>
      </c>
      <c r="DM133" s="0" t="n">
        <v>39.9770046637507</v>
      </c>
      <c r="DN133" s="0" t="n">
        <v>-105.583499771166</v>
      </c>
      <c r="DQ133" s="0" t="n">
        <v>1.23299611039215</v>
      </c>
      <c r="DR133" s="0" t="n">
        <v>1.70817954621746</v>
      </c>
      <c r="DS133" s="0" t="n">
        <v>149.321343685441</v>
      </c>
      <c r="DT133" s="0" t="n">
        <v>40.5618565782759</v>
      </c>
      <c r="DU133" s="0" t="n">
        <v>-108.759487107165</v>
      </c>
      <c r="DX133" s="0" t="n">
        <v>1.23299611039215</v>
      </c>
      <c r="DY133" s="0" t="n">
        <v>1.70817954621746</v>
      </c>
      <c r="DZ133" s="0" t="n">
        <v>146.010846832106</v>
      </c>
      <c r="EA133" s="0" t="n">
        <v>40.2717584423895</v>
      </c>
      <c r="EB133" s="0" t="n">
        <v>-105.739088389716</v>
      </c>
    </row>
    <row r="134" customFormat="false" ht="13.2" hidden="false" customHeight="false" outlineLevel="0" collapsed="false">
      <c r="A134" s="0" t="s">
        <v>305</v>
      </c>
      <c r="B134" s="0" t="n">
        <f aca="false">CM852</f>
        <v>0.340272839205891</v>
      </c>
      <c r="C134" s="0" t="n">
        <f aca="false">CH808</f>
        <v>36.8013278590557</v>
      </c>
      <c r="D134" s="0" t="n">
        <f aca="false">CI808</f>
        <v>0.701292493020111</v>
      </c>
      <c r="E134" s="0" t="n">
        <f aca="false">CH809</f>
        <v>1.72030129467864</v>
      </c>
      <c r="F134" s="0" t="n">
        <f aca="false">CI809</f>
        <v>0.53572598040379</v>
      </c>
      <c r="G134" s="0" t="n">
        <f aca="false">CH811</f>
        <v>0.152375533750732</v>
      </c>
      <c r="I134" s="0" t="n">
        <f aca="false">CI811</f>
        <v>0.143938223657718</v>
      </c>
      <c r="J134" s="0" t="n">
        <f aca="false">CH810</f>
        <v>0.470480643307818</v>
      </c>
      <c r="K134" s="0" t="n">
        <f aca="false">CI810</f>
        <v>0.277434176614291</v>
      </c>
      <c r="L134" s="0" t="n">
        <v>0</v>
      </c>
      <c r="M134" s="0" t="n">
        <v>0</v>
      </c>
      <c r="O134" s="2"/>
      <c r="P134" s="0" t="s">
        <v>306</v>
      </c>
      <c r="R134" s="0" t="n">
        <f aca="false">DY302</f>
        <v>0.310527416459754</v>
      </c>
      <c r="S134" s="0" t="n">
        <f aca="false">DY316</f>
        <v>32.806412294668</v>
      </c>
      <c r="T134" s="0" t="n">
        <f aca="false">DZ316</f>
        <v>3.33909060871061</v>
      </c>
      <c r="U134" s="0" t="n">
        <f aca="false">DY318</f>
        <v>32.806412294668</v>
      </c>
      <c r="V134" s="0" t="n">
        <f aca="false">DZ318</f>
        <v>3.33909060871061</v>
      </c>
      <c r="W134" s="0" t="n">
        <f aca="false">DY317</f>
        <v>32.806412294668</v>
      </c>
      <c r="X134" s="0" t="n">
        <f aca="false">DZ317</f>
        <v>3.33909060871061</v>
      </c>
      <c r="Y134" s="0" t="n">
        <f aca="false">DY319</f>
        <v>32.806412294668</v>
      </c>
      <c r="Z134" s="0" t="n">
        <f aca="false">DZ319</f>
        <v>3.33909060871061</v>
      </c>
      <c r="AA134" s="0" t="n">
        <f aca="false">DY320</f>
        <v>32.806412294668</v>
      </c>
      <c r="AB134" s="0" t="n">
        <f aca="false">DZ320</f>
        <v>3.33909060871061</v>
      </c>
      <c r="AC134" s="39"/>
      <c r="AD134" s="8"/>
      <c r="AE134" s="8"/>
      <c r="AF134" s="8"/>
      <c r="AG134" s="8"/>
      <c r="AH134" s="22"/>
      <c r="AI134" s="22"/>
      <c r="AJ134" s="22"/>
      <c r="AK134" s="22"/>
      <c r="AL134" s="22"/>
      <c r="BX134" s="0" t="n">
        <v>40.3187127551026</v>
      </c>
      <c r="BZ134" s="0" t="n">
        <v>2.60593617253213</v>
      </c>
      <c r="CA134" s="0" t="n">
        <v>1.45484486000851</v>
      </c>
      <c r="CB134" s="0" t="n">
        <v>40.0193068000145</v>
      </c>
      <c r="CC134" s="0" t="n">
        <v>39.9477947317714</v>
      </c>
      <c r="CD134" s="0" t="n">
        <v>-0.0715120682430523</v>
      </c>
      <c r="CE134" s="20" t="n">
        <f aca="false">(CD134)^2</f>
        <v>0.00511397590439897</v>
      </c>
      <c r="CG134" s="0" t="n">
        <v>2.60593617253213</v>
      </c>
      <c r="CH134" s="0" t="n">
        <v>1.45484486000851</v>
      </c>
      <c r="CI134" s="0" t="n">
        <v>40.4481442555205</v>
      </c>
      <c r="CJ134" s="0" t="n">
        <v>40.1481123266225</v>
      </c>
      <c r="CK134" s="0" t="n">
        <v>-0.300031928897994</v>
      </c>
      <c r="CL134" s="20" t="n">
        <f aca="false">(CK134)^2</f>
        <v>0.0900191583582508</v>
      </c>
      <c r="CN134" s="0" t="n">
        <v>2.60593617253213</v>
      </c>
      <c r="CO134" s="0" t="n">
        <v>1.45484486000851</v>
      </c>
      <c r="CP134" s="0" t="n">
        <v>40.3187127551026</v>
      </c>
      <c r="CQ134" s="0" t="n">
        <v>40.1481123266225</v>
      </c>
      <c r="CR134" s="0" t="n">
        <v>-0.1706004284801</v>
      </c>
      <c r="CS134" s="20" t="n">
        <f aca="false">(CR134)^2</f>
        <v>0.0291045061975936</v>
      </c>
      <c r="CU134" s="0" t="n">
        <v>39.3876198532141</v>
      </c>
      <c r="CV134" s="0" t="n">
        <v>39.713438638879</v>
      </c>
      <c r="CW134" s="0" t="n">
        <v>39.6143001977675</v>
      </c>
      <c r="CX134" s="0" t="n">
        <v>-0.0991384411115135</v>
      </c>
      <c r="CY134" s="20" t="n">
        <f aca="false">(CX134)^2</f>
        <v>0.00982843050602103</v>
      </c>
      <c r="DC134" s="0" t="n">
        <v>1.23299611039215</v>
      </c>
      <c r="DD134" s="0" t="n">
        <v>1.57968225691357</v>
      </c>
      <c r="DE134" s="0" t="e">
        <v>#VALUE!</v>
      </c>
      <c r="DF134" s="0" t="n">
        <v>0</v>
      </c>
      <c r="DG134" s="0" t="e">
        <v>#VALUE!</v>
      </c>
      <c r="DJ134" s="0" t="n">
        <v>1.23299611039215</v>
      </c>
      <c r="DK134" s="0" t="n">
        <v>1.57968225691357</v>
      </c>
      <c r="DL134" s="0" t="n">
        <v>140.815792339114</v>
      </c>
      <c r="DM134" s="0" t="n">
        <v>39.0888685217564</v>
      </c>
      <c r="DN134" s="0" t="n">
        <v>-101.726923817358</v>
      </c>
      <c r="DQ134" s="0" t="n">
        <v>1.23299611039215</v>
      </c>
      <c r="DR134" s="0" t="n">
        <v>1.57968225691357</v>
      </c>
      <c r="DS134" s="0" t="n">
        <v>144.452900974288</v>
      </c>
      <c r="DT134" s="0" t="n">
        <v>39.807392282766</v>
      </c>
      <c r="DU134" s="0" t="n">
        <v>-104.645508691522</v>
      </c>
      <c r="DX134" s="0" t="n">
        <v>1.23299611039215</v>
      </c>
      <c r="DY134" s="0" t="n">
        <v>1.57968225691357</v>
      </c>
      <c r="DZ134" s="0" t="n">
        <v>141.250338886862</v>
      </c>
      <c r="EA134" s="0" t="n">
        <v>39.2678630647137</v>
      </c>
      <c r="EB134" s="0" t="n">
        <v>-101.982475822148</v>
      </c>
    </row>
    <row r="135" customFormat="false" ht="12.8" hidden="false" customHeight="false" outlineLevel="0" collapsed="false">
      <c r="A135" s="0" t="s">
        <v>307</v>
      </c>
      <c r="B135" s="0" t="n">
        <f aca="false">CT852</f>
        <v>0.304130762034871</v>
      </c>
      <c r="C135" s="0" t="n">
        <f aca="false">CO808</f>
        <v>35.7423383577494</v>
      </c>
      <c r="D135" s="0" t="n">
        <f aca="false">CP808</f>
        <v>0.626804715913535</v>
      </c>
      <c r="E135" s="0" t="n">
        <f aca="false">CO809</f>
        <v>1.94130075512432</v>
      </c>
      <c r="F135" s="0" t="n">
        <f aca="false">CP809</f>
        <v>0.47882384924498</v>
      </c>
      <c r="G135" s="0" t="n">
        <f aca="false">CO811</f>
        <v>0.21247654772805</v>
      </c>
      <c r="I135" s="0" t="n">
        <f aca="false">CP811</f>
        <v>0.128649826266267</v>
      </c>
      <c r="J135" s="0" t="n">
        <f aca="false">CO810</f>
        <v>0.703727797663138</v>
      </c>
      <c r="K135" s="0" t="n">
        <f aca="false">CP810</f>
        <v>0.247966507538872</v>
      </c>
      <c r="L135" s="0" t="n">
        <v>0</v>
      </c>
      <c r="M135" s="0" t="n">
        <v>0</v>
      </c>
      <c r="O135" s="2"/>
      <c r="AC135" s="39"/>
      <c r="AD135" s="22"/>
      <c r="AE135" s="22"/>
      <c r="AF135" s="22"/>
      <c r="AG135" s="22"/>
      <c r="AH135" s="22"/>
      <c r="AI135" s="22"/>
      <c r="AJ135" s="22"/>
      <c r="AK135" s="22"/>
      <c r="AL135" s="22"/>
      <c r="BX135" s="0" t="n">
        <v>39.878800623371</v>
      </c>
      <c r="BZ135" s="0" t="n">
        <v>2.81672091333267</v>
      </c>
      <c r="CA135" s="0" t="n">
        <v>1.24797326636181</v>
      </c>
      <c r="CB135" s="0" t="n">
        <v>39.6344642191847</v>
      </c>
      <c r="CC135" s="0" t="n">
        <v>39.3876198532141</v>
      </c>
      <c r="CD135" s="0" t="n">
        <v>-0.246844365970603</v>
      </c>
      <c r="CE135" s="20" t="n">
        <f aca="false">(CD135)^2</f>
        <v>0.0609321410114288</v>
      </c>
      <c r="CG135" s="0" t="n">
        <v>2.81672091333267</v>
      </c>
      <c r="CH135" s="0" t="n">
        <v>1.24797326636181</v>
      </c>
      <c r="CI135" s="0" t="n">
        <v>40.1634507639979</v>
      </c>
      <c r="CJ135" s="0" t="n">
        <v>39.9396196552323</v>
      </c>
      <c r="CK135" s="0" t="n">
        <v>-0.223831108765609</v>
      </c>
      <c r="CL135" s="20" t="n">
        <f aca="false">(CK135)^2</f>
        <v>0.0501003652512417</v>
      </c>
      <c r="CN135" s="0" t="n">
        <v>2.81672091333267</v>
      </c>
      <c r="CO135" s="0" t="n">
        <v>1.24797326636181</v>
      </c>
      <c r="CP135" s="0" t="n">
        <v>39.878800623371</v>
      </c>
      <c r="CQ135" s="0" t="n">
        <v>39.6143001977675</v>
      </c>
      <c r="CR135" s="0" t="n">
        <v>-0.264500425603508</v>
      </c>
      <c r="CS135" s="20" t="n">
        <f aca="false">(CR135)^2</f>
        <v>0.0699604751444368</v>
      </c>
      <c r="CU135" s="0" t="n">
        <v>39.7992940202333</v>
      </c>
      <c r="CV135" s="0" t="n">
        <v>40.0831184938339</v>
      </c>
      <c r="CW135" s="0" t="n">
        <v>40.5671950296227</v>
      </c>
      <c r="CX135" s="0" t="n">
        <v>0.484076535788809</v>
      </c>
      <c r="CY135" s="20" t="n">
        <f aca="false">(CX135)^2</f>
        <v>0.234330092501294</v>
      </c>
      <c r="DC135" s="0" t="n">
        <v>1.48572142648158</v>
      </c>
      <c r="DD135" s="0" t="n">
        <v>2.37246173690123</v>
      </c>
      <c r="DE135" s="0" t="e">
        <v>#VALUE!</v>
      </c>
      <c r="DF135" s="0" t="n">
        <v>0</v>
      </c>
      <c r="DG135" s="0" t="e">
        <v>#VALUE!</v>
      </c>
      <c r="DJ135" s="0" t="n">
        <v>1.48572142648158</v>
      </c>
      <c r="DK135" s="0" t="n">
        <v>2.37246173690123</v>
      </c>
      <c r="DL135" s="0" t="n">
        <v>179.420647578008</v>
      </c>
      <c r="DM135" s="0" t="n">
        <v>40.3263420583806</v>
      </c>
      <c r="DN135" s="0" t="n">
        <v>-139.094305519627</v>
      </c>
      <c r="DQ135" s="0" t="n">
        <v>1.48572142648158</v>
      </c>
      <c r="DR135" s="0" t="n">
        <v>2.37246173690123</v>
      </c>
      <c r="DS135" s="0" t="n">
        <v>184.06447746365</v>
      </c>
      <c r="DT135" s="0" t="n">
        <v>40.3264007404092</v>
      </c>
      <c r="DU135" s="0" t="n">
        <v>-143.738076723241</v>
      </c>
      <c r="DX135" s="0" t="n">
        <v>1.48572142648158</v>
      </c>
      <c r="DY135" s="0" t="n">
        <v>2.37246173690123</v>
      </c>
      <c r="DZ135" s="0" t="n">
        <v>179.983715407706</v>
      </c>
      <c r="EA135" s="0" t="n">
        <v>40.3264007404092</v>
      </c>
      <c r="EB135" s="0" t="n">
        <v>-139.657314667296</v>
      </c>
    </row>
    <row r="136" customFormat="false" ht="12.8" hidden="false" customHeight="false" outlineLevel="0" collapsed="false">
      <c r="O136" s="2"/>
      <c r="AC136" s="39"/>
      <c r="AD136" s="22"/>
      <c r="AE136" s="22"/>
      <c r="AF136" s="22"/>
      <c r="AG136" s="22"/>
      <c r="AH136" s="22"/>
      <c r="AI136" s="22"/>
      <c r="AJ136" s="22"/>
      <c r="AK136" s="22"/>
      <c r="AL136" s="22"/>
      <c r="BE136" s="2"/>
      <c r="BF136" s="2"/>
      <c r="BG136" s="2"/>
      <c r="BH136" s="2"/>
      <c r="BI136" s="2" t="s">
        <v>308</v>
      </c>
      <c r="BJ136" s="2"/>
      <c r="BK136" s="2"/>
      <c r="BL136" s="2"/>
      <c r="BM136" s="2"/>
      <c r="BN136" s="2"/>
      <c r="BO136" s="2"/>
      <c r="BP136" s="2"/>
      <c r="BX136" s="0" t="n">
        <v>40.1376172264926</v>
      </c>
      <c r="BZ136" s="0" t="n">
        <v>2.81967486601435</v>
      </c>
      <c r="CA136" s="0" t="n">
        <v>1.3541084391474</v>
      </c>
      <c r="CB136" s="0" t="n">
        <v>39.8907196131763</v>
      </c>
      <c r="CC136" s="0" t="n">
        <v>39.7992940202333</v>
      </c>
      <c r="CD136" s="0" t="n">
        <v>-0.0914255929430325</v>
      </c>
      <c r="CE136" s="20" t="n">
        <f aca="false">(CD136)^2</f>
        <v>0.00835863904498508</v>
      </c>
      <c r="CG136" s="0" t="n">
        <v>2.81967486601435</v>
      </c>
      <c r="CH136" s="0" t="n">
        <v>1.3541084391474</v>
      </c>
      <c r="CI136" s="0" t="n">
        <v>40.35925737013</v>
      </c>
      <c r="CJ136" s="0" t="n">
        <v>40.5671950296227</v>
      </c>
      <c r="CK136" s="0" t="n">
        <v>0.207937659492721</v>
      </c>
      <c r="CL136" s="20" t="n">
        <f aca="false">(CK136)^2</f>
        <v>0.0432380702353108</v>
      </c>
      <c r="CN136" s="0" t="n">
        <v>2.81967486601435</v>
      </c>
      <c r="CO136" s="0" t="n">
        <v>1.3541084391474</v>
      </c>
      <c r="CP136" s="0" t="n">
        <v>40.1376172264926</v>
      </c>
      <c r="CQ136" s="0" t="n">
        <v>40.5671950296227</v>
      </c>
      <c r="CR136" s="0" t="n">
        <v>0.429577803130059</v>
      </c>
      <c r="CS136" s="20" t="n">
        <f aca="false">(CR136)^2</f>
        <v>0.184537088942047</v>
      </c>
      <c r="CU136" s="0" t="n">
        <v>39.5414546476421</v>
      </c>
      <c r="CV136" s="0" t="n">
        <v>39.8515809588184</v>
      </c>
      <c r="CW136" s="0" t="n">
        <v>39.4317743737488</v>
      </c>
      <c r="CX136" s="0" t="n">
        <v>-0.419806585069622</v>
      </c>
      <c r="CY136" s="20" t="n">
        <f aca="false">(CX136)^2</f>
        <v>0.176237568867818</v>
      </c>
      <c r="DC136" s="0" t="n">
        <v>1.25527250510331</v>
      </c>
      <c r="DD136" s="0" t="n">
        <v>2.00306036143839</v>
      </c>
      <c r="DE136" s="0" t="e">
        <v>#VALUE!</v>
      </c>
      <c r="DF136" s="0" t="n">
        <v>0</v>
      </c>
      <c r="DG136" s="0" t="e">
        <v>#VALUE!</v>
      </c>
      <c r="DJ136" s="0" t="n">
        <v>1.25527250510331</v>
      </c>
      <c r="DK136" s="0" t="n">
        <v>2.00306036143839</v>
      </c>
      <c r="DL136" s="0" t="n">
        <v>157.271410232136</v>
      </c>
      <c r="DM136" s="0" t="n">
        <v>39.8138398098754</v>
      </c>
      <c r="DN136" s="0" t="n">
        <v>-117.457570422261</v>
      </c>
      <c r="DQ136" s="0" t="n">
        <v>1.25527250510331</v>
      </c>
      <c r="DR136" s="0" t="n">
        <v>2.00306036143839</v>
      </c>
      <c r="DS136" s="0" t="n">
        <v>161.337641580502</v>
      </c>
      <c r="DT136" s="0" t="n">
        <v>40.2861528339909</v>
      </c>
      <c r="DU136" s="0" t="n">
        <v>-121.051488746511</v>
      </c>
      <c r="DX136" s="0" t="n">
        <v>1.25527250510331</v>
      </c>
      <c r="DY136" s="0" t="n">
        <v>2.00306036143839</v>
      </c>
      <c r="DZ136" s="0" t="n">
        <v>157.760739969558</v>
      </c>
      <c r="EA136" s="0" t="n">
        <v>39.8999512285901</v>
      </c>
      <c r="EB136" s="0" t="n">
        <v>-117.860788740968</v>
      </c>
    </row>
    <row r="137" customFormat="false" ht="12.8" hidden="false" customHeight="false" outlineLevel="0" collapsed="false">
      <c r="A137" s="0" t="s">
        <v>309</v>
      </c>
      <c r="B137" s="0" t="n">
        <f aca="false">CD424</f>
        <v>0.407475766510562</v>
      </c>
      <c r="C137" s="0" t="n">
        <f aca="false">CA381</f>
        <v>37.3390133130445</v>
      </c>
      <c r="D137" s="0" t="n">
        <f aca="false">CB381</f>
        <v>0.653317971734074</v>
      </c>
      <c r="E137" s="0" t="n">
        <f aca="false">CA382</f>
        <v>0.935539659275274</v>
      </c>
      <c r="F137" s="0" t="n">
        <f aca="false">CB382</f>
        <v>0.242116640315938</v>
      </c>
      <c r="G137" s="22" t="n">
        <v>0</v>
      </c>
      <c r="H137" s="22"/>
      <c r="I137" s="22" t="n">
        <v>0</v>
      </c>
      <c r="O137" s="2"/>
      <c r="P137" s="0" t="s">
        <v>310</v>
      </c>
      <c r="R137" s="0" t="n">
        <f aca="false">DK352</f>
        <v>0.341992143039545</v>
      </c>
      <c r="S137" s="0" t="n">
        <f aca="false">DK366</f>
        <v>34.3283362802897</v>
      </c>
      <c r="T137" s="0" t="n">
        <f aca="false">DL366</f>
        <v>3.72869254332071</v>
      </c>
      <c r="U137" s="0" t="n">
        <f aca="false">DK369</f>
        <v>34.9460522081503</v>
      </c>
      <c r="V137" s="0" t="n">
        <f aca="false">DL369</f>
        <v>3.67800373349176</v>
      </c>
      <c r="W137" s="0" t="n">
        <f aca="false">DK368</f>
        <v>34.9460522081503</v>
      </c>
      <c r="X137" s="0" t="n">
        <f aca="false">DL368</f>
        <v>3.67800373349176</v>
      </c>
      <c r="Y137" s="0" t="n">
        <f aca="false">DK370</f>
        <v>34.9460522081503</v>
      </c>
      <c r="Z137" s="0" t="n">
        <f aca="false">DL370</f>
        <v>3.67800373349176</v>
      </c>
      <c r="AA137" s="0" t="n">
        <f aca="false">DK367</f>
        <v>34.9460522081503</v>
      </c>
      <c r="AB137" s="0" t="n">
        <f aca="false">DL367</f>
        <v>3.67800373349176</v>
      </c>
      <c r="AC137" s="39"/>
      <c r="AD137" s="22"/>
      <c r="AE137" s="22"/>
      <c r="AF137" s="22"/>
      <c r="AG137" s="22"/>
      <c r="AH137" s="22"/>
      <c r="AI137" s="22"/>
      <c r="AJ137" s="22"/>
      <c r="AK137" s="22"/>
      <c r="AL137" s="22"/>
      <c r="BE137" s="21"/>
      <c r="BF137" s="8" t="s">
        <v>311</v>
      </c>
      <c r="BG137" s="8" t="s">
        <v>33</v>
      </c>
      <c r="BH137" s="8" t="s">
        <v>312</v>
      </c>
      <c r="BI137" s="12" t="s">
        <v>42</v>
      </c>
      <c r="BJ137" s="8" t="s">
        <v>313</v>
      </c>
      <c r="BK137" s="12" t="s">
        <v>314</v>
      </c>
      <c r="BL137" s="8" t="s">
        <v>315</v>
      </c>
      <c r="BM137" s="8" t="s">
        <v>313</v>
      </c>
      <c r="BN137" s="8" t="s">
        <v>316</v>
      </c>
      <c r="BO137" s="12" t="s">
        <v>42</v>
      </c>
      <c r="BP137" s="12"/>
      <c r="BX137" s="0" t="n">
        <v>39.8279374699367</v>
      </c>
      <c r="BZ137" s="0" t="n">
        <v>2.98153856858654</v>
      </c>
      <c r="CA137" s="0" t="n">
        <v>1.20682587603185</v>
      </c>
      <c r="CB137" s="0" t="n">
        <v>39.622974452549</v>
      </c>
      <c r="CC137" s="0" t="n">
        <v>39.5414546476421</v>
      </c>
      <c r="CD137" s="0" t="n">
        <v>-0.0815198049068826</v>
      </c>
      <c r="CE137" s="20" t="n">
        <f aca="false">(CD137)^2</f>
        <v>0.0066454785920562</v>
      </c>
      <c r="CG137" s="0" t="n">
        <v>2.98153856858654</v>
      </c>
      <c r="CH137" s="0" t="n">
        <v>1.20682587603185</v>
      </c>
      <c r="CI137" s="0" t="n">
        <v>40.1618508220053</v>
      </c>
      <c r="CJ137" s="0" t="n">
        <v>39.9994654634455</v>
      </c>
      <c r="CK137" s="0" t="n">
        <v>-0.162385358559845</v>
      </c>
      <c r="CL137" s="20" t="n">
        <f aca="false">(CK137)^2</f>
        <v>0.0263690046746095</v>
      </c>
      <c r="CN137" s="0" t="n">
        <v>2.98153856858654</v>
      </c>
      <c r="CO137" s="0" t="n">
        <v>1.20682587603185</v>
      </c>
      <c r="CP137" s="0" t="n">
        <v>39.8279374699367</v>
      </c>
      <c r="CQ137" s="0" t="n">
        <v>39.4317743737488</v>
      </c>
      <c r="CR137" s="0" t="n">
        <v>-0.396163096187919</v>
      </c>
      <c r="CS137" s="20" t="n">
        <f aca="false">(CR137)^2</f>
        <v>0.156945198781199</v>
      </c>
      <c r="CU137" s="0" t="n">
        <v>39.2951320767752</v>
      </c>
      <c r="CV137" s="0" t="n">
        <v>39.6303854125214</v>
      </c>
      <c r="CW137" s="0" t="n">
        <v>39.7495605874209</v>
      </c>
      <c r="CX137" s="0" t="n">
        <v>0.119175174899517</v>
      </c>
      <c r="CY137" s="20" t="n">
        <f aca="false">(CX137)^2</f>
        <v>0.0142027223123306</v>
      </c>
      <c r="DC137" s="0" t="n">
        <v>1.39269695325967</v>
      </c>
      <c r="DD137" s="0" t="n">
        <v>2.15672838520209</v>
      </c>
      <c r="DE137" s="0" t="e">
        <v>#VALUE!</v>
      </c>
      <c r="DF137" s="0" t="n">
        <v>0</v>
      </c>
      <c r="DG137" s="0" t="e">
        <v>#VALUE!</v>
      </c>
      <c r="DJ137" s="0" t="n">
        <v>1.39269695325967</v>
      </c>
      <c r="DK137" s="0" t="n">
        <v>2.15672838520209</v>
      </c>
      <c r="DL137" s="0" t="n">
        <v>168.019885783632</v>
      </c>
      <c r="DM137" s="0" t="n">
        <v>39.5808250944804</v>
      </c>
      <c r="DN137" s="0" t="n">
        <v>-128.439060689151</v>
      </c>
      <c r="DQ137" s="0" t="n">
        <v>1.39269695325967</v>
      </c>
      <c r="DR137" s="0" t="n">
        <v>2.15672838520209</v>
      </c>
      <c r="DS137" s="0" t="n">
        <v>172.366411376876</v>
      </c>
      <c r="DT137" s="0" t="n">
        <v>40.2880850465456</v>
      </c>
      <c r="DU137" s="0" t="n">
        <v>-132.07832633033</v>
      </c>
      <c r="DX137" s="0" t="n">
        <v>1.39269695325967</v>
      </c>
      <c r="DY137" s="0" t="n">
        <v>2.15672838520209</v>
      </c>
      <c r="DZ137" s="0" t="n">
        <v>168.544998788426</v>
      </c>
      <c r="EA137" s="0" t="n">
        <v>39.4996349548837</v>
      </c>
      <c r="EB137" s="0" t="n">
        <v>-129.045363833542</v>
      </c>
    </row>
    <row r="138" customFormat="false" ht="12.8" hidden="false" customHeight="false" outlineLevel="0" collapsed="false">
      <c r="A138" s="0" t="s">
        <v>317</v>
      </c>
      <c r="B138" s="0" t="n">
        <f aca="false">CK424</f>
        <v>0.40719237556969</v>
      </c>
      <c r="C138" s="0" t="n">
        <f aca="false">CH381</f>
        <v>38.2880336665536</v>
      </c>
      <c r="D138" s="0" t="n">
        <f aca="false">CI381</f>
        <v>0.652863602640462</v>
      </c>
      <c r="E138" s="0" t="n">
        <f aca="false">CH382</f>
        <v>0.757908368362654</v>
      </c>
      <c r="F138" s="0" t="n">
        <f aca="false">CI382</f>
        <v>0.241948253216289</v>
      </c>
      <c r="G138" s="22" t="n">
        <v>0</v>
      </c>
      <c r="H138" s="22"/>
      <c r="I138" s="22" t="n">
        <v>0</v>
      </c>
      <c r="O138" s="2"/>
      <c r="P138" s="0" t="s">
        <v>318</v>
      </c>
      <c r="R138" s="0" t="n">
        <f aca="false">DR352</f>
        <v>0.297092855329227</v>
      </c>
      <c r="S138" s="0" t="n">
        <f aca="false">DR366</f>
        <v>36.5523303864436</v>
      </c>
      <c r="T138" s="0" t="n">
        <f aca="false">DS366</f>
        <v>3.23916188393795</v>
      </c>
      <c r="U138" s="0" t="n">
        <f aca="false">DR369</f>
        <v>36.5523303864436</v>
      </c>
      <c r="V138" s="0" t="n">
        <f aca="false">DS369</f>
        <v>3.23916188393795</v>
      </c>
      <c r="W138" s="0" t="n">
        <f aca="false">DR368</f>
        <v>36.5523303864436</v>
      </c>
      <c r="X138" s="0" t="n">
        <f aca="false">DS368</f>
        <v>3.23916188393795</v>
      </c>
      <c r="Y138" s="0" t="n">
        <f aca="false">DR370</f>
        <v>36.5523303864436</v>
      </c>
      <c r="Z138" s="0" t="n">
        <f aca="false">DS370</f>
        <v>3.23916188393795</v>
      </c>
      <c r="AA138" s="0" t="n">
        <f aca="false">DR367</f>
        <v>36.5523303864436</v>
      </c>
      <c r="AB138" s="0" t="n">
        <f aca="false">DS367</f>
        <v>3.23916188393795</v>
      </c>
      <c r="AC138" s="39"/>
      <c r="AD138" s="22"/>
      <c r="AE138" s="22"/>
      <c r="AF138" s="22"/>
      <c r="AG138" s="22"/>
      <c r="AH138" s="22"/>
      <c r="AI138" s="22"/>
      <c r="AJ138" s="22"/>
      <c r="AK138" s="22"/>
      <c r="AL138" s="22"/>
      <c r="BD138" s="2" t="s">
        <v>82</v>
      </c>
      <c r="BE138" s="8"/>
      <c r="BF138" s="8" t="n">
        <v>39.9963150223595</v>
      </c>
      <c r="BG138" s="8" t="n">
        <v>40.4667860464016</v>
      </c>
      <c r="BH138" s="8" t="n">
        <v>40.4667860464016</v>
      </c>
      <c r="BI138" s="16" t="n">
        <v>2.87121125667452</v>
      </c>
      <c r="BJ138" s="8" t="n">
        <v>1.52762990087134</v>
      </c>
      <c r="BK138" s="16" t="n">
        <v>2.48979141903991</v>
      </c>
      <c r="BL138" s="8" t="n">
        <v>8.08</v>
      </c>
      <c r="BM138" s="8" t="n">
        <v>1.52762990087134</v>
      </c>
      <c r="BN138" s="8" t="n">
        <v>1.57978359661681</v>
      </c>
      <c r="BO138" s="16" t="n">
        <v>2.87121125667452</v>
      </c>
      <c r="BP138" s="16"/>
      <c r="BX138" s="0" t="n">
        <v>39.4286270391519</v>
      </c>
      <c r="BZ138" s="0" t="n">
        <v>2.5381406092624</v>
      </c>
      <c r="CA138" s="0" t="n">
        <v>1.09691001300806</v>
      </c>
      <c r="CB138" s="0" t="n">
        <v>39.1244840833802</v>
      </c>
      <c r="CC138" s="0" t="n">
        <v>39.2951320767752</v>
      </c>
      <c r="CD138" s="0" t="n">
        <v>0.170647993395001</v>
      </c>
      <c r="CE138" s="20" t="n">
        <f aca="false">(CD138)^2</f>
        <v>0.0291207376497402</v>
      </c>
      <c r="CG138" s="0" t="n">
        <v>2.5381406092624</v>
      </c>
      <c r="CH138" s="0" t="n">
        <v>1.09691001300806</v>
      </c>
      <c r="CI138" s="0" t="n">
        <v>39.7619018743642</v>
      </c>
      <c r="CJ138" s="0" t="n">
        <v>39.8338814731209</v>
      </c>
      <c r="CK138" s="0" t="n">
        <v>0.0719795987566769</v>
      </c>
      <c r="CL138" s="20" t="n">
        <f aca="false">(CK138)^2</f>
        <v>0.00518106263717221</v>
      </c>
      <c r="CN138" s="0" t="n">
        <v>2.5381406092624</v>
      </c>
      <c r="CO138" s="0" t="n">
        <v>1.09691001300806</v>
      </c>
      <c r="CP138" s="0" t="n">
        <v>39.4286270391519</v>
      </c>
      <c r="CQ138" s="0" t="n">
        <v>39.7495605874209</v>
      </c>
      <c r="CR138" s="0" t="n">
        <v>0.320933548268997</v>
      </c>
      <c r="CS138" s="20" t="n">
        <f aca="false">(CR138)^2</f>
        <v>0.102998342404528</v>
      </c>
      <c r="CU138" s="0" t="n">
        <v>39.0423920343584</v>
      </c>
      <c r="CV138" s="0" t="n">
        <v>39.4034270320662</v>
      </c>
      <c r="CW138" s="0" t="n">
        <v>39.4843141944881</v>
      </c>
      <c r="CX138" s="0" t="n">
        <v>0.0808871624219449</v>
      </c>
      <c r="CY138" s="20" t="n">
        <f aca="false">(CX138)^2</f>
        <v>0.0065427330446741</v>
      </c>
      <c r="DC138" s="0" t="n">
        <v>1.50379068305718</v>
      </c>
      <c r="DD138" s="0" t="n">
        <v>1.78422575681948</v>
      </c>
      <c r="DE138" s="0" t="e">
        <v>#VALUE!</v>
      </c>
      <c r="DF138" s="0" t="n">
        <v>0</v>
      </c>
      <c r="DG138" s="0" t="e">
        <v>#VALUE!</v>
      </c>
      <c r="DJ138" s="0" t="n">
        <v>1.50379068305718</v>
      </c>
      <c r="DK138" s="0" t="n">
        <v>1.78422575681948</v>
      </c>
      <c r="DL138" s="0" t="n">
        <v>158.367464555243</v>
      </c>
      <c r="DM138" s="0" t="n">
        <v>40.3643638589132</v>
      </c>
      <c r="DN138" s="0" t="n">
        <v>-118.00310069633</v>
      </c>
      <c r="DQ138" s="0" t="n">
        <v>1.50379068305718</v>
      </c>
      <c r="DR138" s="0" t="n">
        <v>1.78422575681948</v>
      </c>
      <c r="DS138" s="0" t="n">
        <v>162.462278349312</v>
      </c>
      <c r="DT138" s="0" t="n">
        <v>41.0286745143046</v>
      </c>
      <c r="DU138" s="0" t="n">
        <v>-121.433603835007</v>
      </c>
      <c r="DX138" s="0" t="n">
        <v>1.50379068305718</v>
      </c>
      <c r="DY138" s="0" t="n">
        <v>1.78422575681948</v>
      </c>
      <c r="DZ138" s="0" t="n">
        <v>158.860443219874</v>
      </c>
      <c r="EA138" s="0" t="n">
        <v>40.3849932800756</v>
      </c>
      <c r="EB138" s="0" t="n">
        <v>-118.475449939799</v>
      </c>
    </row>
    <row r="139" customFormat="false" ht="12.8" hidden="false" customHeight="false" outlineLevel="0" collapsed="false">
      <c r="A139" s="0" t="s">
        <v>319</v>
      </c>
      <c r="B139" s="0" t="n">
        <f aca="false">CR424</f>
        <v>0.447792645369926</v>
      </c>
      <c r="C139" s="0" t="n">
        <f aca="false">CO381</f>
        <v>38.2244964172077</v>
      </c>
      <c r="D139" s="0" t="n">
        <f aca="false">CP381</f>
        <v>0.717959218374604</v>
      </c>
      <c r="E139" s="0" t="n">
        <f aca="false">CO382</f>
        <v>0.709454264634644</v>
      </c>
      <c r="F139" s="0" t="n">
        <f aca="false">CP382</f>
        <v>0.266072389491026</v>
      </c>
      <c r="G139" s="22" t="n">
        <v>0</v>
      </c>
      <c r="H139" s="22"/>
      <c r="I139" s="22" t="n">
        <v>0</v>
      </c>
      <c r="O139" s="2"/>
      <c r="P139" s="0" t="s">
        <v>320</v>
      </c>
      <c r="R139" s="0" t="n">
        <f aca="false">DY352</f>
        <v>0.313609061459804</v>
      </c>
      <c r="S139" s="0" t="n">
        <f aca="false">DY366</f>
        <v>32.3898290200825</v>
      </c>
      <c r="T139" s="0" t="n">
        <f aca="false">DZ366</f>
        <v>3.41923577129596</v>
      </c>
      <c r="U139" s="0" t="n">
        <f aca="false">DY369</f>
        <v>32.3898290200825</v>
      </c>
      <c r="V139" s="0" t="n">
        <f aca="false">DZ369</f>
        <v>3.41923577129596</v>
      </c>
      <c r="W139" s="0" t="n">
        <f aca="false">DY368</f>
        <v>32.3898290200825</v>
      </c>
      <c r="X139" s="0" t="n">
        <f aca="false">DZ368</f>
        <v>3.41923577129596</v>
      </c>
      <c r="Y139" s="0" t="n">
        <f aca="false">DY370</f>
        <v>32.3898290200825</v>
      </c>
      <c r="Z139" s="0" t="n">
        <f aca="false">DZ370</f>
        <v>3.41923577129596</v>
      </c>
      <c r="AA139" s="0" t="n">
        <f aca="false">DY367</f>
        <v>32.3898290200825</v>
      </c>
      <c r="AB139" s="0" t="n">
        <f aca="false">DZ367</f>
        <v>3.41923577129596</v>
      </c>
      <c r="AC139" s="39"/>
      <c r="AD139" s="22"/>
      <c r="AE139" s="22"/>
      <c r="AF139" s="22"/>
      <c r="AG139" s="22"/>
      <c r="AH139" s="22"/>
      <c r="AI139" s="22"/>
      <c r="AJ139" s="22"/>
      <c r="AK139" s="22"/>
      <c r="AL139" s="22"/>
      <c r="BD139" s="2" t="s">
        <v>85</v>
      </c>
      <c r="BE139" s="8"/>
      <c r="BF139" s="8" t="n">
        <v>40.3308782653967</v>
      </c>
      <c r="BG139" s="8" t="n">
        <v>40.6750396842358</v>
      </c>
      <c r="BH139" s="8" t="n">
        <v>40.6750396842358</v>
      </c>
      <c r="BI139" s="16" t="n">
        <v>2.83671772153776</v>
      </c>
      <c r="BJ139" s="8" t="n">
        <v>1.54530711646582</v>
      </c>
      <c r="BK139" s="16" t="n">
        <v>2.53264650264469</v>
      </c>
      <c r="BL139" s="8" t="n">
        <v>8.36</v>
      </c>
      <c r="BM139" s="8" t="n">
        <v>1.54530711646582</v>
      </c>
      <c r="BN139" s="8" t="n">
        <v>1.41497334797082</v>
      </c>
      <c r="BO139" s="16" t="n">
        <v>2.83671772153776</v>
      </c>
      <c r="BP139" s="16"/>
      <c r="BX139" s="0" t="n">
        <v>39.8343934970301</v>
      </c>
      <c r="BZ139" s="0" t="n">
        <v>2.37977395062333</v>
      </c>
      <c r="CA139" s="0" t="n">
        <v>1.28330122870355</v>
      </c>
      <c r="CB139" s="0" t="n">
        <v>39.4879291963217</v>
      </c>
      <c r="CC139" s="0" t="n">
        <v>39.0423920343584</v>
      </c>
      <c r="CD139" s="0" t="n">
        <v>-0.445537161963351</v>
      </c>
      <c r="CE139" s="20" t="n">
        <f aca="false">(CD139)^2</f>
        <v>0.198503362690357</v>
      </c>
      <c r="CG139" s="0" t="n">
        <v>2.37977395062333</v>
      </c>
      <c r="CH139" s="0" t="n">
        <v>1.28330122870355</v>
      </c>
      <c r="CI139" s="0" t="n">
        <v>40.0325376441828</v>
      </c>
      <c r="CJ139" s="0" t="n">
        <v>39.4843141944881</v>
      </c>
      <c r="CK139" s="0" t="n">
        <v>-0.54822344969466</v>
      </c>
      <c r="CL139" s="20" t="n">
        <f aca="false">(CK139)^2</f>
        <v>0.300548950795114</v>
      </c>
      <c r="CN139" s="0" t="n">
        <v>2.37977395062333</v>
      </c>
      <c r="CO139" s="0" t="n">
        <v>1.28330122870355</v>
      </c>
      <c r="CP139" s="0" t="n">
        <v>39.8343934970301</v>
      </c>
      <c r="CQ139" s="0" t="n">
        <v>39.4843141944881</v>
      </c>
      <c r="CR139" s="0" t="n">
        <v>-0.350079302542042</v>
      </c>
      <c r="CS139" s="20" t="n">
        <f aca="false">(CR139)^2</f>
        <v>0.122555518068323</v>
      </c>
      <c r="CU139" s="0" t="n">
        <v>39.7584397069598</v>
      </c>
      <c r="CV139" s="0" t="n">
        <v>40.0464316725194</v>
      </c>
      <c r="CW139" s="0" t="n">
        <v>39.9044887603007</v>
      </c>
      <c r="CX139" s="0" t="n">
        <v>-0.141942912218695</v>
      </c>
      <c r="CY139" s="20" t="n">
        <f aca="false">(CX139)^2</f>
        <v>0.0201477903291243</v>
      </c>
      <c r="DC139" s="0" t="n">
        <v>1.24303804868629</v>
      </c>
      <c r="DD139" s="0" t="n">
        <v>1.79879437718644</v>
      </c>
      <c r="DE139" s="0" t="e">
        <v>#VALUE!</v>
      </c>
      <c r="DF139" s="0" t="n">
        <v>0</v>
      </c>
      <c r="DG139" s="0" t="e">
        <v>#VALUE!</v>
      </c>
      <c r="DJ139" s="0" t="n">
        <v>1.24303804868629</v>
      </c>
      <c r="DK139" s="0" t="n">
        <v>1.79879437718644</v>
      </c>
      <c r="DL139" s="0" t="n">
        <v>149.277216228873</v>
      </c>
      <c r="DM139" s="0" t="n">
        <v>39.8907352023789</v>
      </c>
      <c r="DN139" s="0" t="n">
        <v>-109.386481026494</v>
      </c>
      <c r="DQ139" s="0" t="n">
        <v>1.24303804868629</v>
      </c>
      <c r="DR139" s="0" t="n">
        <v>1.79879437718644</v>
      </c>
      <c r="DS139" s="0" t="n">
        <v>153.134978333315</v>
      </c>
      <c r="DT139" s="0" t="n">
        <v>40.3666338830954</v>
      </c>
      <c r="DU139" s="0" t="n">
        <v>-112.768344450219</v>
      </c>
      <c r="DX139" s="0" t="n">
        <v>1.24303804868629</v>
      </c>
      <c r="DY139" s="0" t="n">
        <v>1.79879437718644</v>
      </c>
      <c r="DZ139" s="0" t="n">
        <v>149.739932110211</v>
      </c>
      <c r="EA139" s="0" t="n">
        <v>40.0674853105121</v>
      </c>
      <c r="EB139" s="0" t="n">
        <v>-109.672446799699</v>
      </c>
    </row>
    <row r="140" customFormat="false" ht="12.8" hidden="false" customHeight="false" outlineLevel="0" collapsed="false">
      <c r="G140" s="22"/>
      <c r="H140" s="22"/>
      <c r="I140" s="22"/>
      <c r="O140" s="2"/>
      <c r="AC140" s="39"/>
      <c r="AD140" s="22"/>
      <c r="AE140" s="22"/>
      <c r="AF140" s="22"/>
      <c r="AG140" s="22"/>
      <c r="AH140" s="22"/>
      <c r="AI140" s="22"/>
      <c r="AJ140" s="22"/>
      <c r="AK140" s="22"/>
      <c r="AL140" s="22"/>
      <c r="BD140" s="2" t="s">
        <v>89</v>
      </c>
      <c r="BE140" s="8"/>
      <c r="BF140" s="8" t="n">
        <v>40.5363222856562</v>
      </c>
      <c r="BG140" s="8" t="n">
        <v>40.8519069419647</v>
      </c>
      <c r="BH140" s="8" t="n">
        <v>40.8519069419647</v>
      </c>
      <c r="BI140" s="16" t="n">
        <v>2.65881683983858</v>
      </c>
      <c r="BJ140" s="8" t="n">
        <v>1.53781909507327</v>
      </c>
      <c r="BK140" s="16" t="n">
        <v>2.34558873592099</v>
      </c>
      <c r="BL140" s="8" t="n">
        <v>8.25</v>
      </c>
      <c r="BM140" s="8" t="n">
        <v>1.53781909507327</v>
      </c>
      <c r="BN140" s="8" t="n">
        <v>2.03742649794062</v>
      </c>
      <c r="BO140" s="16" t="n">
        <v>2.65881683983858</v>
      </c>
      <c r="BP140" s="16"/>
      <c r="BX140" s="0" t="n">
        <v>39.8348652692357</v>
      </c>
      <c r="BZ140" s="0" t="n">
        <v>2.77079593079515</v>
      </c>
      <c r="CA140" s="0" t="n">
        <v>1.23552844690755</v>
      </c>
      <c r="CB140" s="0" t="n">
        <v>39.5802887046729</v>
      </c>
      <c r="CC140" s="0" t="n">
        <v>39.7584397069598</v>
      </c>
      <c r="CD140" s="0" t="n">
        <v>0.178151002286924</v>
      </c>
      <c r="CE140" s="20" t="n">
        <f aca="false">(CD140)^2</f>
        <v>0.0317377796158357</v>
      </c>
      <c r="CG140" s="0" t="n">
        <v>2.77079593079515</v>
      </c>
      <c r="CH140" s="0" t="n">
        <v>1.23552844690755</v>
      </c>
      <c r="CI140" s="0" t="n">
        <v>40.1200831516044</v>
      </c>
      <c r="CJ140" s="0" t="n">
        <v>40.1263375099171</v>
      </c>
      <c r="CK140" s="0" t="n">
        <v>0.00625435831274501</v>
      </c>
      <c r="CL140" s="20" t="n">
        <f aca="false">(CK140)^2</f>
        <v>3.91169979042026E-005</v>
      </c>
      <c r="CN140" s="0" t="n">
        <v>2.77079593079515</v>
      </c>
      <c r="CO140" s="0" t="n">
        <v>1.23552844690755</v>
      </c>
      <c r="CP140" s="0" t="n">
        <v>39.8348652692357</v>
      </c>
      <c r="CQ140" s="0" t="n">
        <v>39.9044887603007</v>
      </c>
      <c r="CR140" s="0" t="n">
        <v>0.069623491065002</v>
      </c>
      <c r="CS140" s="20" t="n">
        <f aca="false">(CR140)^2</f>
        <v>0.00484743050807841</v>
      </c>
      <c r="CU140" s="0" t="n">
        <v>39.0217644408478</v>
      </c>
      <c r="CV140" s="0" t="n">
        <v>39.3849036308232</v>
      </c>
      <c r="CW140" s="0" t="n">
        <v>39.4018526150208</v>
      </c>
      <c r="CX140" s="0" t="n">
        <v>0.0169489841976258</v>
      </c>
      <c r="CY140" s="20" t="n">
        <f aca="false">(CX140)^2</f>
        <v>0.000287268065331369</v>
      </c>
      <c r="DC140" s="0" t="n">
        <v>1.3096301674259</v>
      </c>
      <c r="DD140" s="0" t="n">
        <v>1.83140139602582</v>
      </c>
      <c r="DE140" s="0" t="e">
        <v>#VALUE!</v>
      </c>
      <c r="DF140" s="0" t="n">
        <v>0</v>
      </c>
      <c r="DG140" s="0" t="e">
        <v>#VALUE!</v>
      </c>
      <c r="DJ140" s="0" t="n">
        <v>1.3096301674259</v>
      </c>
      <c r="DK140" s="0" t="n">
        <v>1.83140139602582</v>
      </c>
      <c r="DL140" s="0" t="n">
        <v>152.940105543613</v>
      </c>
      <c r="DM140" s="0" t="n">
        <v>39.8855611883631</v>
      </c>
      <c r="DN140" s="0" t="n">
        <v>-113.05454435525</v>
      </c>
      <c r="DQ140" s="0" t="n">
        <v>1.3096301674259</v>
      </c>
      <c r="DR140" s="0" t="n">
        <v>1.83140139602582</v>
      </c>
      <c r="DS140" s="0" t="n">
        <v>156.893386941896</v>
      </c>
      <c r="DT140" s="0" t="n">
        <v>40.3210963526474</v>
      </c>
      <c r="DU140" s="0" t="n">
        <v>-116.572290589248</v>
      </c>
      <c r="DX140" s="0" t="n">
        <v>1.3096301674259</v>
      </c>
      <c r="DY140" s="0" t="n">
        <v>1.83140139602582</v>
      </c>
      <c r="DZ140" s="0" t="n">
        <v>153.415015726094</v>
      </c>
      <c r="EA140" s="0" t="n">
        <v>40.3210963526474</v>
      </c>
      <c r="EB140" s="0" t="n">
        <v>-113.093919373447</v>
      </c>
    </row>
    <row r="141" customFormat="false" ht="12.8" hidden="false" customHeight="false" outlineLevel="0" collapsed="false">
      <c r="A141" s="0" t="s">
        <v>321</v>
      </c>
      <c r="B141" s="0" t="n">
        <f aca="false">CD494</f>
        <v>0.353312848757567</v>
      </c>
      <c r="C141" s="0" t="n">
        <f aca="false">CA451</f>
        <v>37.4722437423564</v>
      </c>
      <c r="D141" s="0" t="n">
        <f aca="false">CB451</f>
        <v>0.423875875631941</v>
      </c>
      <c r="E141" s="0" t="n">
        <f aca="false">CA452</f>
        <v>1.1992092723776</v>
      </c>
      <c r="F141" s="0" t="n">
        <f aca="false">CB452</f>
        <v>0.21175132544547</v>
      </c>
      <c r="G141" s="22" t="n">
        <v>0</v>
      </c>
      <c r="H141" s="22"/>
      <c r="I141" s="22" t="n">
        <v>0</v>
      </c>
      <c r="O141" s="2"/>
      <c r="AC141" s="39"/>
      <c r="AJ141" s="13"/>
      <c r="AK141" s="13"/>
      <c r="AL141" s="13"/>
      <c r="BD141" s="2" t="s">
        <v>101</v>
      </c>
      <c r="BE141" s="8"/>
      <c r="BF141" s="8" t="n">
        <v>39.7119114592515</v>
      </c>
      <c r="BG141" s="8" t="n">
        <v>40.3675165950432</v>
      </c>
      <c r="BH141" s="8" t="n">
        <v>40.3675165950432</v>
      </c>
      <c r="BI141" s="16" t="n">
        <v>2.39301947013859</v>
      </c>
      <c r="BJ141" s="8" t="n">
        <v>1.51719589794997</v>
      </c>
      <c r="BK141" s="16" t="n">
        <v>1.56423218661249</v>
      </c>
      <c r="BL141" s="8" t="n">
        <v>8.07</v>
      </c>
      <c r="BM141" s="8" t="n">
        <v>1.51719589794997</v>
      </c>
      <c r="BN141" s="8" t="n">
        <v>2.26481782300954</v>
      </c>
      <c r="BO141" s="16" t="n">
        <v>2.39301947013859</v>
      </c>
      <c r="BP141" s="16"/>
      <c r="BX141" s="0" t="n">
        <v>39.543938563428</v>
      </c>
      <c r="BZ141" s="0" t="n">
        <v>1.8572240799594</v>
      </c>
      <c r="CA141" s="0" t="n">
        <v>1.22788670461367</v>
      </c>
      <c r="CB141" s="0" t="n">
        <v>39.0783237231788</v>
      </c>
      <c r="CC141" s="0" t="n">
        <v>39.0217644408478</v>
      </c>
      <c r="CD141" s="0" t="n">
        <v>-0.0565592823309729</v>
      </c>
      <c r="CE141" s="20" t="n">
        <f aca="false">(CD141)^2</f>
        <v>0.0031989524177947</v>
      </c>
      <c r="CG141" s="0" t="n">
        <v>1.8572240799594</v>
      </c>
      <c r="CH141" s="0" t="n">
        <v>1.22788670461367</v>
      </c>
      <c r="CI141" s="0" t="n">
        <v>39.6970165983548</v>
      </c>
      <c r="CJ141" s="0" t="n">
        <v>39.7989606416723</v>
      </c>
      <c r="CK141" s="0" t="n">
        <v>0.101944043317459</v>
      </c>
      <c r="CL141" s="20" t="n">
        <f aca="false">(CK141)^2</f>
        <v>0.010392587967912</v>
      </c>
      <c r="CN141" s="0" t="n">
        <v>1.8572240799594</v>
      </c>
      <c r="CO141" s="0" t="n">
        <v>1.22788670461367</v>
      </c>
      <c r="CP141" s="0" t="n">
        <v>39.543938563428</v>
      </c>
      <c r="CQ141" s="0" t="n">
        <v>39.4018526150208</v>
      </c>
      <c r="CR141" s="0" t="n">
        <v>-0.142085948407235</v>
      </c>
      <c r="CS141" s="20" t="n">
        <f aca="false">(CR141)^2</f>
        <v>0.0201884167347835</v>
      </c>
      <c r="CY141" s="0" t="n">
        <f aca="false">SQRT(SUM(CY102:CY140)/39)</f>
        <v>0.226119953154202</v>
      </c>
      <c r="DC141" s="0" t="n">
        <v>1.54900326202579</v>
      </c>
      <c r="DD141" s="0" t="n">
        <v>2.10676191127965</v>
      </c>
      <c r="DE141" s="0" t="e">
        <v>#VALUE!</v>
      </c>
      <c r="DF141" s="0" t="n">
        <v>0</v>
      </c>
      <c r="DG141" s="0" t="e">
        <v>#VALUE!</v>
      </c>
      <c r="DJ141" s="0" t="n">
        <v>1.54900326202579</v>
      </c>
      <c r="DK141" s="0" t="n">
        <v>2.10676191127965</v>
      </c>
      <c r="DL141" s="0" t="n">
        <v>171.946442549006</v>
      </c>
      <c r="DM141" s="0" t="n">
        <v>40.8602418490241</v>
      </c>
      <c r="DN141" s="0" t="n">
        <v>-131.086200699982</v>
      </c>
      <c r="DQ141" s="0" t="n">
        <v>1.54900326202579</v>
      </c>
      <c r="DR141" s="0" t="n">
        <v>2.10676191127965</v>
      </c>
      <c r="DS141" s="0" t="n">
        <v>176.395363245467</v>
      </c>
      <c r="DT141" s="0" t="n">
        <v>41.2889669095893</v>
      </c>
      <c r="DU141" s="0" t="n">
        <v>-135.106396335878</v>
      </c>
      <c r="DX141" s="0" t="n">
        <v>1.54900326202579</v>
      </c>
      <c r="DY141" s="0" t="n">
        <v>2.10676191127965</v>
      </c>
      <c r="DZ141" s="0" t="n">
        <v>172.484627642946</v>
      </c>
      <c r="EA141" s="0" t="n">
        <v>40.7432526092177</v>
      </c>
      <c r="EB141" s="0" t="n">
        <v>-131.741375033728</v>
      </c>
    </row>
    <row r="142" customFormat="false" ht="12.8" hidden="false" customHeight="false" outlineLevel="0" collapsed="false">
      <c r="A142" s="0" t="s">
        <v>322</v>
      </c>
      <c r="B142" s="0" t="n">
        <f aca="false">CK494</f>
        <v>0.397247758850825</v>
      </c>
      <c r="C142" s="0" t="n">
        <f aca="false">CH451</f>
        <v>38.6743839713158</v>
      </c>
      <c r="D142" s="0" t="n">
        <f aca="false">CI451</f>
        <v>0.476585389458225</v>
      </c>
      <c r="E142" s="0" t="n">
        <f aca="false">CH452</f>
        <v>0.831104775191189</v>
      </c>
      <c r="F142" s="0" t="n">
        <f aca="false">CI452</f>
        <v>0.238082876868777</v>
      </c>
      <c r="G142" s="22" t="n">
        <v>0</v>
      </c>
      <c r="H142" s="22"/>
      <c r="I142" s="22" t="n">
        <v>0</v>
      </c>
      <c r="O142" s="2"/>
      <c r="P142" s="0" t="s">
        <v>309</v>
      </c>
      <c r="R142" s="0" t="n">
        <f aca="false">DK402</f>
        <v>0.405995175901459</v>
      </c>
      <c r="S142" s="0" t="n">
        <f aca="false">DK416</f>
        <v>37.6516089727899</v>
      </c>
      <c r="T142" s="0" t="n">
        <f aca="false">DL416</f>
        <v>1.31668334226803</v>
      </c>
      <c r="U142" s="0" t="n">
        <f aca="false">DK417</f>
        <v>37.6820701524466</v>
      </c>
      <c r="V142" s="0" t="n">
        <f aca="false">DL417</f>
        <v>1.32395131980667</v>
      </c>
      <c r="AC142" s="39"/>
      <c r="BD142" s="2" t="s">
        <v>104</v>
      </c>
      <c r="BE142" s="8"/>
      <c r="BF142" s="8" t="n">
        <v>39.8158956218551</v>
      </c>
      <c r="BG142" s="8" t="n">
        <v>40.2813702480347</v>
      </c>
      <c r="BH142" s="8" t="n">
        <v>40.2813702480347</v>
      </c>
      <c r="BI142" s="16" t="n">
        <v>2.33598198537144</v>
      </c>
      <c r="BJ142" s="8" t="n">
        <v>1.32221929473392</v>
      </c>
      <c r="BK142" s="16" t="n">
        <v>1.84744322960342</v>
      </c>
      <c r="BL142" s="8" t="n">
        <v>8.07</v>
      </c>
      <c r="BM142" s="8" t="n">
        <v>1.32221929473392</v>
      </c>
      <c r="BN142" s="8" t="n">
        <v>1.69019608002851</v>
      </c>
      <c r="BO142" s="16" t="n">
        <v>2.33598198537144</v>
      </c>
      <c r="BP142" s="16"/>
      <c r="CE142" s="0" t="n">
        <f aca="false">SQRT(SUM(CE103:CE141)/39)</f>
        <v>0.276062040988976</v>
      </c>
      <c r="CL142" s="0" t="n">
        <f aca="false">SQRT(SUM(CL103:CL141)/39)</f>
        <v>0.336791533920666</v>
      </c>
      <c r="CS142" s="0" t="n">
        <f aca="false">SQRT(SUM(CS103:CS141)/39)</f>
        <v>0.329224787689627</v>
      </c>
      <c r="CU142" s="0" t="s">
        <v>323</v>
      </c>
      <c r="DC142" s="0" t="n">
        <v>1.38021124171161</v>
      </c>
      <c r="DD142" s="0" t="n">
        <v>1.87422012754356</v>
      </c>
      <c r="DE142" s="0" t="e">
        <v>#VALUE!</v>
      </c>
      <c r="DF142" s="0" t="n">
        <v>0</v>
      </c>
      <c r="DG142" s="0" t="e">
        <v>#VALUE!</v>
      </c>
      <c r="DJ142" s="0" t="n">
        <v>1.38021124171161</v>
      </c>
      <c r="DK142" s="0" t="n">
        <v>1.87422012754356</v>
      </c>
      <c r="DL142" s="0" t="n">
        <v>157.127348972421</v>
      </c>
      <c r="DM142" s="0" t="n">
        <v>39.5307026003539</v>
      </c>
      <c r="DN142" s="0" t="n">
        <v>-117.596646372067</v>
      </c>
      <c r="DQ142" s="0" t="n">
        <v>1.38021124171161</v>
      </c>
      <c r="DR142" s="0" t="n">
        <v>1.87422012754356</v>
      </c>
      <c r="DS142" s="0" t="n">
        <v>161.189823551576</v>
      </c>
      <c r="DT142" s="0" t="n">
        <v>40.3112205857885</v>
      </c>
      <c r="DU142" s="0" t="n">
        <v>-120.878602965788</v>
      </c>
      <c r="DX142" s="0" t="n">
        <v>1.38021124171161</v>
      </c>
      <c r="DY142" s="0" t="n">
        <v>1.87422012754356</v>
      </c>
      <c r="DZ142" s="0" t="n">
        <v>157.616199108568</v>
      </c>
      <c r="EA142" s="0" t="n">
        <v>39.8411325938</v>
      </c>
      <c r="EB142" s="0" t="n">
        <v>-117.775066514768</v>
      </c>
    </row>
    <row r="143" customFormat="false" ht="13.2" hidden="false" customHeight="false" outlineLevel="0" collapsed="false">
      <c r="A143" s="0" t="s">
        <v>324</v>
      </c>
      <c r="B143" s="0" t="n">
        <f aca="false">CR494</f>
        <v>0.383035486576419</v>
      </c>
      <c r="C143" s="0" t="n">
        <f aca="false">CO451</f>
        <v>37.9322220163849</v>
      </c>
      <c r="D143" s="0" t="n">
        <f aca="false">CP451</f>
        <v>0.459534666915251</v>
      </c>
      <c r="E143" s="0" t="n">
        <f aca="false">CO452</f>
        <v>1.10775660010363</v>
      </c>
      <c r="F143" s="0" t="n">
        <f aca="false">CP452</f>
        <v>0.229565022218769</v>
      </c>
      <c r="G143" s="22" t="n">
        <v>0</v>
      </c>
      <c r="H143" s="22"/>
      <c r="I143" s="22" t="n">
        <v>0</v>
      </c>
      <c r="O143" s="2"/>
      <c r="P143" s="0" t="s">
        <v>317</v>
      </c>
      <c r="R143" s="0" t="n">
        <f aca="false">DR402</f>
        <v>0.344966197809402</v>
      </c>
      <c r="S143" s="0" t="n">
        <f aca="false">DR416</f>
        <v>38.8101212876279</v>
      </c>
      <c r="T143" s="0" t="n">
        <f aca="false">DS416</f>
        <v>1.11876020519865</v>
      </c>
      <c r="U143" s="0" t="n">
        <f aca="false">DR417</f>
        <v>38.8101212876279</v>
      </c>
      <c r="V143" s="0" t="n">
        <f aca="false">DS417</f>
        <v>1.11876020519865</v>
      </c>
      <c r="AC143" s="39"/>
      <c r="AF143" s="8"/>
      <c r="BD143" s="2" t="s">
        <v>107</v>
      </c>
      <c r="BE143" s="8"/>
      <c r="BF143" s="8" t="n">
        <v>39.9770046637507</v>
      </c>
      <c r="BG143" s="8" t="n">
        <v>40.5618565782759</v>
      </c>
      <c r="BH143" s="8" t="n">
        <v>40.2717584423895</v>
      </c>
      <c r="BI143" s="16" t="n">
        <v>3.06174587184761</v>
      </c>
      <c r="BJ143" s="8" t="n">
        <v>1.23299611039215</v>
      </c>
      <c r="BK143" s="16" t="n">
        <v>1.70817954621746</v>
      </c>
      <c r="BL143" s="8" t="n">
        <v>8.27</v>
      </c>
      <c r="BM143" s="8" t="n">
        <v>1.23299611039215</v>
      </c>
      <c r="BN143" s="8" t="n">
        <v>1.83250891270624</v>
      </c>
      <c r="BO143" s="16" t="n">
        <v>3.06174587184761</v>
      </c>
      <c r="BP143" s="16"/>
      <c r="BS143" s="14"/>
      <c r="BZ143" s="14" t="s">
        <v>325</v>
      </c>
      <c r="CC143" s="13"/>
      <c r="CG143" s="14" t="s">
        <v>326</v>
      </c>
      <c r="CJ143" s="13"/>
      <c r="CK143" s="13"/>
      <c r="CN143" s="14" t="s">
        <v>327</v>
      </c>
      <c r="CU143" s="0" t="s">
        <v>78</v>
      </c>
      <c r="CV143" s="0" t="s">
        <v>79</v>
      </c>
      <c r="DC143" s="0" t="n">
        <v>1.23552844690755</v>
      </c>
      <c r="DD143" s="0" t="n">
        <v>1.7010708609064</v>
      </c>
      <c r="DE143" s="0" t="e">
        <v>#VALUE!</v>
      </c>
      <c r="DF143" s="0" t="n">
        <v>0</v>
      </c>
      <c r="DG143" s="0" t="e">
        <v>#VALUE!</v>
      </c>
      <c r="DJ143" s="0" t="n">
        <v>1.23552844690755</v>
      </c>
      <c r="DK143" s="0" t="n">
        <v>1.7010708609064</v>
      </c>
      <c r="DL143" s="0" t="n">
        <v>145.391524547458</v>
      </c>
      <c r="DM143" s="0" t="n">
        <v>39.7584397069598</v>
      </c>
      <c r="DN143" s="0" t="n">
        <v>-105.633084840498</v>
      </c>
      <c r="DQ143" s="0" t="n">
        <v>1.23552844690755</v>
      </c>
      <c r="DR143" s="0" t="n">
        <v>1.7010708609064</v>
      </c>
      <c r="DS143" s="0" t="n">
        <v>149.147957211231</v>
      </c>
      <c r="DT143" s="0" t="n">
        <v>40.1263375099171</v>
      </c>
      <c r="DU143" s="0" t="n">
        <v>-109.021619701314</v>
      </c>
      <c r="DX143" s="0" t="n">
        <v>1.23552844690755</v>
      </c>
      <c r="DY143" s="0" t="n">
        <v>1.7010708609064</v>
      </c>
      <c r="DZ143" s="0" t="n">
        <v>145.841304385569</v>
      </c>
      <c r="EA143" s="0" t="n">
        <v>39.9044887603007</v>
      </c>
      <c r="EB143" s="0" t="n">
        <v>-105.936815625268</v>
      </c>
    </row>
    <row r="144" customFormat="false" ht="12.8" hidden="false" customHeight="false" outlineLevel="0" collapsed="false">
      <c r="O144" s="2"/>
      <c r="P144" s="0" t="s">
        <v>319</v>
      </c>
      <c r="R144" s="0" t="n">
        <f aca="false">DY402</f>
        <v>0.43461832438516</v>
      </c>
      <c r="S144" s="0" t="n">
        <f aca="false">DY416</f>
        <v>38.904078459511</v>
      </c>
      <c r="T144" s="0" t="n">
        <f aca="false">DZ416</f>
        <v>1.40951110242078</v>
      </c>
      <c r="U144" s="0" t="n">
        <f aca="false">DY417</f>
        <v>38.904078459511</v>
      </c>
      <c r="V144" s="0" t="n">
        <f aca="false">DZ417</f>
        <v>1.40951110242078</v>
      </c>
      <c r="AC144" s="39"/>
      <c r="AF144" s="8"/>
      <c r="BD144" s="2" t="s">
        <v>110</v>
      </c>
      <c r="BE144" s="8"/>
      <c r="BF144" s="8" t="n">
        <v>39.0888685217564</v>
      </c>
      <c r="BG144" s="8" t="n">
        <v>39.807392282766</v>
      </c>
      <c r="BH144" s="8" t="n">
        <v>39.2678630647137</v>
      </c>
      <c r="BI144" s="16" t="n">
        <v>2.3701921055245</v>
      </c>
      <c r="BJ144" s="8" t="n">
        <v>1.23299611039215</v>
      </c>
      <c r="BK144" s="16" t="n">
        <v>1.57968225691357</v>
      </c>
      <c r="BL144" s="8" t="n">
        <v>7.89</v>
      </c>
      <c r="BM144" s="8" t="n">
        <v>1.23299611039215</v>
      </c>
      <c r="BN144" s="8" t="n">
        <v>1.79239168949825</v>
      </c>
      <c r="BO144" s="16" t="n">
        <v>2.3701921055245</v>
      </c>
      <c r="BP144" s="16"/>
      <c r="BZ144" s="0" t="s">
        <v>78</v>
      </c>
      <c r="CA144" s="0" t="s">
        <v>79</v>
      </c>
      <c r="CG144" s="0" t="s">
        <v>78</v>
      </c>
      <c r="CH144" s="0" t="s">
        <v>79</v>
      </c>
      <c r="CN144" s="0" t="s">
        <v>78</v>
      </c>
      <c r="CO144" s="0" t="s">
        <v>79</v>
      </c>
    </row>
    <row r="145" customFormat="false" ht="12.8" hidden="false" customHeight="false" outlineLevel="0" collapsed="false">
      <c r="A145" s="21" t="s">
        <v>328</v>
      </c>
      <c r="B145" s="0" t="n">
        <f aca="false">CY424</f>
        <v>0.259067114703249</v>
      </c>
      <c r="C145" s="0" t="n">
        <f aca="false">CV381</f>
        <v>1.68856933829021</v>
      </c>
      <c r="D145" s="0" t="n">
        <f aca="false">CW381</f>
        <v>0.438588248120442</v>
      </c>
      <c r="E145" s="0" t="n">
        <f aca="false">CV382</f>
        <v>0.728237192502976</v>
      </c>
      <c r="F145" s="0" t="n">
        <f aca="false">CW382</f>
        <v>0.319301629977701</v>
      </c>
      <c r="G145" s="22" t="n">
        <v>0</v>
      </c>
      <c r="H145" s="22"/>
      <c r="I145" s="22" t="n">
        <v>0</v>
      </c>
      <c r="O145" s="2"/>
      <c r="W145" s="22"/>
      <c r="X145" s="22"/>
      <c r="AC145" s="39"/>
      <c r="AF145" s="8"/>
      <c r="BD145" s="2" t="s">
        <v>116</v>
      </c>
      <c r="BE145" s="8"/>
      <c r="BF145" s="8" t="n">
        <v>40.3263420583806</v>
      </c>
      <c r="BG145" s="8" t="n">
        <v>40.3264007404092</v>
      </c>
      <c r="BH145" s="8" t="n">
        <v>40.3264007404092</v>
      </c>
      <c r="BI145" s="16" t="n">
        <v>3.01564094745514</v>
      </c>
      <c r="BJ145" s="8" t="n">
        <v>1.48572142648158</v>
      </c>
      <c r="BK145" s="16" t="n">
        <v>2.37246173690123</v>
      </c>
      <c r="BL145" s="8" t="n">
        <v>8.49</v>
      </c>
      <c r="BM145" s="8" t="n">
        <v>1.48572142648158</v>
      </c>
      <c r="BN145" s="8" t="n">
        <v>1.34242268082221</v>
      </c>
      <c r="BO145" s="16" t="n">
        <v>3.01564094745514</v>
      </c>
      <c r="BP145" s="16"/>
      <c r="CU145" s="0" t="s">
        <v>84</v>
      </c>
      <c r="DC145" s="14" t="s">
        <v>329</v>
      </c>
      <c r="DJ145" s="14" t="s">
        <v>330</v>
      </c>
      <c r="DQ145" s="14" t="s">
        <v>331</v>
      </c>
      <c r="DX145" s="14" t="s">
        <v>332</v>
      </c>
    </row>
    <row r="146" customFormat="false" ht="12.8" hidden="false" customHeight="false" outlineLevel="0" collapsed="false">
      <c r="A146" s="21" t="s">
        <v>333</v>
      </c>
      <c r="B146" s="0" t="n">
        <f aca="false">CY494</f>
        <v>0.221652949044314</v>
      </c>
      <c r="C146" s="0" t="n">
        <f aca="false">CV451</f>
        <v>0.326672748004514</v>
      </c>
      <c r="D146" s="0" t="n">
        <f aca="false">CW451</f>
        <v>0.375247853141957</v>
      </c>
      <c r="E146" s="0" t="n">
        <f aca="false">CV452</f>
        <v>1.21147947536406</v>
      </c>
      <c r="F146" s="0" t="n">
        <f aca="false">CW452</f>
        <v>0.273188467012815</v>
      </c>
      <c r="G146" s="22" t="n">
        <v>0</v>
      </c>
      <c r="H146" s="22"/>
      <c r="I146" s="22" t="n">
        <v>0</v>
      </c>
      <c r="O146" s="2"/>
      <c r="AC146" s="39"/>
      <c r="AF146" s="8"/>
      <c r="BD146" s="2" t="s">
        <v>128</v>
      </c>
      <c r="BE146" s="8"/>
      <c r="BF146" s="8" t="n">
        <v>39.8138398098754</v>
      </c>
      <c r="BG146" s="8" t="n">
        <v>40.2861528339909</v>
      </c>
      <c r="BH146" s="8" t="n">
        <v>39.8999512285901</v>
      </c>
      <c r="BI146" s="16" t="n">
        <v>2.78979408705346</v>
      </c>
      <c r="BJ146" s="8" t="n">
        <v>1.25527250510331</v>
      </c>
      <c r="BK146" s="16" t="n">
        <v>2.00306036143839</v>
      </c>
      <c r="BL146" s="8" t="n">
        <v>7.96</v>
      </c>
      <c r="BM146" s="8" t="n">
        <v>1.25527250510331</v>
      </c>
      <c r="BN146" s="8" t="n">
        <v>1.32221929473392</v>
      </c>
      <c r="BO146" s="16" t="n">
        <v>2.78979408705346</v>
      </c>
      <c r="BP146" s="16"/>
      <c r="BZ146" s="0" t="s">
        <v>84</v>
      </c>
      <c r="CG146" s="0" t="s">
        <v>84</v>
      </c>
      <c r="CN146" s="0" t="s">
        <v>84</v>
      </c>
      <c r="CU146" s="0" t="n">
        <f aca="false" t="array" ref="CU146:CV150">LINEST($BJ$95:$BJ$132 , $BO$53:$BO$90 , 1 , 1)</f>
        <v>-0.00376990711108772</v>
      </c>
      <c r="CV146" s="0" t="n">
        <v>2.71586433606135</v>
      </c>
      <c r="DC146" s="0" t="s">
        <v>78</v>
      </c>
      <c r="DD146" s="0" t="s">
        <v>79</v>
      </c>
      <c r="DJ146" s="0" t="s">
        <v>78</v>
      </c>
      <c r="DK146" s="0" t="s">
        <v>79</v>
      </c>
      <c r="DQ146" s="0" t="s">
        <v>78</v>
      </c>
      <c r="DR146" s="0" t="s">
        <v>79</v>
      </c>
      <c r="DX146" s="0" t="s">
        <v>78</v>
      </c>
      <c r="DY146" s="0" t="s">
        <v>79</v>
      </c>
    </row>
    <row r="147" customFormat="false" ht="12.8" hidden="false" customHeight="false" outlineLevel="0" collapsed="false">
      <c r="O147" s="2"/>
      <c r="P147" s="0" t="s">
        <v>321</v>
      </c>
      <c r="R147" s="0" t="n">
        <f aca="false">DK449</f>
        <v>0.374863375599774</v>
      </c>
      <c r="S147" s="0" t="n">
        <f aca="false">DK463</f>
        <v>38.4766638983449</v>
      </c>
      <c r="T147" s="0" t="n">
        <f aca="false">DL463</f>
        <v>0.612024083910637</v>
      </c>
      <c r="U147" s="0" t="n">
        <f aca="false">DK464</f>
        <v>38.425388588163</v>
      </c>
      <c r="V147" s="0" t="n">
        <f aca="false">DL464</f>
        <v>0.603466939477926</v>
      </c>
      <c r="AC147" s="39"/>
      <c r="AF147" s="8"/>
      <c r="BD147" s="2" t="s">
        <v>139</v>
      </c>
      <c r="BE147" s="8"/>
      <c r="BF147" s="8" t="n">
        <v>39.5808250944804</v>
      </c>
      <c r="BG147" s="8" t="n">
        <v>40.2880850465456</v>
      </c>
      <c r="BH147" s="8" t="n">
        <v>39.4996349548837</v>
      </c>
      <c r="BI147" s="16" t="n">
        <v>2.69731789498893</v>
      </c>
      <c r="BJ147" s="8" t="n">
        <v>1.39269695325967</v>
      </c>
      <c r="BK147" s="16" t="n">
        <v>2.15672838520209</v>
      </c>
      <c r="BL147" s="8" t="n">
        <v>8.02</v>
      </c>
      <c r="BM147" s="8" t="n">
        <v>1.39269695325967</v>
      </c>
      <c r="BN147" s="8" t="n">
        <v>1.55630250076729</v>
      </c>
      <c r="BO147" s="16" t="n">
        <v>2.69731789498893</v>
      </c>
      <c r="BP147" s="16"/>
      <c r="BZ147" s="0" t="n">
        <f aca="false" t="array" ref="BZ147:CB151">LINEST($BF$3:$BF$41 , $BI$53:$BJ$91 , 1 , 1)</f>
        <v>2.04055656410502</v>
      </c>
      <c r="CA147" s="0" t="n">
        <v>0.614660953158255</v>
      </c>
      <c r="CB147" s="0" t="n">
        <v>35.8416994123029</v>
      </c>
      <c r="CG147" s="0" t="n">
        <f aca="false" t="array" ref="CG147:CI151">LINEST($BG$3:$BG$41 , $BI$53:$BJ$91 , 1 , 1)</f>
        <v>1.76372272942815</v>
      </c>
      <c r="CH147" s="0" t="n">
        <v>0.32585969882725</v>
      </c>
      <c r="CI147" s="0" t="n">
        <v>37.2650488189149</v>
      </c>
      <c r="CN147" s="0" t="n">
        <f aca="false" t="array" ref="CN147:CP151">LINEST($BH$3:$BH$41 , $BI$53:$BJ$91 , 1 , 1)</f>
        <v>1.99912862203331</v>
      </c>
      <c r="CO147" s="0" t="n">
        <v>0.53507594205709</v>
      </c>
      <c r="CP147" s="0" t="n">
        <v>36.3347814469617</v>
      </c>
      <c r="CU147" s="0" t="n">
        <v>0.0354115228199632</v>
      </c>
      <c r="CV147" s="0" t="n">
        <v>0.282558487684138</v>
      </c>
    </row>
    <row r="148" customFormat="false" ht="12.8" hidden="false" customHeight="false" outlineLevel="0" collapsed="false">
      <c r="A148" s="0" t="s">
        <v>334</v>
      </c>
      <c r="B148" s="0" t="n">
        <f aca="false">CF636</f>
        <v>0.221081209201575</v>
      </c>
      <c r="C148" s="0" t="n">
        <f aca="false">CA592</f>
        <v>1.87424336219041</v>
      </c>
      <c r="D148" s="0" t="n">
        <f aca="false">CB592</f>
        <v>0.583629468444177</v>
      </c>
      <c r="E148" s="0" t="n">
        <f aca="false">CA594</f>
        <v>0.653198713416055</v>
      </c>
      <c r="F148" s="0" t="n">
        <f aca="false">CB594</f>
        <v>0.287810845159755</v>
      </c>
      <c r="G148" s="0" t="n">
        <f aca="false">CA595</f>
        <v>0.044296349131549</v>
      </c>
      <c r="I148" s="0" t="n">
        <f aca="false">CB595</f>
        <v>0.035211888980069</v>
      </c>
      <c r="J148" s="0" t="n">
        <f aca="false">CA593</f>
        <v>-0.262614488873107</v>
      </c>
      <c r="K148" s="0" t="n">
        <f aca="false">CB593</f>
        <v>0.095379982358375</v>
      </c>
      <c r="L148" s="0" t="n">
        <v>0</v>
      </c>
      <c r="M148" s="0" t="n">
        <v>0</v>
      </c>
      <c r="O148" s="2"/>
      <c r="P148" s="0" t="s">
        <v>322</v>
      </c>
      <c r="R148" s="0" t="n">
        <f aca="false">DR449</f>
        <v>0.345973619455267</v>
      </c>
      <c r="S148" s="0" t="n">
        <f aca="false">DR463</f>
        <v>39.6521682803336</v>
      </c>
      <c r="T148" s="0" t="n">
        <f aca="false">DS463</f>
        <v>0.564856961994675</v>
      </c>
      <c r="U148" s="0" t="n">
        <f aca="false">DR464</f>
        <v>39.6521682803336</v>
      </c>
      <c r="V148" s="0" t="n">
        <f aca="false">DS464</f>
        <v>0.564856961994675</v>
      </c>
      <c r="AC148" s="39"/>
      <c r="AF148" s="8"/>
      <c r="BD148" s="2" t="s">
        <v>142</v>
      </c>
      <c r="BE148" s="8"/>
      <c r="BF148" s="8" t="n">
        <v>40.3643638589132</v>
      </c>
      <c r="BG148" s="8" t="n">
        <v>41.0286745143046</v>
      </c>
      <c r="BH148" s="8" t="n">
        <v>40.3849932800756</v>
      </c>
      <c r="BI148" s="16" t="n">
        <v>2.87869411208692</v>
      </c>
      <c r="BJ148" s="8" t="n">
        <v>1.50379068305718</v>
      </c>
      <c r="BK148" s="16" t="n">
        <v>1.78422575681948</v>
      </c>
      <c r="BL148" s="8" t="n">
        <v>8.28</v>
      </c>
      <c r="BM148" s="8" t="n">
        <v>1.50379068305718</v>
      </c>
      <c r="BN148" s="8" t="n">
        <v>1.79239168949825</v>
      </c>
      <c r="BO148" s="16" t="n">
        <v>2.87869411208692</v>
      </c>
      <c r="BP148" s="16"/>
      <c r="BZ148" s="0" t="n">
        <v>0.427569645176809</v>
      </c>
      <c r="CA148" s="0" t="n">
        <v>0.207914474105837</v>
      </c>
      <c r="CB148" s="0" t="n">
        <v>0.479409493845342</v>
      </c>
      <c r="CG148" s="0" t="n">
        <v>0.539368131931278</v>
      </c>
      <c r="CH148" s="0" t="n">
        <v>0.262278772043244</v>
      </c>
      <c r="CI148" s="0" t="n">
        <v>0.604762770328455</v>
      </c>
      <c r="CN148" s="0" t="n">
        <v>0.489690048484452</v>
      </c>
      <c r="CO148" s="0" t="n">
        <v>0.23812178917286</v>
      </c>
      <c r="CP148" s="0" t="n">
        <v>0.549061564433446</v>
      </c>
      <c r="CU148" s="0" t="n">
        <v>0.000314726191354539</v>
      </c>
      <c r="CV148" s="0" t="n">
        <v>0.287628548851618</v>
      </c>
      <c r="DC148" s="0" t="s">
        <v>84</v>
      </c>
      <c r="DJ148" s="0" t="s">
        <v>84</v>
      </c>
      <c r="DQ148" s="0" t="s">
        <v>84</v>
      </c>
      <c r="DX148" s="0" t="s">
        <v>84</v>
      </c>
    </row>
    <row r="149" customFormat="false" ht="12.8" hidden="false" customHeight="false" outlineLevel="0" collapsed="false">
      <c r="A149" s="0" t="s">
        <v>335</v>
      </c>
      <c r="B149" s="0" t="n">
        <f aca="false">CM636</f>
        <v>0.178770996548196</v>
      </c>
      <c r="C149" s="0" t="n">
        <f aca="false">CH592</f>
        <v>-0.402133990906693</v>
      </c>
      <c r="D149" s="0" t="n">
        <f aca="false">CI592</f>
        <v>0.47193527693043</v>
      </c>
      <c r="E149" s="0" t="n">
        <f aca="false">CH594</f>
        <v>1.22038372675142</v>
      </c>
      <c r="F149" s="0" t="n">
        <f aca="false">CI594</f>
        <v>0.232730008092526</v>
      </c>
      <c r="G149" s="0" t="n">
        <f aca="false">CH595</f>
        <v>0.102935632488144</v>
      </c>
      <c r="I149" s="0" t="n">
        <f aca="false">CI595</f>
        <v>0.0284730869079512</v>
      </c>
      <c r="J149" s="0" t="n">
        <f aca="false">CH593</f>
        <v>-0.0617409051850465</v>
      </c>
      <c r="K149" s="0" t="n">
        <f aca="false">CI593</f>
        <v>0.0771262947155737</v>
      </c>
      <c r="L149" s="0" t="n">
        <v>0</v>
      </c>
      <c r="M149" s="0" t="n">
        <v>0</v>
      </c>
      <c r="O149" s="2"/>
      <c r="P149" s="0" t="s">
        <v>324</v>
      </c>
      <c r="R149" s="0" t="n">
        <f aca="false">DY449</f>
        <v>0.392529251721061</v>
      </c>
      <c r="S149" s="0" t="n">
        <f aca="false">DY463</f>
        <v>38.8998327562049</v>
      </c>
      <c r="T149" s="0" t="n">
        <f aca="false">DZ463</f>
        <v>0.640866436493923</v>
      </c>
      <c r="U149" s="0" t="n">
        <f aca="false">DY464</f>
        <v>38.8998327562049</v>
      </c>
      <c r="V149" s="0" t="n">
        <f aca="false">DZ464</f>
        <v>0.640866436493923</v>
      </c>
      <c r="AC149" s="39"/>
      <c r="AF149" s="8"/>
      <c r="BD149" s="2" t="s">
        <v>151</v>
      </c>
      <c r="BE149" s="8"/>
      <c r="BF149" s="8" t="n">
        <v>39.8907352023789</v>
      </c>
      <c r="BG149" s="8" t="n">
        <v>40.3666338830954</v>
      </c>
      <c r="BH149" s="8" t="n">
        <v>40.0674853105121</v>
      </c>
      <c r="BI149" s="16" t="n">
        <v>2.61580568669518</v>
      </c>
      <c r="BJ149" s="8" t="n">
        <v>1.24303804868629</v>
      </c>
      <c r="BK149" s="16" t="n">
        <v>1.79879437718644</v>
      </c>
      <c r="BL149" s="8" t="n">
        <v>7.54</v>
      </c>
      <c r="BM149" s="8" t="n">
        <v>1.24303804868629</v>
      </c>
      <c r="BN149" s="8" t="n">
        <v>2.11058971029925</v>
      </c>
      <c r="BO149" s="16" t="n">
        <v>2.61580568669518</v>
      </c>
      <c r="BP149" s="16"/>
      <c r="BZ149" s="0" t="n">
        <v>0.671908935391584</v>
      </c>
      <c r="CA149" s="0" t="n">
        <v>0.287799835565782</v>
      </c>
      <c r="CB149" s="0" t="e">
        <v>#N/A</v>
      </c>
      <c r="CG149" s="0" t="n">
        <v>0.420017898620631</v>
      </c>
      <c r="CH149" s="0" t="n">
        <v>0.363052104915104</v>
      </c>
      <c r="CI149" s="0" t="e">
        <v>#N/A</v>
      </c>
      <c r="CN149" s="0" t="n">
        <v>0.580471135661748</v>
      </c>
      <c r="CO149" s="0" t="n">
        <v>0.329613472382368</v>
      </c>
      <c r="CP149" s="0" t="e">
        <v>#N/A</v>
      </c>
      <c r="CU149" s="0" t="n">
        <v>0.0113337099041155</v>
      </c>
      <c r="CV149" s="0" t="n">
        <v>36</v>
      </c>
      <c r="DC149" s="0" t="e">
        <f aca="false" t="array" ref="DC149:DE153">LINEST($BE$138:$BE$153 , $BL$138:$BM$153 , 1 , 1)</f>
        <v>#VALUE!</v>
      </c>
      <c r="DD149" s="0" t="e">
        <v>#VALUE!</v>
      </c>
      <c r="DE149" s="0" t="e">
        <v>#VALUE!</v>
      </c>
      <c r="DJ149" s="0" t="n">
        <f aca="false" t="array" ref="DJ149:DL153">LINEST($BF$138:$BF$153 , $BL$138:$BM$153 , 1 , 1)</f>
        <v>2.23096997217424</v>
      </c>
      <c r="DK149" s="0" t="n">
        <v>-0.0391772851987747</v>
      </c>
      <c r="DL149" s="0" t="n">
        <v>37.1794084527819</v>
      </c>
      <c r="DQ149" s="0" t="n">
        <f aca="false" t="array" ref="DQ149:DS153">LINEST($BG$138:$BG$153 , $BL$138:$BM$153 , 1 , 1)</f>
        <v>1.93192437751394</v>
      </c>
      <c r="DR149" s="0" t="n">
        <v>-0.104842344381373</v>
      </c>
      <c r="DS149" s="0" t="n">
        <v>38.6216477461591</v>
      </c>
      <c r="DX149" s="0" t="n">
        <f aca="false" t="array" ref="DX149:DZ153">LINEST($BH$138:$BH$153 , $BL$138:$BM$153 , 1 , 1)</f>
        <v>2.20535071454273</v>
      </c>
      <c r="DY149" s="0" t="n">
        <v>0.07785305256256</v>
      </c>
      <c r="DZ149" s="0" t="n">
        <v>36.4964770342873</v>
      </c>
    </row>
    <row r="150" customFormat="false" ht="12.8" hidden="false" customHeight="false" outlineLevel="0" collapsed="false">
      <c r="O150" s="2"/>
      <c r="W150" s="22"/>
      <c r="X150" s="22"/>
      <c r="AC150" s="39"/>
      <c r="AF150" s="8"/>
      <c r="BD150" s="2" t="s">
        <v>153</v>
      </c>
      <c r="BE150" s="8"/>
      <c r="BF150" s="8" t="n">
        <v>39.8855611883631</v>
      </c>
      <c r="BG150" s="8" t="n">
        <v>40.3210963526474</v>
      </c>
      <c r="BH150" s="8" t="n">
        <v>40.3210963526474</v>
      </c>
      <c r="BI150" s="16" t="n">
        <v>2.67493557431311</v>
      </c>
      <c r="BJ150" s="8" t="n">
        <v>1.3096301674259</v>
      </c>
      <c r="BK150" s="16" t="n">
        <v>1.83140139602582</v>
      </c>
      <c r="BL150" s="8" t="n">
        <v>8.26</v>
      </c>
      <c r="BM150" s="8" t="n">
        <v>1.3096301674259</v>
      </c>
      <c r="BN150" s="8" t="n">
        <v>1.70757017609794</v>
      </c>
      <c r="BO150" s="16" t="n">
        <v>2.67493557431311</v>
      </c>
      <c r="BP150" s="16"/>
      <c r="BZ150" s="0" t="n">
        <v>36.8628168873889</v>
      </c>
      <c r="CA150" s="0" t="n">
        <v>36</v>
      </c>
      <c r="CB150" s="0" t="e">
        <v>#N/A</v>
      </c>
      <c r="CG150" s="0" t="n">
        <v>13.0354405027167</v>
      </c>
      <c r="CH150" s="0" t="n">
        <v>36</v>
      </c>
      <c r="CI150" s="0" t="e">
        <v>#N/A</v>
      </c>
      <c r="CN150" s="0" t="n">
        <v>24.905271913513</v>
      </c>
      <c r="CO150" s="0" t="n">
        <v>36</v>
      </c>
      <c r="CP150" s="0" t="e">
        <v>#N/A</v>
      </c>
      <c r="CU150" s="0" t="n">
        <v>0.000937639884400247</v>
      </c>
      <c r="CV150" s="0" t="n">
        <v>2.97828655612156</v>
      </c>
      <c r="DC150" s="0" t="e">
        <v>#VALUE!</v>
      </c>
      <c r="DD150" s="0" t="e">
        <v>#VALUE!</v>
      </c>
      <c r="DE150" s="0" t="e">
        <v>#VALUE!</v>
      </c>
      <c r="DJ150" s="0" t="n">
        <v>0.794675096884038</v>
      </c>
      <c r="DK150" s="0" t="n">
        <v>0.415163481738275</v>
      </c>
      <c r="DL150" s="0" t="n">
        <v>3.00615461582369</v>
      </c>
      <c r="DQ150" s="0" t="n">
        <v>0.648462253558631</v>
      </c>
      <c r="DR150" s="0" t="n">
        <v>0.338777253771845</v>
      </c>
      <c r="DS150" s="0" t="n">
        <v>2.45305006331055</v>
      </c>
      <c r="DX150" s="0" t="n">
        <v>0.766804398739719</v>
      </c>
      <c r="DY150" s="0" t="n">
        <v>0.400602944827729</v>
      </c>
      <c r="DZ150" s="0" t="n">
        <v>2.90072331666596</v>
      </c>
    </row>
    <row r="151" customFormat="false" ht="12.8" hidden="false" customHeight="false" outlineLevel="0" collapsed="false">
      <c r="A151" s="0" t="s">
        <v>336</v>
      </c>
      <c r="B151" s="0" t="n">
        <f aca="false">CR635</f>
        <v>0.245416972380462</v>
      </c>
      <c r="C151" s="0" t="n">
        <f aca="false">CO592</f>
        <v>3.18262796449129</v>
      </c>
      <c r="D151" s="0" t="n">
        <f aca="false">CP592</f>
        <v>0.162513679521676</v>
      </c>
      <c r="E151" s="0" t="n">
        <f aca="false">CO593</f>
        <v>-0.309090626966513</v>
      </c>
      <c r="F151" s="0" t="n">
        <f aca="false">CP593</f>
        <v>0.09761249557973</v>
      </c>
      <c r="G151" s="0" t="n">
        <v>0</v>
      </c>
      <c r="I151" s="0" t="n">
        <v>0</v>
      </c>
      <c r="J151" s="0" t="n">
        <f aca="false">CO594</f>
        <v>0</v>
      </c>
      <c r="K151" s="0" t="n">
        <f aca="false">CP594</f>
        <v>0</v>
      </c>
      <c r="L151" s="0" t="n">
        <v>0</v>
      </c>
      <c r="M151" s="0" t="n">
        <v>0</v>
      </c>
      <c r="O151" s="2"/>
      <c r="P151" s="21" t="s">
        <v>328</v>
      </c>
      <c r="Q151" s="21"/>
      <c r="R151" s="0" t="n">
        <f aca="false">DD496</f>
        <v>0.222556433748291</v>
      </c>
      <c r="S151" s="0" t="n">
        <f aca="false">DD510</f>
        <v>2.33974877985302</v>
      </c>
      <c r="T151" s="0" t="n">
        <f aca="false">DE510</f>
        <v>0.619011309391254</v>
      </c>
      <c r="U151" s="0" t="n">
        <f aca="false">DD511</f>
        <v>2.33974877985302</v>
      </c>
      <c r="V151" s="0" t="n">
        <f aca="false">DE511</f>
        <v>0.619011309391254</v>
      </c>
      <c r="AC151" s="39"/>
      <c r="AF151" s="8"/>
      <c r="BD151" s="2" t="s">
        <v>155</v>
      </c>
      <c r="BE151" s="8"/>
      <c r="BF151" s="8" t="n">
        <v>40.8602418490241</v>
      </c>
      <c r="BG151" s="8" t="n">
        <v>41.2889669095893</v>
      </c>
      <c r="BH151" s="8" t="n">
        <v>40.7432526092177</v>
      </c>
      <c r="BI151" s="16" t="n">
        <v>2.79128793549291</v>
      </c>
      <c r="BJ151" s="8" t="n">
        <v>1.54900326202579</v>
      </c>
      <c r="BK151" s="16" t="n">
        <v>2.10676191127965</v>
      </c>
      <c r="BL151" s="8" t="n">
        <v>8.01</v>
      </c>
      <c r="BM151" s="8" t="n">
        <v>1.54900326202579</v>
      </c>
      <c r="BN151" s="8" t="n">
        <v>2</v>
      </c>
      <c r="BO151" s="16" t="n">
        <v>2.79128793549291</v>
      </c>
      <c r="BP151" s="16"/>
      <c r="BZ151" s="0" t="n">
        <v>6.10660174582309</v>
      </c>
      <c r="CA151" s="0" t="n">
        <v>2.98183483266088</v>
      </c>
      <c r="CB151" s="0" t="e">
        <v>#N/A</v>
      </c>
      <c r="CG151" s="0" t="n">
        <v>3.43632020366147</v>
      </c>
      <c r="CH151" s="0" t="n">
        <v>4.74504591179836</v>
      </c>
      <c r="CI151" s="0" t="e">
        <v>#N/A</v>
      </c>
      <c r="CN151" s="0" t="n">
        <v>5.4116685850843</v>
      </c>
      <c r="CO151" s="0" t="n">
        <v>3.91122148233463</v>
      </c>
      <c r="CP151" s="0" t="e">
        <v>#N/A</v>
      </c>
      <c r="DC151" s="0" t="e">
        <v>#VALUE!</v>
      </c>
      <c r="DD151" s="0" t="e">
        <v>#VALUE!</v>
      </c>
      <c r="DE151" s="0" t="e">
        <v>#VALUE!</v>
      </c>
      <c r="DJ151" s="0" t="n">
        <v>0.431826130527516</v>
      </c>
      <c r="DK151" s="0" t="n">
        <v>0.351088980516221</v>
      </c>
      <c r="DL151" s="0" t="e">
        <v>#N/A</v>
      </c>
      <c r="DQ151" s="0" t="n">
        <v>0.446081514757791</v>
      </c>
      <c r="DR151" s="0" t="n">
        <v>0.286491866170021</v>
      </c>
      <c r="DS151" s="0" t="e">
        <v>#N/A</v>
      </c>
      <c r="DX151" s="0" t="n">
        <v>0.46803306912456</v>
      </c>
      <c r="DY151" s="0" t="n">
        <v>0.338775652671757</v>
      </c>
      <c r="DZ151" s="0" t="e">
        <v>#N/A</v>
      </c>
    </row>
    <row r="152" customFormat="false" ht="12.8" hidden="false" customHeight="false" outlineLevel="0" collapsed="false">
      <c r="A152" s="0" t="s">
        <v>337</v>
      </c>
      <c r="B152" s="0" t="n">
        <f aca="false">CY635</f>
        <v>0.257399201569744</v>
      </c>
      <c r="C152" s="0" t="n">
        <f aca="false">CV592</f>
        <v>2.35280476895734</v>
      </c>
      <c r="D152" s="0" t="n">
        <f aca="false">CW592</f>
        <v>0.170448241404395</v>
      </c>
      <c r="E152" s="0" t="n">
        <f aca="false">CV593</f>
        <v>-0.229373773232936</v>
      </c>
      <c r="F152" s="0" t="n">
        <f aca="false">CW593</f>
        <v>0.102378324456312</v>
      </c>
      <c r="G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O152" s="2"/>
      <c r="P152" s="21" t="s">
        <v>338</v>
      </c>
      <c r="Q152" s="21"/>
      <c r="R152" s="0" t="n">
        <f aca="false">DK496</f>
        <v>0.255513128046577</v>
      </c>
      <c r="S152" s="0" t="n">
        <f aca="false">DK510</f>
        <v>-0.153218480198607</v>
      </c>
      <c r="T152" s="0" t="n">
        <f aca="false">DL510</f>
        <v>0.710675999318224</v>
      </c>
      <c r="U152" s="0" t="n">
        <f aca="false">DK511</f>
        <v>-0.153218480198607</v>
      </c>
      <c r="V152" s="0" t="n">
        <f aca="false">DL511</f>
        <v>0.710675999318224</v>
      </c>
      <c r="AC152" s="39"/>
      <c r="AF152" s="8"/>
      <c r="BD152" s="2" t="s">
        <v>159</v>
      </c>
      <c r="BE152" s="8"/>
      <c r="BF152" s="8" t="n">
        <v>39.5307026003539</v>
      </c>
      <c r="BG152" s="8" t="n">
        <v>40.3112205857885</v>
      </c>
      <c r="BH152" s="8" t="n">
        <v>39.8411325938</v>
      </c>
      <c r="BI152" s="16" t="n">
        <v>2.92471211300218</v>
      </c>
      <c r="BJ152" s="8" t="n">
        <v>1.38021124171161</v>
      </c>
      <c r="BK152" s="16" t="n">
        <v>1.87422012754356</v>
      </c>
      <c r="BL152" s="8" t="n">
        <v>8.48</v>
      </c>
      <c r="BM152" s="8" t="n">
        <v>1.38021124171161</v>
      </c>
      <c r="BN152" s="8" t="n">
        <v>0.698970004336019</v>
      </c>
      <c r="BO152" s="16" t="n">
        <v>2.92471211300218</v>
      </c>
      <c r="BP152" s="16"/>
      <c r="CU152" s="0" t="s">
        <v>100</v>
      </c>
      <c r="DC152" s="0" t="e">
        <v>#VALUE!</v>
      </c>
      <c r="DD152" s="0" t="e">
        <v>#VALUE!</v>
      </c>
      <c r="DE152" s="0" t="e">
        <v>#VALUE!</v>
      </c>
      <c r="DJ152" s="0" t="n">
        <v>4.9401600447322</v>
      </c>
      <c r="DK152" s="0" t="n">
        <v>13</v>
      </c>
      <c r="DL152" s="0" t="e">
        <v>#N/A</v>
      </c>
      <c r="DQ152" s="0" t="n">
        <v>5.23457859446192</v>
      </c>
      <c r="DR152" s="0" t="n">
        <v>13</v>
      </c>
      <c r="DS152" s="0" t="e">
        <v>#N/A</v>
      </c>
      <c r="DX152" s="0" t="n">
        <v>5.71880463378272</v>
      </c>
      <c r="DY152" s="0" t="n">
        <v>13</v>
      </c>
      <c r="DZ152" s="0" t="e">
        <v>#N/A</v>
      </c>
    </row>
    <row r="153" customFormat="false" ht="12.8" hidden="false" customHeight="false" outlineLevel="0" collapsed="false">
      <c r="O153" s="2"/>
      <c r="AC153" s="39"/>
      <c r="AF153" s="8"/>
      <c r="BD153" s="2" t="s">
        <v>176</v>
      </c>
      <c r="BE153" s="8"/>
      <c r="BF153" s="8" t="n">
        <v>39.7584397069598</v>
      </c>
      <c r="BG153" s="8" t="n">
        <v>40.1263375099171</v>
      </c>
      <c r="BH153" s="8" t="n">
        <v>39.9044887603007</v>
      </c>
      <c r="BI153" s="16" t="n">
        <v>2.78105642519169</v>
      </c>
      <c r="BJ153" s="8" t="n">
        <v>1.23552844690755</v>
      </c>
      <c r="BK153" s="16" t="n">
        <v>1.7010708609064</v>
      </c>
      <c r="BL153" s="8" t="n">
        <v>7.85</v>
      </c>
      <c r="BM153" s="8" t="n">
        <v>1.23552844690755</v>
      </c>
      <c r="BN153" s="8" t="n">
        <v>1.27875360095283</v>
      </c>
      <c r="BO153" s="16" t="n">
        <v>2.78105642519169</v>
      </c>
      <c r="BP153" s="16"/>
      <c r="BZ153" s="0" t="s">
        <v>100</v>
      </c>
      <c r="CG153" s="0" t="s">
        <v>100</v>
      </c>
      <c r="CN153" s="0" t="s">
        <v>100</v>
      </c>
      <c r="CU153" s="0" t="s">
        <v>103</v>
      </c>
      <c r="CV153" s="0" t="n">
        <f aca="false">$CU$148</f>
        <v>0.000314726191354539</v>
      </c>
      <c r="DC153" s="0" t="e">
        <v>#VALUE!</v>
      </c>
      <c r="DD153" s="0" t="e">
        <v>#VALUE!</v>
      </c>
      <c r="DE153" s="0" t="e">
        <v>#VALUE!</v>
      </c>
      <c r="DJ153" s="0" t="n">
        <v>1.21788256106921</v>
      </c>
      <c r="DK153" s="0" t="n">
        <v>1.60242513911895</v>
      </c>
      <c r="DL153" s="0" t="e">
        <v>#N/A</v>
      </c>
      <c r="DQ153" s="0" t="n">
        <v>0.859283184923722</v>
      </c>
      <c r="DR153" s="0" t="n">
        <v>1.06700866196056</v>
      </c>
      <c r="DS153" s="0" t="e">
        <v>#N/A</v>
      </c>
      <c r="DX153" s="0" t="n">
        <v>1.31268232429178</v>
      </c>
      <c r="DY153" s="0" t="n">
        <v>1.49199625696127</v>
      </c>
      <c r="DZ153" s="0" t="e">
        <v>#N/A</v>
      </c>
    </row>
    <row r="154" customFormat="false" ht="12.8" hidden="false" customHeight="false" outlineLevel="0" collapsed="false">
      <c r="A154" s="0" t="s">
        <v>339</v>
      </c>
      <c r="B154" s="0" t="n">
        <f aca="false">CE708</f>
        <v>0.231811364965825</v>
      </c>
      <c r="C154" s="0" t="n">
        <f aca="false">CA664</f>
        <v>2.30611282609794</v>
      </c>
      <c r="D154" s="0" t="n">
        <f aca="false">CB664</f>
        <v>0.4481503885963</v>
      </c>
      <c r="E154" s="0" t="n">
        <f aca="false">CA665</f>
        <v>0.609720002591225</v>
      </c>
      <c r="F154" s="0" t="n">
        <f aca="false">CB665</f>
        <v>0.292342419566436</v>
      </c>
      <c r="G154" s="0" t="n">
        <f aca="false">CA666</f>
        <v>-0.282446632353509</v>
      </c>
      <c r="I154" s="0" t="n">
        <f aca="false">CB666</f>
        <v>0.0943417247905805</v>
      </c>
      <c r="J154" s="0" t="n">
        <v>0</v>
      </c>
      <c r="K154" s="0" t="n">
        <v>0</v>
      </c>
      <c r="L154" s="0" t="n">
        <v>0</v>
      </c>
      <c r="M154" s="0" t="n">
        <v>0</v>
      </c>
      <c r="O154" s="2"/>
      <c r="AF154" s="8"/>
      <c r="BZ154" s="0" t="s">
        <v>103</v>
      </c>
      <c r="CA154" s="0" t="n">
        <f aca="false">$BZ$149</f>
        <v>0.671908935391584</v>
      </c>
      <c r="CG154" s="0" t="s">
        <v>103</v>
      </c>
      <c r="CH154" s="0" t="n">
        <f aca="false">$CG$149</f>
        <v>0.420017898620631</v>
      </c>
      <c r="CN154" s="0" t="s">
        <v>103</v>
      </c>
      <c r="CO154" s="0" t="n">
        <f aca="false">$CN$149</f>
        <v>0.580471135661748</v>
      </c>
      <c r="CU154" s="0" t="s">
        <v>106</v>
      </c>
      <c r="CV154" s="0" t="n">
        <f aca="false">$CV$148</f>
        <v>0.287628548851618</v>
      </c>
    </row>
    <row r="155" customFormat="false" ht="12.8" hidden="false" customHeight="false" outlineLevel="0" collapsed="false">
      <c r="A155" s="0" t="s">
        <v>340</v>
      </c>
      <c r="B155" s="0" t="n">
        <f aca="false">CL708</f>
        <v>0.209075480639637</v>
      </c>
      <c r="C155" s="0" t="n">
        <f aca="false">CH664</f>
        <v>0.719634127598233</v>
      </c>
      <c r="D155" s="0" t="n">
        <f aca="false">CI664</f>
        <v>0.404196135545059</v>
      </c>
      <c r="E155" s="0" t="n">
        <f aca="false">CH665</f>
        <v>1.13606344495845</v>
      </c>
      <c r="F155" s="0" t="n">
        <f aca="false">CI665</f>
        <v>0.263669694931558</v>
      </c>
      <c r="G155" s="0" t="n">
        <f aca="false">CH666</f>
        <v>-0.179729234462904</v>
      </c>
      <c r="I155" s="0" t="n">
        <f aca="false">CI666</f>
        <v>0.085088759379295</v>
      </c>
      <c r="J155" s="0" t="n">
        <v>0</v>
      </c>
      <c r="K155" s="0" t="n">
        <v>0</v>
      </c>
      <c r="L155" s="0" t="n">
        <v>0</v>
      </c>
      <c r="M155" s="0" t="n">
        <v>0</v>
      </c>
      <c r="O155" s="2"/>
      <c r="AF155" s="8"/>
      <c r="BZ155" s="0" t="s">
        <v>106</v>
      </c>
      <c r="CA155" s="0" t="n">
        <f aca="false">$CA$149</f>
        <v>0.287799835565782</v>
      </c>
      <c r="CG155" s="0" t="s">
        <v>106</v>
      </c>
      <c r="CH155" s="0" t="n">
        <f aca="false">$CH$149</f>
        <v>0.363052104915104</v>
      </c>
      <c r="CN155" s="0" t="s">
        <v>106</v>
      </c>
      <c r="CO155" s="0" t="n">
        <f aca="false">$CO$149</f>
        <v>0.329613472382368</v>
      </c>
      <c r="CU155" s="0" t="s">
        <v>109</v>
      </c>
      <c r="CV155" s="0" t="n">
        <f aca="false">1</f>
        <v>1</v>
      </c>
      <c r="DC155" s="0" t="s">
        <v>100</v>
      </c>
      <c r="DJ155" s="0" t="s">
        <v>100</v>
      </c>
      <c r="DQ155" s="0" t="s">
        <v>100</v>
      </c>
      <c r="DX155" s="0" t="s">
        <v>100</v>
      </c>
    </row>
    <row r="156" customFormat="false" ht="12.8" hidden="false" customHeight="false" outlineLevel="0" collapsed="false">
      <c r="O156" s="2"/>
      <c r="AF156" s="8"/>
      <c r="BZ156" s="0" t="s">
        <v>109</v>
      </c>
      <c r="CA156" s="0" t="n">
        <f aca="false">2</f>
        <v>2</v>
      </c>
      <c r="CG156" s="0" t="s">
        <v>109</v>
      </c>
      <c r="CH156" s="0" t="n">
        <f aca="false">2</f>
        <v>2</v>
      </c>
      <c r="CN156" s="0" t="s">
        <v>109</v>
      </c>
      <c r="CO156" s="0" t="n">
        <f aca="false">2</f>
        <v>2</v>
      </c>
      <c r="CU156" s="0" t="s">
        <v>112</v>
      </c>
      <c r="CV156" s="0" t="n">
        <f aca="false">38</f>
        <v>38</v>
      </c>
      <c r="DC156" s="0" t="s">
        <v>103</v>
      </c>
      <c r="DD156" s="0" t="e">
        <f aca="false">$DC$151</f>
        <v>#VALUE!</v>
      </c>
      <c r="DJ156" s="0" t="s">
        <v>103</v>
      </c>
      <c r="DK156" s="0" t="n">
        <f aca="false">$DJ$151</f>
        <v>0.431826130527516</v>
      </c>
      <c r="DQ156" s="0" t="s">
        <v>103</v>
      </c>
      <c r="DR156" s="0" t="n">
        <f aca="false">$DQ$151</f>
        <v>0.446081514757791</v>
      </c>
      <c r="DX156" s="0" t="s">
        <v>103</v>
      </c>
      <c r="DY156" s="0" t="n">
        <f aca="false">$DX$151</f>
        <v>0.46803306912456</v>
      </c>
    </row>
    <row r="157" customFormat="false" ht="12.8" hidden="false" customHeight="false" outlineLevel="0" collapsed="false">
      <c r="O157" s="2"/>
      <c r="AF157" s="8"/>
      <c r="BZ157" s="0" t="s">
        <v>112</v>
      </c>
      <c r="CA157" s="0" t="n">
        <f aca="false">39</f>
        <v>39</v>
      </c>
      <c r="CG157" s="0" t="s">
        <v>112</v>
      </c>
      <c r="CH157" s="0" t="n">
        <f aca="false">39</f>
        <v>39</v>
      </c>
      <c r="CN157" s="0" t="s">
        <v>112</v>
      </c>
      <c r="CO157" s="0" t="n">
        <f aca="false">39</f>
        <v>39</v>
      </c>
      <c r="CU157" s="0" t="s">
        <v>115</v>
      </c>
      <c r="CV157" s="0" t="n">
        <f aca="false">1 - (1 - $CU$148)*($CV$156 - 1)/($CV$156 - $CV$155 - 1)</f>
        <v>-0.027454309192219</v>
      </c>
      <c r="DC157" s="0" t="s">
        <v>106</v>
      </c>
      <c r="DD157" s="0" t="e">
        <f aca="false">$DD$151</f>
        <v>#VALUE!</v>
      </c>
      <c r="DJ157" s="0" t="s">
        <v>106</v>
      </c>
      <c r="DK157" s="0" t="n">
        <f aca="false">$DK$151</f>
        <v>0.351088980516221</v>
      </c>
      <c r="DQ157" s="0" t="s">
        <v>106</v>
      </c>
      <c r="DR157" s="0" t="n">
        <f aca="false">$DR$151</f>
        <v>0.286491866170021</v>
      </c>
      <c r="DX157" s="0" t="s">
        <v>106</v>
      </c>
      <c r="DY157" s="0" t="n">
        <f aca="false">$DY$151</f>
        <v>0.338775652671757</v>
      </c>
    </row>
    <row r="158" customFormat="false" ht="12.8" hidden="false" customHeight="false" outlineLevel="0" collapsed="false">
      <c r="A158" s="0" t="s">
        <v>341</v>
      </c>
      <c r="B158" s="0" t="n">
        <f aca="false">CS707</f>
        <v>0.259815771617946</v>
      </c>
      <c r="C158" s="0" t="n">
        <f aca="false">CO664</f>
        <v>1.77443592710708</v>
      </c>
      <c r="D158" s="0" t="n">
        <f aca="false">CP664</f>
        <v>0.477452202714672</v>
      </c>
      <c r="E158" s="0" t="n">
        <f aca="false">CO666</f>
        <v>0.797281523518743</v>
      </c>
      <c r="F158" s="0" t="n">
        <f aca="false">CP666</f>
        <v>0.335810230244319</v>
      </c>
      <c r="G158" s="0" t="n">
        <f aca="false">CO665</f>
        <v>-0.0224095986282863</v>
      </c>
      <c r="I158" s="0" t="n">
        <f aca="false">CP665</f>
        <v>0.0342422101339549</v>
      </c>
      <c r="J158" s="0" t="n">
        <v>0</v>
      </c>
      <c r="K158" s="0" t="n">
        <v>0</v>
      </c>
      <c r="L158" s="0" t="n">
        <v>0</v>
      </c>
      <c r="M158" s="0" t="n">
        <v>0</v>
      </c>
      <c r="O158" s="2"/>
      <c r="AF158" s="8"/>
      <c r="BI158" s="13" t="s">
        <v>130</v>
      </c>
      <c r="BZ158" s="0" t="s">
        <v>115</v>
      </c>
      <c r="CA158" s="0" t="n">
        <f aca="false">1 - (1 - $BZ$149)*($CA$157 - 1)/($CA$157 - $CA$156 - 1)</f>
        <v>0.65368165402445</v>
      </c>
      <c r="CG158" s="0" t="s">
        <v>115</v>
      </c>
      <c r="CH158" s="0" t="n">
        <f aca="false">1 - (1 - $CG$149)*($CH$157 - 1)/($CH$157 - $CH$156 - 1)</f>
        <v>0.387796670766221</v>
      </c>
      <c r="CN158" s="0" t="s">
        <v>115</v>
      </c>
      <c r="CO158" s="0" t="n">
        <f aca="false">1 - (1 - $CN$149)*($CO$157 - 1)/($CO$157 - $CO$156 - 1)</f>
        <v>0.557163976531846</v>
      </c>
      <c r="DC158" s="0" t="s">
        <v>109</v>
      </c>
      <c r="DD158" s="0" t="n">
        <f aca="false">2</f>
        <v>2</v>
      </c>
      <c r="DJ158" s="0" t="s">
        <v>109</v>
      </c>
      <c r="DK158" s="0" t="n">
        <f aca="false">2</f>
        <v>2</v>
      </c>
      <c r="DQ158" s="0" t="s">
        <v>109</v>
      </c>
      <c r="DR158" s="0" t="n">
        <f aca="false">2</f>
        <v>2</v>
      </c>
      <c r="DX158" s="0" t="s">
        <v>109</v>
      </c>
      <c r="DY158" s="0" t="n">
        <f aca="false">2</f>
        <v>2</v>
      </c>
    </row>
    <row r="159" customFormat="false" ht="12.8" hidden="false" customHeight="false" outlineLevel="0" collapsed="false">
      <c r="A159" s="0" t="s">
        <v>342</v>
      </c>
      <c r="B159" s="0" t="n">
        <f aca="false">CZ707</f>
        <v>0.217059871073371</v>
      </c>
      <c r="C159" s="0" t="n">
        <f aca="false">CV664</f>
        <v>0.190003727219861</v>
      </c>
      <c r="D159" s="0" t="n">
        <f aca="false">CW664</f>
        <v>0.39888153409462</v>
      </c>
      <c r="E159" s="0" t="n">
        <f aca="false">CV666</f>
        <v>1.10393277326717</v>
      </c>
      <c r="F159" s="0" t="n">
        <f aca="false">CW666</f>
        <v>0.280548501070734</v>
      </c>
      <c r="G159" s="0" t="n">
        <f aca="false">CV665</f>
        <v>0.0352997175572269</v>
      </c>
      <c r="I159" s="0" t="n">
        <f aca="false">CW665</f>
        <v>0.0286072306952676</v>
      </c>
      <c r="J159" s="0" t="n">
        <v>0</v>
      </c>
      <c r="K159" s="0" t="n">
        <v>0</v>
      </c>
      <c r="L159" s="0" t="n">
        <v>0</v>
      </c>
      <c r="M159" s="0" t="n">
        <v>0</v>
      </c>
      <c r="O159" s="2"/>
      <c r="AF159" s="8"/>
      <c r="BI159" s="0" t="s">
        <v>78</v>
      </c>
      <c r="BJ159" s="0" t="s">
        <v>79</v>
      </c>
      <c r="CU159" s="0" t="s">
        <v>120</v>
      </c>
      <c r="DC159" s="0" t="s">
        <v>112</v>
      </c>
      <c r="DD159" s="0" t="n">
        <f aca="false">16</f>
        <v>16</v>
      </c>
      <c r="DJ159" s="0" t="s">
        <v>112</v>
      </c>
      <c r="DK159" s="0" t="n">
        <f aca="false">16</f>
        <v>16</v>
      </c>
      <c r="DQ159" s="0" t="s">
        <v>112</v>
      </c>
      <c r="DR159" s="0" t="n">
        <f aca="false">16</f>
        <v>16</v>
      </c>
      <c r="DX159" s="0" t="s">
        <v>112</v>
      </c>
      <c r="DY159" s="0" t="n">
        <f aca="false">16</f>
        <v>16</v>
      </c>
    </row>
    <row r="160" customFormat="false" ht="12.8" hidden="false" customHeight="false" outlineLevel="0" collapsed="false">
      <c r="O160" s="2"/>
      <c r="AF160" s="8"/>
      <c r="BZ160" s="0" t="s">
        <v>120</v>
      </c>
      <c r="CG160" s="0" t="s">
        <v>120</v>
      </c>
      <c r="CN160" s="0" t="s">
        <v>120</v>
      </c>
      <c r="CV160" s="0" t="s">
        <v>123</v>
      </c>
      <c r="CW160" s="0" t="s">
        <v>124</v>
      </c>
      <c r="CX160" s="0" t="s">
        <v>125</v>
      </c>
      <c r="CY160" s="0" t="s">
        <v>126</v>
      </c>
      <c r="CZ160" s="0" t="s">
        <v>127</v>
      </c>
      <c r="DC160" s="0" t="s">
        <v>115</v>
      </c>
      <c r="DD160" s="0" t="e">
        <f aca="false">1 - (1 - $DC$151)*($DD$159 - 1)/($DD$159 - $DD$158 - 1)</f>
        <v>#VALUE!</v>
      </c>
      <c r="DJ160" s="0" t="s">
        <v>115</v>
      </c>
      <c r="DK160" s="0" t="n">
        <f aca="false">1 - (1 - $DJ$151)*($DK$159 - 1)/($DK$159 - $DK$158 - 1)</f>
        <v>0.344414765993288</v>
      </c>
      <c r="DQ160" s="0" t="s">
        <v>115</v>
      </c>
      <c r="DR160" s="0" t="n">
        <f aca="false">1 - (1 - $DQ$151)*($DR$159 - 1)/($DR$159 - $DR$158 - 1)</f>
        <v>0.360863286258989</v>
      </c>
      <c r="DX160" s="0" t="s">
        <v>115</v>
      </c>
      <c r="DY160" s="0" t="n">
        <f aca="false">1 - (1 - $DX$151)*($DY$159 - 1)/($DY$159 - $DY$158 - 1)</f>
        <v>0.38619200283603</v>
      </c>
    </row>
    <row r="161" customFormat="false" ht="12.8" hidden="false" customHeight="false" outlineLevel="0" collapsed="false">
      <c r="O161" s="2"/>
      <c r="AF161" s="8"/>
      <c r="BI161" s="0" t="s">
        <v>84</v>
      </c>
      <c r="CA161" s="0" t="s">
        <v>123</v>
      </c>
      <c r="CB161" s="0" t="s">
        <v>124</v>
      </c>
      <c r="CC161" s="0" t="s">
        <v>125</v>
      </c>
      <c r="CD161" s="0" t="s">
        <v>126</v>
      </c>
      <c r="CE161" s="0" t="s">
        <v>127</v>
      </c>
      <c r="CH161" s="0" t="s">
        <v>123</v>
      </c>
      <c r="CI161" s="0" t="s">
        <v>124</v>
      </c>
      <c r="CJ161" s="0" t="s">
        <v>125</v>
      </c>
      <c r="CK161" s="0" t="s">
        <v>126</v>
      </c>
      <c r="CL161" s="0" t="s">
        <v>127</v>
      </c>
      <c r="CO161" s="0" t="s">
        <v>123</v>
      </c>
      <c r="CP161" s="0" t="s">
        <v>124</v>
      </c>
      <c r="CQ161" s="0" t="s">
        <v>125</v>
      </c>
      <c r="CR161" s="0" t="s">
        <v>126</v>
      </c>
      <c r="CS161" s="0" t="s">
        <v>127</v>
      </c>
      <c r="CU161" s="0" t="s">
        <v>130</v>
      </c>
      <c r="CV161" s="0" t="n">
        <f aca="false">$CV$155</f>
        <v>1</v>
      </c>
      <c r="CW161" s="0" t="n">
        <f aca="false">$CU$150</f>
        <v>0.000937639884400247</v>
      </c>
      <c r="CX161" s="0" t="n">
        <f aca="false">$CU$150 / $CV$161</f>
        <v>0.000937639884400247</v>
      </c>
      <c r="CY161" s="0" t="n">
        <f aca="false">$CU$149</f>
        <v>0.0113337099041155</v>
      </c>
      <c r="CZ161" s="0" t="n">
        <f aca="false">FDIST($CU$149 , $CV$161 , $CV$149)</f>
        <v>0.915808519599024</v>
      </c>
    </row>
    <row r="162" customFormat="false" ht="12.8" hidden="false" customHeight="false" outlineLevel="0" collapsed="false">
      <c r="O162" s="2"/>
      <c r="AF162" s="8"/>
      <c r="BI162" s="0" t="n">
        <f aca="false" t="array" ref="BI162:BJ166">LINEST($BG$95:$BG$132 , $BL$95:$BL$132 , 1 , 1)</f>
        <v>2.80447068198056</v>
      </c>
      <c r="BJ162" s="0" t="n">
        <v>36.0200614019106</v>
      </c>
      <c r="BZ162" s="0" t="s">
        <v>130</v>
      </c>
      <c r="CA162" s="0" t="n">
        <f aca="false">$CA$156</f>
        <v>2</v>
      </c>
      <c r="CB162" s="0" t="n">
        <f aca="false">$BZ$151</f>
        <v>6.10660174582309</v>
      </c>
      <c r="CC162" s="0" t="n">
        <f aca="false">$BZ$151 / $CA$162</f>
        <v>3.05330087291155</v>
      </c>
      <c r="CD162" s="0" t="n">
        <f aca="false">$BZ$150</f>
        <v>36.8628168873889</v>
      </c>
      <c r="CE162" s="0" t="n">
        <f aca="false">FDIST($BZ$150 , $CA$162 , $CA$150)</f>
        <v>1.94043567110676E-009</v>
      </c>
      <c r="CG162" s="0" t="s">
        <v>130</v>
      </c>
      <c r="CH162" s="0" t="n">
        <f aca="false">$CH$156</f>
        <v>2</v>
      </c>
      <c r="CI162" s="0" t="n">
        <f aca="false">$CG$151</f>
        <v>3.43632020366147</v>
      </c>
      <c r="CJ162" s="0" t="n">
        <f aca="false">$CG$151 / $CH$162</f>
        <v>1.71816010183074</v>
      </c>
      <c r="CK162" s="0" t="n">
        <f aca="false">$CG$150</f>
        <v>13.0354405027167</v>
      </c>
      <c r="CL162" s="0" t="n">
        <f aca="false">FDIST($CG$150 , $CH$162 , $CH$150)</f>
        <v>5.51394768018555E-005</v>
      </c>
      <c r="CN162" s="0" t="s">
        <v>130</v>
      </c>
      <c r="CO162" s="0" t="n">
        <f aca="false">$CO$156</f>
        <v>2</v>
      </c>
      <c r="CP162" s="0" t="n">
        <f aca="false">$CN$151</f>
        <v>5.4116685850843</v>
      </c>
      <c r="CQ162" s="0" t="n">
        <f aca="false">$CN$151 / $CO$162</f>
        <v>2.70583429254215</v>
      </c>
      <c r="CR162" s="0" t="n">
        <f aca="false">$CN$150</f>
        <v>24.905271913513</v>
      </c>
      <c r="CS162" s="0" t="n">
        <f aca="false">FDIST($CN$150 , $CO$162 , $CO$150)</f>
        <v>1.6207395711945E-007</v>
      </c>
      <c r="CU162" s="0" t="s">
        <v>133</v>
      </c>
      <c r="CV162" s="0" t="n">
        <f aca="false">$CV$149</f>
        <v>36</v>
      </c>
      <c r="CW162" s="0" t="n">
        <f aca="false">$CV$150</f>
        <v>2.97828655612156</v>
      </c>
      <c r="CX162" s="0" t="n">
        <f aca="false">$CV$150 / $CV$149</f>
        <v>0.0827301821144879</v>
      </c>
      <c r="DC162" s="0" t="s">
        <v>120</v>
      </c>
      <c r="DJ162" s="0" t="s">
        <v>120</v>
      </c>
      <c r="DQ162" s="0" t="s">
        <v>120</v>
      </c>
      <c r="DX162" s="0" t="s">
        <v>120</v>
      </c>
    </row>
    <row r="163" customFormat="false" ht="12.8" hidden="false" customHeight="false" outlineLevel="0" collapsed="false">
      <c r="O163" s="2"/>
      <c r="AF163" s="8"/>
      <c r="BI163" s="0" t="n">
        <v>0.386204422666312</v>
      </c>
      <c r="BJ163" s="0" t="n">
        <v>0.529634020686365</v>
      </c>
      <c r="BZ163" s="0" t="s">
        <v>133</v>
      </c>
      <c r="CA163" s="0" t="n">
        <f aca="false">$CA$150</f>
        <v>36</v>
      </c>
      <c r="CB163" s="0" t="n">
        <f aca="false">$CA$151</f>
        <v>2.98183483266088</v>
      </c>
      <c r="CC163" s="0" t="n">
        <f aca="false">$CA$151 / $CA$150</f>
        <v>0.082828745351691</v>
      </c>
      <c r="CG163" s="0" t="s">
        <v>133</v>
      </c>
      <c r="CH163" s="0" t="n">
        <f aca="false">$CH$150</f>
        <v>36</v>
      </c>
      <c r="CI163" s="0" t="n">
        <f aca="false">$CH$151</f>
        <v>4.74504591179836</v>
      </c>
      <c r="CJ163" s="0" t="n">
        <f aca="false">$CH$151 / $CH$150</f>
        <v>0.131806830883288</v>
      </c>
      <c r="CN163" s="0" t="s">
        <v>133</v>
      </c>
      <c r="CO163" s="0" t="n">
        <f aca="false">$CO$150</f>
        <v>36</v>
      </c>
      <c r="CP163" s="0" t="n">
        <f aca="false">$CO$151</f>
        <v>3.91122148233463</v>
      </c>
      <c r="CQ163" s="0" t="n">
        <f aca="false">$CO$151 / $CO$150</f>
        <v>0.108645041175962</v>
      </c>
      <c r="CU163" s="0" t="s">
        <v>136</v>
      </c>
      <c r="CV163" s="0" t="n">
        <f aca="false">$CV$161 + $CV$149</f>
        <v>37</v>
      </c>
      <c r="CW163" s="0" t="n">
        <f aca="false">$CU$150 + $CV$150</f>
        <v>2.97922419600596</v>
      </c>
      <c r="DD163" s="0" t="s">
        <v>123</v>
      </c>
      <c r="DE163" s="0" t="s">
        <v>124</v>
      </c>
      <c r="DF163" s="0" t="s">
        <v>125</v>
      </c>
      <c r="DG163" s="0" t="s">
        <v>126</v>
      </c>
      <c r="DH163" s="0" t="s">
        <v>127</v>
      </c>
      <c r="DK163" s="0" t="s">
        <v>123</v>
      </c>
      <c r="DL163" s="0" t="s">
        <v>124</v>
      </c>
      <c r="DM163" s="0" t="s">
        <v>125</v>
      </c>
      <c r="DN163" s="0" t="s">
        <v>126</v>
      </c>
      <c r="DO163" s="0" t="s">
        <v>127</v>
      </c>
      <c r="DR163" s="0" t="s">
        <v>123</v>
      </c>
      <c r="DS163" s="0" t="s">
        <v>124</v>
      </c>
      <c r="DT163" s="0" t="s">
        <v>125</v>
      </c>
      <c r="DU163" s="0" t="s">
        <v>126</v>
      </c>
      <c r="DV163" s="0" t="s">
        <v>127</v>
      </c>
      <c r="DY163" s="0" t="s">
        <v>123</v>
      </c>
      <c r="DZ163" s="0" t="s">
        <v>124</v>
      </c>
      <c r="EA163" s="0" t="s">
        <v>125</v>
      </c>
      <c r="EB163" s="0" t="s">
        <v>126</v>
      </c>
      <c r="EC163" s="0" t="s">
        <v>127</v>
      </c>
    </row>
    <row r="164" customFormat="false" ht="12.8" hidden="false" customHeight="false" outlineLevel="0" collapsed="false">
      <c r="A164" s="8"/>
      <c r="AF164" s="8"/>
      <c r="BI164" s="0" t="n">
        <v>0.594280068926331</v>
      </c>
      <c r="BJ164" s="0" t="n">
        <v>0.319869252348539</v>
      </c>
      <c r="BZ164" s="0" t="s">
        <v>136</v>
      </c>
      <c r="CA164" s="0" t="n">
        <f aca="false">$CA$162 + $CA$150</f>
        <v>38</v>
      </c>
      <c r="CB164" s="0" t="n">
        <f aca="false">$BZ$151 + $CA$151</f>
        <v>9.08843657848397</v>
      </c>
      <c r="CG164" s="0" t="s">
        <v>136</v>
      </c>
      <c r="CH164" s="0" t="n">
        <f aca="false">$CH$162 + $CH$150</f>
        <v>38</v>
      </c>
      <c r="CI164" s="0" t="n">
        <f aca="false">$CG$151 + $CH$151</f>
        <v>8.18136611545983</v>
      </c>
      <c r="CN164" s="0" t="s">
        <v>136</v>
      </c>
      <c r="CO164" s="0" t="n">
        <f aca="false">$CO$162 + $CO$150</f>
        <v>38</v>
      </c>
      <c r="CP164" s="0" t="n">
        <f aca="false">$CN$151 + $CO$151</f>
        <v>9.32289006741893</v>
      </c>
      <c r="DC164" s="0" t="s">
        <v>130</v>
      </c>
      <c r="DD164" s="0" t="n">
        <f aca="false">$DD$158</f>
        <v>2</v>
      </c>
      <c r="DE164" s="0" t="e">
        <f aca="false">$DC$153</f>
        <v>#VALUE!</v>
      </c>
      <c r="DF164" s="0" t="e">
        <f aca="false">$DC$153 / $DD$164</f>
        <v>#VALUE!</v>
      </c>
      <c r="DG164" s="0" t="e">
        <f aca="false">$DC$152</f>
        <v>#VALUE!</v>
      </c>
      <c r="DH164" s="0" t="e">
        <f aca="false">FDIST($DC$152 , $DD$164 , $DD$152)</f>
        <v>#VALUE!</v>
      </c>
      <c r="DJ164" s="0" t="s">
        <v>130</v>
      </c>
      <c r="DK164" s="0" t="n">
        <f aca="false">$DK$158</f>
        <v>2</v>
      </c>
      <c r="DL164" s="0" t="n">
        <f aca="false">$DJ$153</f>
        <v>1.21788256106921</v>
      </c>
      <c r="DM164" s="0" t="n">
        <f aca="false">$DJ$153 / $DK$164</f>
        <v>0.608941280534605</v>
      </c>
      <c r="DN164" s="0" t="n">
        <f aca="false">$DJ$152</f>
        <v>4.9401600447322</v>
      </c>
      <c r="DO164" s="0" t="n">
        <f aca="false">FDIST($DJ$152 , $DK$164 , $DK$152)</f>
        <v>0.025358768972219</v>
      </c>
      <c r="DQ164" s="0" t="s">
        <v>130</v>
      </c>
      <c r="DR164" s="0" t="n">
        <f aca="false">$DR$158</f>
        <v>2</v>
      </c>
      <c r="DS164" s="0" t="n">
        <f aca="false">$DQ$153</f>
        <v>0.859283184923722</v>
      </c>
      <c r="DT164" s="0" t="n">
        <f aca="false">$DQ$153 / $DR$164</f>
        <v>0.429641592461861</v>
      </c>
      <c r="DU164" s="0" t="n">
        <f aca="false">$DQ$152</f>
        <v>5.23457859446192</v>
      </c>
      <c r="DV164" s="0" t="n">
        <f aca="false">FDIST($DQ$152 , $DR$164 , $DR$152)</f>
        <v>0.0214980010952871</v>
      </c>
      <c r="DX164" s="0" t="s">
        <v>130</v>
      </c>
      <c r="DY164" s="0" t="n">
        <f aca="false">$DY$158</f>
        <v>2</v>
      </c>
      <c r="DZ164" s="0" t="n">
        <f aca="false">$DX$153</f>
        <v>1.31268232429178</v>
      </c>
      <c r="EA164" s="0" t="n">
        <f aca="false">$DX$153 / $DY$164</f>
        <v>0.656341162145892</v>
      </c>
      <c r="EB164" s="0" t="n">
        <f aca="false">$DX$152</f>
        <v>5.71880463378272</v>
      </c>
      <c r="EC164" s="0" t="n">
        <f aca="false">FDIST($DX$152 , $DY$164 , $DY$152)</f>
        <v>0.01652913520397</v>
      </c>
    </row>
    <row r="165" customFormat="false" ht="12.8" hidden="false" customHeight="false" outlineLevel="0" collapsed="false">
      <c r="AF165" s="8"/>
      <c r="BI165" s="0" t="n">
        <v>52.7311597059875</v>
      </c>
      <c r="BJ165" s="0" t="n">
        <v>36</v>
      </c>
      <c r="CU165" s="0" t="s">
        <v>141</v>
      </c>
      <c r="CV165" s="0" t="n">
        <v>0.95</v>
      </c>
      <c r="DC165" s="0" t="s">
        <v>133</v>
      </c>
      <c r="DD165" s="0" t="e">
        <f aca="false">$DD$152</f>
        <v>#VALUE!</v>
      </c>
      <c r="DE165" s="0" t="e">
        <f aca="false">$DD$153</f>
        <v>#VALUE!</v>
      </c>
      <c r="DF165" s="0" t="e">
        <f aca="false">$DD$153 / $DD$152</f>
        <v>#VALUE!</v>
      </c>
      <c r="DJ165" s="0" t="s">
        <v>133</v>
      </c>
      <c r="DK165" s="0" t="n">
        <f aca="false">$DK$152</f>
        <v>13</v>
      </c>
      <c r="DL165" s="0" t="n">
        <f aca="false">$DK$153</f>
        <v>1.60242513911895</v>
      </c>
      <c r="DM165" s="0" t="n">
        <f aca="false">$DK$153 / $DK$152</f>
        <v>0.123263472239919</v>
      </c>
      <c r="DQ165" s="0" t="s">
        <v>133</v>
      </c>
      <c r="DR165" s="0" t="n">
        <f aca="false">$DR$152</f>
        <v>13</v>
      </c>
      <c r="DS165" s="0" t="n">
        <f aca="false">$DR$153</f>
        <v>1.06700866196056</v>
      </c>
      <c r="DT165" s="0" t="n">
        <f aca="false">$DR$153 / $DR$152</f>
        <v>0.0820775893815815</v>
      </c>
      <c r="DX165" s="0" t="s">
        <v>133</v>
      </c>
      <c r="DY165" s="0" t="n">
        <f aca="false">$DY$152</f>
        <v>13</v>
      </c>
      <c r="DZ165" s="0" t="n">
        <f aca="false">$DY$153</f>
        <v>1.49199625696127</v>
      </c>
      <c r="EA165" s="0" t="n">
        <f aca="false">$DY$153 / $DY$152</f>
        <v>0.114768942843175</v>
      </c>
    </row>
    <row r="166" customFormat="false" ht="12.8" hidden="false" customHeight="false" outlineLevel="0" collapsed="false">
      <c r="AF166" s="8"/>
      <c r="BI166" s="0" t="n">
        <v>5.39525919114373</v>
      </c>
      <c r="BJ166" s="0" t="n">
        <v>3.68338818952847</v>
      </c>
      <c r="BZ166" s="0" t="s">
        <v>141</v>
      </c>
      <c r="CA166" s="0" t="n">
        <v>0.95</v>
      </c>
      <c r="CG166" s="0" t="s">
        <v>141</v>
      </c>
      <c r="CH166" s="0" t="n">
        <v>0.95</v>
      </c>
      <c r="CN166" s="0" t="s">
        <v>141</v>
      </c>
      <c r="CO166" s="0" t="n">
        <v>0.95</v>
      </c>
      <c r="DC166" s="0" t="s">
        <v>136</v>
      </c>
      <c r="DD166" s="0" t="e">
        <f aca="false">$DD$164 + $DD$152</f>
        <v>#VALUE!</v>
      </c>
      <c r="DE166" s="0" t="e">
        <f aca="false">$DC$153 + $DD$153</f>
        <v>#VALUE!</v>
      </c>
      <c r="DJ166" s="0" t="s">
        <v>136</v>
      </c>
      <c r="DK166" s="0" t="n">
        <f aca="false">$DK$164 + $DK$152</f>
        <v>15</v>
      </c>
      <c r="DL166" s="0" t="n">
        <f aca="false">$DJ$153 + $DK$153</f>
        <v>2.82030770018816</v>
      </c>
      <c r="DQ166" s="0" t="s">
        <v>136</v>
      </c>
      <c r="DR166" s="0" t="n">
        <f aca="false">$DR$164 + $DR$152</f>
        <v>15</v>
      </c>
      <c r="DS166" s="0" t="n">
        <f aca="false">$DQ$153 + $DR$153</f>
        <v>1.92629184688428</v>
      </c>
      <c r="DX166" s="0" t="s">
        <v>136</v>
      </c>
      <c r="DY166" s="0" t="n">
        <f aca="false">$DY$164 + $DY$152</f>
        <v>15</v>
      </c>
      <c r="DZ166" s="0" t="n">
        <f aca="false">$DX$153 + $DY$153</f>
        <v>2.80467858125305</v>
      </c>
    </row>
    <row r="167" customFormat="false" ht="12.8" hidden="false" customHeight="false" outlineLevel="0" collapsed="false">
      <c r="AF167" s="8"/>
      <c r="CV167" s="0" t="s">
        <v>146</v>
      </c>
      <c r="CW167" s="0" t="s">
        <v>106</v>
      </c>
      <c r="CX167" s="0" t="s">
        <v>147</v>
      </c>
      <c r="CY167" s="0" t="s">
        <v>148</v>
      </c>
      <c r="CZ167" s="0" t="str">
        <f aca="false">_xlfn.CONCAT("Lower " , INT($CV$165 * 100) , "%")</f>
        <v>Lower 95%</v>
      </c>
      <c r="DA167" s="0" t="str">
        <f aca="false">_xlfn.CONCAT("Upper " , INT($CV$165 * 100) , "%")</f>
        <v>Upper 95%</v>
      </c>
    </row>
    <row r="168" customFormat="false" ht="12.8" hidden="false" customHeight="false" outlineLevel="0" collapsed="false">
      <c r="AF168" s="8"/>
      <c r="BI168" s="0" t="s">
        <v>100</v>
      </c>
      <c r="CA168" s="0" t="s">
        <v>146</v>
      </c>
      <c r="CB168" s="0" t="s">
        <v>106</v>
      </c>
      <c r="CC168" s="0" t="s">
        <v>147</v>
      </c>
      <c r="CD168" s="0" t="s">
        <v>148</v>
      </c>
      <c r="CE168" s="0" t="str">
        <f aca="false">_xlfn.CONCAT("Lower " , INT($CA$166 * 100) , "%")</f>
        <v>Lower 95%</v>
      </c>
      <c r="CF168" s="0" t="str">
        <f aca="false">_xlfn.CONCAT("Upper " , INT($CA$166 * 100) , "%")</f>
        <v>Upper 95%</v>
      </c>
      <c r="CH168" s="0" t="s">
        <v>146</v>
      </c>
      <c r="CI168" s="0" t="s">
        <v>106</v>
      </c>
      <c r="CJ168" s="0" t="s">
        <v>147</v>
      </c>
      <c r="CK168" s="0" t="s">
        <v>148</v>
      </c>
      <c r="CL168" s="0" t="str">
        <f aca="false">_xlfn.CONCAT("Lower " , INT($CH$166 * 100) , "%")</f>
        <v>Lower 95%</v>
      </c>
      <c r="CM168" s="0" t="str">
        <f aca="false">_xlfn.CONCAT("Upper " , INT($CH$166 * 100) , "%")</f>
        <v>Upper 95%</v>
      </c>
      <c r="CO168" s="0" t="s">
        <v>146</v>
      </c>
      <c r="CP168" s="0" t="s">
        <v>106</v>
      </c>
      <c r="CQ168" s="0" t="s">
        <v>147</v>
      </c>
      <c r="CR168" s="0" t="s">
        <v>148</v>
      </c>
      <c r="CS168" s="0" t="str">
        <f aca="false">_xlfn.CONCAT("Lower " , INT($CO$166 * 100) , "%")</f>
        <v>Lower 95%</v>
      </c>
      <c r="CT168" s="0" t="str">
        <f aca="false">_xlfn.CONCAT("Upper " , INT($CO$166 * 100) , "%")</f>
        <v>Upper 95%</v>
      </c>
      <c r="CU168" s="0" t="str">
        <f aca="false">"Intercept"</f>
        <v>Intercept</v>
      </c>
      <c r="CV168" s="0" t="n">
        <f aca="false" t="array" ref="CV168:CV169">INDEX($CU$146:$CV$146, 1 , 170 - ROW())</f>
        <v>2.71586433606135</v>
      </c>
      <c r="CW168" s="0" t="n">
        <f aca="false" t="array" ref="CW168:CW169">INDEX($CU$147:$CV$147, 1 , 170 - ROW())</f>
        <v>0.282558487684138</v>
      </c>
      <c r="CX168" s="0" t="n">
        <f aca="false" t="array" ref="CX168:CX169">$CV$168:$CV$169 / $CW$168:$CW$169</f>
        <v>9.61168909955843</v>
      </c>
      <c r="CY168" s="0" t="n">
        <f aca="false" t="array" ref="CY168:CY169">TDIST(ABS($CX$168:$CX$169) , $CV$149 , 2 )</f>
        <v>1.77048969775167E-011</v>
      </c>
      <c r="CZ168" s="0" t="n">
        <f aca="false" t="array" ref="CZ168:CZ169">$CV$168:$CV$169 - $CW$168:$CW$169 * TINV(1 - $CV$165 , $CV$149)</f>
        <v>2.14280916226304</v>
      </c>
      <c r="DA168" s="0" t="n">
        <f aca="false" t="array" ref="DA168:DA169">$CV$168:$CV$169 + $CW$168:$CW$169 * TINV(1 - $CV$165 , $CV$149)</f>
        <v>3.28891950985966</v>
      </c>
      <c r="DC168" s="0" t="s">
        <v>141</v>
      </c>
      <c r="DD168" s="0" t="n">
        <v>0.95</v>
      </c>
      <c r="DJ168" s="0" t="s">
        <v>141</v>
      </c>
      <c r="DK168" s="0" t="n">
        <v>0.95</v>
      </c>
      <c r="DQ168" s="0" t="s">
        <v>141</v>
      </c>
      <c r="DR168" s="0" t="n">
        <v>0.95</v>
      </c>
      <c r="DX168" s="0" t="s">
        <v>141</v>
      </c>
      <c r="DY168" s="0" t="n">
        <v>0.95</v>
      </c>
    </row>
    <row r="169" customFormat="false" ht="12.8" hidden="false" customHeight="false" outlineLevel="0" collapsed="false">
      <c r="AF169" s="8"/>
      <c r="BI169" s="0" t="s">
        <v>103</v>
      </c>
      <c r="BJ169" s="0" t="n">
        <f aca="false">$BI$164</f>
        <v>0.594280068926331</v>
      </c>
      <c r="BZ169" s="0" t="str">
        <f aca="false">"Intercept"</f>
        <v>Intercept</v>
      </c>
      <c r="CA169" s="0" t="n">
        <f aca="false" t="array" ref="CA169:CA171">INDEX($BZ$147:$CB$147, 1 , 172 - ROW())</f>
        <v>35.8416994123029</v>
      </c>
      <c r="CB169" s="0" t="n">
        <f aca="false" t="array" ref="CB169:CB171">INDEX($BZ$148:$CB$148, 1 , 172 - ROW())</f>
        <v>0.479409493845342</v>
      </c>
      <c r="CC169" s="0" t="n">
        <f aca="false" t="array" ref="CC169:CC171">$CA$169:$CA$171 / $CB$169:$CB$171</f>
        <v>74.7621811258195</v>
      </c>
      <c r="CD169" s="0" t="n">
        <f aca="false" t="array" ref="CD169:CD171">TDIST(ABS($CC$169:$CC$171) , $CA$150 , 2 )</f>
        <v>4.29338728139728E-041</v>
      </c>
      <c r="CE169" s="0" t="n">
        <f aca="false" t="array" ref="CE169:CE171">$CA$169:$CA$171 - $CB$169:$CB$171 * TINV(1 - $CA$166 , $CA$150)</f>
        <v>34.8694118938221</v>
      </c>
      <c r="CF169" s="0" t="n">
        <f aca="false" t="array" ref="CF169:CF171">$CA$169:$CA$171 + $CB$169:$CB$171 * TINV(1 - $CA$166 , $CA$150)</f>
        <v>36.8139869307837</v>
      </c>
      <c r="CG169" s="0" t="str">
        <f aca="false">"Intercept"</f>
        <v>Intercept</v>
      </c>
      <c r="CH169" s="0" t="n">
        <f aca="false" t="array" ref="CH169:CH171">INDEX($CG$147:$CI$147, 1 , 172 - ROW())</f>
        <v>37.2650488189149</v>
      </c>
      <c r="CI169" s="0" t="n">
        <f aca="false" t="array" ref="CI169:CI171">INDEX($CG$148:$CI$148, 1 , 172 - ROW())</f>
        <v>0.604762770328455</v>
      </c>
      <c r="CJ169" s="0" t="n">
        <f aca="false" t="array" ref="CJ169:CJ171">$CH$169:$CH$171 / $CI$169:$CI$171</f>
        <v>61.6192838700631</v>
      </c>
      <c r="CK169" s="0" t="n">
        <f aca="false" t="array" ref="CK169:CK171">TDIST(ABS($CJ$169:$CJ$171) , $CH$150 , 2 )</f>
        <v>4.29131715575943E-038</v>
      </c>
      <c r="CL169" s="0" t="n">
        <f aca="false" t="array" ref="CL169:CL171">$CH$169:$CH$171 - $CI$169:$CI$171 * TINV(1 - $CH$166 , $CH$150)</f>
        <v>36.0385330723954</v>
      </c>
      <c r="CM169" s="0" t="n">
        <f aca="false" t="array" ref="CM169:CM171">$CH$169:$CH$171 + $CI$169:$CI$171 * TINV(1 - $CH$166 , $CH$150)</f>
        <v>38.4915645654343</v>
      </c>
      <c r="CN169" s="0" t="str">
        <f aca="false">"Intercept"</f>
        <v>Intercept</v>
      </c>
      <c r="CO169" s="0" t="n">
        <f aca="false" t="array" ref="CO169:CO171">INDEX($CN$147:$CP$147, 1 , 172 - ROW())</f>
        <v>36.3347814469617</v>
      </c>
      <c r="CP169" s="0" t="n">
        <f aca="false" t="array" ref="CP169:CP171">INDEX($CN$148:$CP$148, 1 , 172 - ROW())</f>
        <v>0.549061564433446</v>
      </c>
      <c r="CQ169" s="0" t="n">
        <f aca="false" t="array" ref="CQ169:CQ171">$CO$169:$CO$171 / $CP$169:$CP$171</f>
        <v>66.1761518208875</v>
      </c>
      <c r="CR169" s="0" t="n">
        <f aca="false" t="array" ref="CR169:CR171">TDIST(ABS($CQ$169:$CQ$171) , $CO$150 , 2 )</f>
        <v>3.36239093444858E-039</v>
      </c>
      <c r="CS169" s="0" t="n">
        <f aca="false" t="array" ref="CS169:CS171">$CO$169:$CO$171 - $CP$169:$CP$171 * TINV(1 - $CO$166 , $CO$150)</f>
        <v>35.2212329819653</v>
      </c>
      <c r="CT169" s="0" t="n">
        <f aca="false" t="array" ref="CT169:CT171">$CO$169:$CO$171 + $CP$169:$CP$171 * TINV(1 - $CO$166 , $CO$150)</f>
        <v>37.4483299119582</v>
      </c>
      <c r="CU169" s="0" t="str">
        <f aca="false">$BO$52</f>
        <v>log(O/H)</v>
      </c>
      <c r="CV169" s="0" t="n">
        <v>-0.00376990711108772</v>
      </c>
      <c r="CW169" s="0" t="n">
        <v>0.0354115228199632</v>
      </c>
      <c r="CX169" s="0" t="n">
        <v>-0.106459898103067</v>
      </c>
      <c r="CY169" s="0" t="n">
        <v>0.915808519599024</v>
      </c>
      <c r="CZ169" s="0" t="n">
        <v>-0.0755878041078374</v>
      </c>
      <c r="DA169" s="0" t="n">
        <v>0.068047989885662</v>
      </c>
    </row>
    <row r="170" customFormat="false" ht="12.8" hidden="false" customHeight="false" outlineLevel="0" collapsed="false">
      <c r="AF170" s="8"/>
      <c r="BI170" s="0" t="s">
        <v>106</v>
      </c>
      <c r="BJ170" s="0" t="n">
        <f aca="false">$BJ$164</f>
        <v>0.319869252348539</v>
      </c>
      <c r="BS170" s="24"/>
      <c r="BZ170" s="24" t="str">
        <f aca="false">$BI$52</f>
        <v>log (r)</v>
      </c>
      <c r="CA170" s="0" t="n">
        <v>0.614660953158255</v>
      </c>
      <c r="CB170" s="0" t="n">
        <v>0.207914474105837</v>
      </c>
      <c r="CC170" s="0" t="n">
        <v>2.95631632093766</v>
      </c>
      <c r="CD170" s="0" t="n">
        <v>0.00546587767776847</v>
      </c>
      <c r="CE170" s="0" t="n">
        <v>0.192990855507203</v>
      </c>
      <c r="CF170" s="0" t="n">
        <v>1.03633105080931</v>
      </c>
      <c r="CG170" s="24" t="str">
        <f aca="false">$BI$52</f>
        <v>log (r)</v>
      </c>
      <c r="CH170" s="0" t="n">
        <v>0.32585969882725</v>
      </c>
      <c r="CI170" s="0" t="n">
        <v>0.262278772043244</v>
      </c>
      <c r="CJ170" s="0" t="n">
        <v>1.24241735725956</v>
      </c>
      <c r="CK170" s="0" t="n">
        <v>0.222115090960555</v>
      </c>
      <c r="CL170" s="0" t="n">
        <v>-0.206066305338173</v>
      </c>
      <c r="CM170" s="0" t="n">
        <v>0.857785702992673</v>
      </c>
      <c r="CN170" s="24" t="str">
        <f aca="false">$BI$52</f>
        <v>log (r)</v>
      </c>
      <c r="CO170" s="0" t="n">
        <v>0.53507594205709</v>
      </c>
      <c r="CP170" s="0" t="n">
        <v>0.23812178917286</v>
      </c>
      <c r="CQ170" s="0" t="n">
        <v>2.24706837587493</v>
      </c>
      <c r="CR170" s="0" t="n">
        <v>0.0308598820781949</v>
      </c>
      <c r="CS170" s="0" t="n">
        <v>0.0521425699328822</v>
      </c>
      <c r="CT170" s="0" t="n">
        <v>1.0180093141813</v>
      </c>
      <c r="DD170" s="0" t="s">
        <v>146</v>
      </c>
      <c r="DE170" s="0" t="s">
        <v>106</v>
      </c>
      <c r="DF170" s="0" t="s">
        <v>147</v>
      </c>
      <c r="DG170" s="0" t="s">
        <v>148</v>
      </c>
      <c r="DH170" s="0" t="str">
        <f aca="false">_xlfn.CONCAT("Lower " , INT($DD$168 * 100) , "%")</f>
        <v>Lower 95%</v>
      </c>
      <c r="DI170" s="0" t="str">
        <f aca="false">_xlfn.CONCAT("Upper " , INT($DD$168 * 100) , "%")</f>
        <v>Upper 95%</v>
      </c>
      <c r="DK170" s="0" t="s">
        <v>146</v>
      </c>
      <c r="DL170" s="0" t="s">
        <v>106</v>
      </c>
      <c r="DM170" s="0" t="s">
        <v>147</v>
      </c>
      <c r="DN170" s="0" t="s">
        <v>148</v>
      </c>
      <c r="DO170" s="0" t="str">
        <f aca="false">_xlfn.CONCAT("Lower " , INT($DK$168 * 100) , "%")</f>
        <v>Lower 95%</v>
      </c>
      <c r="DP170" s="0" t="str">
        <f aca="false">_xlfn.CONCAT("Upper " , INT($DK$168 * 100) , "%")</f>
        <v>Upper 95%</v>
      </c>
      <c r="DR170" s="0" t="s">
        <v>146</v>
      </c>
      <c r="DS170" s="0" t="s">
        <v>106</v>
      </c>
      <c r="DT170" s="0" t="s">
        <v>147</v>
      </c>
      <c r="DU170" s="0" t="s">
        <v>148</v>
      </c>
      <c r="DV170" s="0" t="str">
        <f aca="false">_xlfn.CONCAT("Lower " , INT($DR$168 * 100) , "%")</f>
        <v>Lower 95%</v>
      </c>
      <c r="DW170" s="0" t="str">
        <f aca="false">_xlfn.CONCAT("Upper " , INT($DR$168 * 100) , "%")</f>
        <v>Upper 95%</v>
      </c>
      <c r="DY170" s="0" t="s">
        <v>146</v>
      </c>
      <c r="DZ170" s="0" t="s">
        <v>106</v>
      </c>
      <c r="EA170" s="0" t="s">
        <v>147</v>
      </c>
      <c r="EB170" s="0" t="s">
        <v>148</v>
      </c>
      <c r="EC170" s="0" t="str">
        <f aca="false">_xlfn.CONCAT("Lower " , INT($DY$168 * 100) , "%")</f>
        <v>Lower 95%</v>
      </c>
      <c r="ED170" s="0" t="str">
        <f aca="false">_xlfn.CONCAT("Upper " , INT($DY$168 * 100) , "%")</f>
        <v>Upper 95%</v>
      </c>
    </row>
    <row r="171" customFormat="false" ht="12.8" hidden="false" customHeight="false" outlineLevel="0" collapsed="false">
      <c r="AF171" s="8"/>
      <c r="BI171" s="0" t="s">
        <v>109</v>
      </c>
      <c r="BJ171" s="0" t="n">
        <f aca="false">1</f>
        <v>1</v>
      </c>
      <c r="BS171" s="24"/>
      <c r="BZ171" s="24" t="str">
        <f aca="false">$BJ$52</f>
        <v>log (σHβ) (Km s-¹)</v>
      </c>
      <c r="CA171" s="0" t="n">
        <v>2.04055656410502</v>
      </c>
      <c r="CB171" s="0" t="n">
        <v>0.427569645176809</v>
      </c>
      <c r="CC171" s="0" t="n">
        <v>4.77245423552274</v>
      </c>
      <c r="CD171" s="0" t="n">
        <v>3.00521359568749E-005</v>
      </c>
      <c r="CE171" s="0" t="n">
        <v>1.17340513172059</v>
      </c>
      <c r="CF171" s="0" t="n">
        <v>2.90770799648944</v>
      </c>
      <c r="CG171" s="24" t="str">
        <f aca="false">$BJ$52</f>
        <v>log (σHβ) (Km s-¹)</v>
      </c>
      <c r="CH171" s="0" t="n">
        <v>1.76372272942815</v>
      </c>
      <c r="CI171" s="0" t="n">
        <v>0.539368131931278</v>
      </c>
      <c r="CJ171" s="0" t="n">
        <v>3.26997949084034</v>
      </c>
      <c r="CK171" s="0" t="n">
        <v>0.00237273522045774</v>
      </c>
      <c r="CL171" s="0" t="n">
        <v>0.669833456738291</v>
      </c>
      <c r="CM171" s="0" t="n">
        <v>2.857612002118</v>
      </c>
      <c r="CN171" s="24" t="str">
        <f aca="false">$BJ$52</f>
        <v>log (σHβ) (Km s-¹)</v>
      </c>
      <c r="CO171" s="0" t="n">
        <v>1.99912862203331</v>
      </c>
      <c r="CP171" s="0" t="n">
        <v>0.489690048484452</v>
      </c>
      <c r="CQ171" s="0" t="n">
        <v>4.0824366928028</v>
      </c>
      <c r="CR171" s="0" t="n">
        <v>0.000236844810292942</v>
      </c>
      <c r="CS171" s="0" t="n">
        <v>1.00599117236216</v>
      </c>
      <c r="CT171" s="0" t="n">
        <v>2.99226607170445</v>
      </c>
      <c r="CU171" s="0" t="str">
        <f aca="false">$BO$52</f>
        <v>log(O/H)</v>
      </c>
      <c r="CV171" s="0" t="s">
        <v>157</v>
      </c>
      <c r="CW171" s="0" t="str">
        <f aca="false">$BJ$94</f>
        <v>log (R)</v>
      </c>
      <c r="CX171" s="0" t="s">
        <v>133</v>
      </c>
      <c r="CY171" s="26" t="s">
        <v>158</v>
      </c>
      <c r="DC171" s="0" t="str">
        <f aca="false">"Intercept"</f>
        <v>Intercept</v>
      </c>
      <c r="DD171" s="0" t="e">
        <f aca="false" t="array" ref="DD171:DD171">INDEX($DC$149:$DE$149, 1 , 174 - ROW())</f>
        <v>#VALUE!</v>
      </c>
      <c r="DE171" s="0" t="e">
        <f aca="false" t="array" ref="DE171:DE171">INDEX($DC$150:$DE$150, 1 , 174 - ROW())</f>
        <v>#VALUE!</v>
      </c>
      <c r="DF171" s="0" t="e">
        <f aca="false" t="array" ref="DF171:DF173">$DD$171:$DD$173 / $DE$171:$DE$173</f>
        <v>#VALUE!</v>
      </c>
      <c r="DG171" s="0" t="e">
        <f aca="false" t="array" ref="DG171:DG173">TDIST(ABS($DF$171:$DF$173) , $DD$152 , 2 )</f>
        <v>#VALUE!</v>
      </c>
      <c r="DH171" s="0" t="e">
        <f aca="false" t="array" ref="DH171:DH173">$DD$171:$DD$173 - $DE$171:$DE$173 * TINV(1 - $DD$168 , $DD$152)</f>
        <v>#VALUE!</v>
      </c>
      <c r="DI171" s="0" t="e">
        <f aca="false" t="array" ref="DI171:DI173">$DD$171:$DD$173 + $DE$171:$DE$173 * TINV(1 - $DD$168 , $DD$152)</f>
        <v>#VALUE!</v>
      </c>
      <c r="DJ171" s="0" t="str">
        <f aca="false">"Intercept"</f>
        <v>Intercept</v>
      </c>
      <c r="DK171" s="0" t="n">
        <f aca="false" t="array" ref="DK171:DK171">INDEX($DJ$149:$DL$149, 1 , 174 - ROW())</f>
        <v>37.1794084527819</v>
      </c>
      <c r="DL171" s="0" t="n">
        <f aca="false" t="array" ref="DL171:DL171">INDEX($DJ$150:$DL$150, 1 , 174 - ROW())</f>
        <v>3.00615461582369</v>
      </c>
      <c r="DM171" s="0" t="n">
        <f aca="false" t="array" ref="DM171:DM173">$DK$171:$DK$173 / $DL$171:$DL$173</f>
        <v>12.3677632072144</v>
      </c>
      <c r="DN171" s="0" t="n">
        <f aca="false" t="array" ref="DN171:DN173">TDIST(ABS($DM$171:$DM$173) , $DK$152 , 2 )</f>
        <v>1.45374707627024E-008</v>
      </c>
      <c r="DO171" s="0" t="n">
        <f aca="false" t="array" ref="DO171:DO173">$DK$171:$DK$173 - $DL$171:$DL$173 * TINV(1 - $DK$168 , $DK$152)</f>
        <v>30.6850062442754</v>
      </c>
      <c r="DP171" s="0" t="n">
        <f aca="false" t="array" ref="DP171:DP173">$DK$171:$DK$173 + $DL$171:$DL$173 * TINV(1 - $DK$168 , $DK$152)</f>
        <v>43.6738106612883</v>
      </c>
      <c r="DQ171" s="0" t="str">
        <f aca="false">"Intercept"</f>
        <v>Intercept</v>
      </c>
      <c r="DR171" s="0" t="n">
        <f aca="false" t="array" ref="DR171:DR171">INDEX($DQ$149:$DS$149, 1 , 174 - ROW())</f>
        <v>38.6216477461591</v>
      </c>
      <c r="DS171" s="0" t="n">
        <f aca="false" t="array" ref="DS171:DS171">INDEX($DQ$150:$DS$150, 1 , 174 - ROW())</f>
        <v>2.45305006331055</v>
      </c>
      <c r="DT171" s="0" t="n">
        <f aca="false" t="array" ref="DT171:DT173">$DR$171:$DR$173 / $DS$171:$DS$173</f>
        <v>15.7443373552828</v>
      </c>
      <c r="DU171" s="0" t="n">
        <f aca="false" t="array" ref="DU171:DU173">TDIST(ABS($DT$171:$DT$173) , $DR$152 , 2 )</f>
        <v>7.58470583201295E-010</v>
      </c>
      <c r="DV171" s="0" t="n">
        <f aca="false" t="array" ref="DV171:DV173">$DR$171:$DR$173 - $DS$171:$DS$173 * TINV(1 - $DR$168 , $DR$152)</f>
        <v>33.3221552766489</v>
      </c>
      <c r="DW171" s="0" t="n">
        <f aca="false" t="array" ref="DW171:DW173">$DR$171:$DR$173 + $DS$171:$DS$173 * TINV(1 - $DR$168 , $DR$152)</f>
        <v>43.9211402156693</v>
      </c>
      <c r="DX171" s="0" t="str">
        <f aca="false">"Intercept"</f>
        <v>Intercept</v>
      </c>
      <c r="DY171" s="0" t="n">
        <f aca="false" t="array" ref="DY171:DY171">INDEX($DX$149:$DZ$149, 1 , 174 - ROW())</f>
        <v>36.4964770342873</v>
      </c>
      <c r="DZ171" s="0" t="n">
        <f aca="false" t="array" ref="DZ171:DZ171">INDEX($DX$150:$DZ$150, 1 , 174 - ROW())</f>
        <v>2.90072331666596</v>
      </c>
      <c r="EA171" s="0" t="n">
        <f aca="false" t="array" ref="EA171:EA173">$DY$171:$DY$173 / $DZ$171:$DZ$173</f>
        <v>12.5818539205717</v>
      </c>
      <c r="EB171" s="0" t="n">
        <f aca="false" t="array" ref="EB171:EB173">TDIST(ABS($EA$171:$EA$173) , $DY$152 , 2 )</f>
        <v>1.18187376708403E-008</v>
      </c>
      <c r="EC171" s="0" t="n">
        <f aca="false" t="array" ref="EC171:EC173">$DY$171:$DY$173 - $DZ$171:$DZ$173 * TINV(1 - $DY$168 , $DY$152)</f>
        <v>30.2298452998914</v>
      </c>
      <c r="ED171" s="0" t="n">
        <f aca="false" t="array" ref="ED171:ED173">$DY$171:$DY$173 + $DZ$171:$DZ$173 * TINV(1 - $DY$168 , $DY$152)</f>
        <v>42.7631087686832</v>
      </c>
    </row>
    <row r="172" customFormat="false" ht="12.8" hidden="false" customHeight="false" outlineLevel="0" collapsed="false">
      <c r="AF172" s="8"/>
      <c r="BI172" s="0" t="s">
        <v>112</v>
      </c>
      <c r="BJ172" s="0" t="n">
        <f aca="false">38</f>
        <v>38</v>
      </c>
      <c r="CU172" s="0" t="n">
        <f aca="false" t="array" ref="CU172:CU209">$BO$53:$BO$90</f>
        <v>7.73</v>
      </c>
      <c r="CV172" s="0" t="n">
        <f aca="false" t="array" ref="CV172:CV209">MMULT($CU$172:$CU$209 , $CV$169) + $CV$168</f>
        <v>2.68672295409264</v>
      </c>
      <c r="CW172" s="0" t="n">
        <f aca="false" t="array" ref="CW172:CW209">$BJ$95:$BJ$132</f>
        <v>2.62956092768934</v>
      </c>
      <c r="CX172" s="0" t="n">
        <f aca="false" t="array" ref="CX172:CX209">$CW$172:$CW$209 - $CV$172:$CV$209</f>
        <v>-0.0571620264032982</v>
      </c>
      <c r="CY172" s="20" t="n">
        <f aca="false">(CX172)^2</f>
        <v>0.00326749726253135</v>
      </c>
      <c r="DC172" s="24" t="str">
        <f aca="false">$BL$137</f>
        <v>Log(O/H) 2011</v>
      </c>
      <c r="DD172" s="0" t="n">
        <v>37.1809243163861</v>
      </c>
      <c r="DE172" s="0" t="n">
        <v>3.00615461582363</v>
      </c>
      <c r="DF172" s="0" t="n">
        <v>12.3682674605874</v>
      </c>
      <c r="DG172" s="0" t="e">
        <v>#VALUE!</v>
      </c>
      <c r="DH172" s="0" t="e">
        <v>#VALUE!</v>
      </c>
      <c r="DI172" s="0" t="e">
        <v>#VALUE!</v>
      </c>
      <c r="DJ172" s="24" t="str">
        <f aca="false">$BL$137</f>
        <v>Log(O/H) 2011</v>
      </c>
      <c r="DK172" s="0" t="n">
        <v>37.601588956218</v>
      </c>
      <c r="DL172" s="0" t="n">
        <v>2.97778162331132</v>
      </c>
      <c r="DM172" s="0" t="n">
        <v>12.6273829692067</v>
      </c>
      <c r="DN172" s="0" t="n">
        <v>1.13140569111472E-008</v>
      </c>
      <c r="DO172" s="0" t="n">
        <v>31.1684828714253</v>
      </c>
      <c r="DP172" s="0" t="n">
        <v>44.0346950410107</v>
      </c>
      <c r="DQ172" s="24" t="str">
        <f aca="false">$BL$137</f>
        <v>Log(O/H) 2011</v>
      </c>
      <c r="DR172" s="0" t="n">
        <v>38.6216477461591</v>
      </c>
      <c r="DS172" s="0" t="n">
        <v>2.45305006331055</v>
      </c>
      <c r="DT172" s="0" t="n">
        <v>15.7443373552828</v>
      </c>
      <c r="DU172" s="0" t="n">
        <v>7.58470583201295E-010</v>
      </c>
      <c r="DV172" s="0" t="n">
        <v>33.3221552766489</v>
      </c>
      <c r="DW172" s="0" t="n">
        <v>43.9211402156693</v>
      </c>
      <c r="DX172" s="24" t="str">
        <f aca="false">$BL$137</f>
        <v>Log(O/H) 2011</v>
      </c>
      <c r="DY172" s="0" t="n">
        <v>36.4964770342873</v>
      </c>
      <c r="DZ172" s="0" t="n">
        <v>2.90072331666596</v>
      </c>
      <c r="EA172" s="0" t="n">
        <v>12.5818539205717</v>
      </c>
      <c r="EB172" s="0" t="n">
        <v>1.18187376708401E-008</v>
      </c>
      <c r="EC172" s="0" t="n">
        <v>30.2298452998914</v>
      </c>
      <c r="ED172" s="0" t="n">
        <v>42.7631087686832</v>
      </c>
    </row>
    <row r="173" customFormat="false" ht="12.8" hidden="false" customHeight="false" outlineLevel="0" collapsed="false">
      <c r="AF173" s="8"/>
      <c r="BI173" s="0" t="s">
        <v>115</v>
      </c>
      <c r="BJ173" s="0" t="n">
        <f aca="false">1 - (1 - $BI$164)*($BJ$172 - 1)/($BJ$172 - $BJ$171 - 1)</f>
        <v>0.583010070840951</v>
      </c>
      <c r="BZ173" s="0" t="str">
        <f aca="false">$BI$52</f>
        <v>log (r)</v>
      </c>
      <c r="CA173" s="0" t="str">
        <f aca="false">$BJ$52</f>
        <v>log (σHβ) (Km s-¹)</v>
      </c>
      <c r="CB173" s="0" t="s">
        <v>157</v>
      </c>
      <c r="CC173" s="0" t="str">
        <f aca="false">$BF$2</f>
        <v>log (LHβ) (erg s-¹) KTC</v>
      </c>
      <c r="CD173" s="0" t="s">
        <v>133</v>
      </c>
      <c r="CE173" s="26" t="s">
        <v>158</v>
      </c>
      <c r="CG173" s="0" t="str">
        <f aca="false">$BI$52</f>
        <v>log (r)</v>
      </c>
      <c r="CH173" s="0" t="str">
        <f aca="false">$BJ$52</f>
        <v>log (σHβ) (Km s-¹)</v>
      </c>
      <c r="CI173" s="0" t="s">
        <v>157</v>
      </c>
      <c r="CJ173" s="0" t="str">
        <f aca="false">$BG$2</f>
        <v>log (LHβ) (erg s-¹) NTT</v>
      </c>
      <c r="CK173" s="0" t="s">
        <v>133</v>
      </c>
      <c r="CL173" s="26" t="s">
        <v>158</v>
      </c>
      <c r="CN173" s="0" t="str">
        <f aca="false">$BI$52</f>
        <v>log (r)</v>
      </c>
      <c r="CO173" s="0" t="str">
        <f aca="false">$BJ$52</f>
        <v>log (σHβ) (Km s-¹)</v>
      </c>
      <c r="CP173" s="0" t="s">
        <v>157</v>
      </c>
      <c r="CQ173" s="0" t="str">
        <f aca="false">$BH$2</f>
        <v>log(LHβ) B.K (erg s-¹) NTT</v>
      </c>
      <c r="CR173" s="0" t="s">
        <v>133</v>
      </c>
      <c r="CS173" s="26" t="s">
        <v>158</v>
      </c>
      <c r="CU173" s="0" t="n">
        <v>8.18</v>
      </c>
      <c r="CV173" s="0" t="n">
        <v>2.68502649589265</v>
      </c>
      <c r="CW173" s="0" t="n">
        <v>2.78221676211721</v>
      </c>
      <c r="CX173" s="0" t="n">
        <v>0.0971902662245614</v>
      </c>
      <c r="CY173" s="20" t="n">
        <f aca="false">(CX173)^2</f>
        <v>0.00944594784880112</v>
      </c>
      <c r="DC173" s="24" t="str">
        <f aca="false">$BM$137</f>
        <v>Log(σH) 2011</v>
      </c>
      <c r="DD173" s="0" t="n">
        <v>37.1809243163861</v>
      </c>
      <c r="DE173" s="0" t="n">
        <v>3.00615461582363</v>
      </c>
      <c r="DF173" s="0" t="n">
        <v>12.3682674605874</v>
      </c>
      <c r="DG173" s="0" t="e">
        <v>#VALUE!</v>
      </c>
      <c r="DH173" s="0" t="e">
        <v>#VALUE!</v>
      </c>
      <c r="DI173" s="0" t="e">
        <v>#VALUE!</v>
      </c>
      <c r="DJ173" s="24" t="str">
        <f aca="false">$BM$137</f>
        <v>Log(σH) 2011</v>
      </c>
      <c r="DK173" s="0" t="n">
        <v>37.601588956218</v>
      </c>
      <c r="DL173" s="0" t="n">
        <v>2.97778162331132</v>
      </c>
      <c r="DM173" s="0" t="n">
        <v>12.6273829692067</v>
      </c>
      <c r="DN173" s="0" t="n">
        <v>1.13140569111472E-008</v>
      </c>
      <c r="DO173" s="0" t="n">
        <v>31.1684828714253</v>
      </c>
      <c r="DP173" s="0" t="n">
        <v>44.0346950410107</v>
      </c>
      <c r="DQ173" s="24" t="str">
        <f aca="false">$BM$137</f>
        <v>Log(σH) 2011</v>
      </c>
      <c r="DR173" s="0" t="n">
        <v>38.6216477461591</v>
      </c>
      <c r="DS173" s="0" t="n">
        <v>2.45305006331055</v>
      </c>
      <c r="DT173" s="0" t="n">
        <v>15.7443373552828</v>
      </c>
      <c r="DU173" s="0" t="n">
        <v>7.58470583201295E-010</v>
      </c>
      <c r="DV173" s="0" t="n">
        <v>33.3221552766489</v>
      </c>
      <c r="DW173" s="0" t="n">
        <v>43.9211402156693</v>
      </c>
      <c r="DX173" s="24" t="str">
        <f aca="false">$BM$137</f>
        <v>Log(σH) 2011</v>
      </c>
      <c r="DY173" s="0" t="n">
        <v>36.4964770342873</v>
      </c>
      <c r="DZ173" s="0" t="n">
        <v>2.90072331666596</v>
      </c>
      <c r="EA173" s="0" t="n">
        <v>12.5818539205717</v>
      </c>
      <c r="EB173" s="0" t="n">
        <v>1.18187376708401E-008</v>
      </c>
      <c r="EC173" s="0" t="n">
        <v>30.2298452998914</v>
      </c>
      <c r="ED173" s="0" t="n">
        <v>42.7631087686832</v>
      </c>
    </row>
    <row r="174" customFormat="false" ht="12.8" hidden="false" customHeight="false" outlineLevel="0" collapsed="false">
      <c r="A174" s="8"/>
      <c r="AF174" s="8"/>
      <c r="BZ174" s="0" t="n">
        <f aca="false" t="array" ref="BZ174:CA212">$BI$53:$BJ$91</f>
        <v>2.05463340928398</v>
      </c>
      <c r="CA174" s="0" t="n">
        <v>1.18752072083646</v>
      </c>
      <c r="CB174" s="0" t="n">
        <f aca="false" t="array" ref="CB174:CB212">MMULT($BZ$174:$CA$212 , $CA$170:$CA$171) + $CA$169</f>
        <v>39.5278055439578</v>
      </c>
      <c r="CC174" s="0" t="n">
        <f aca="false" t="array" ref="CC174:CC212">$BF$3:$BF$41</f>
        <v>39.4693811697741</v>
      </c>
      <c r="CD174" s="0" t="n">
        <f aca="false" t="array" ref="CD174:CD212">$CC$174:$CC$212 - $CB$174:$CB$212</f>
        <v>-0.0584243741836659</v>
      </c>
      <c r="CE174" s="20" t="n">
        <f aca="false">(CD174)^2</f>
        <v>0.003413407498753</v>
      </c>
      <c r="CG174" s="0" t="n">
        <f aca="false" t="array" ref="CG174:CH212">$BI$53:$BJ$91</f>
        <v>2.05463340928398</v>
      </c>
      <c r="CH174" s="0" t="n">
        <v>1.18752072083646</v>
      </c>
      <c r="CI174" s="0" t="n">
        <f aca="false" t="array" ref="CI174:CI212">MMULT($CG$174:$CH$212 , $CH$170:$CH$171) + $CH$169</f>
        <v>40.0290283298707</v>
      </c>
      <c r="CJ174" s="0" t="n">
        <f aca="false" t="array" ref="CJ174:CJ212">$BG$3:$BG$41</f>
        <v>39.926839874903</v>
      </c>
      <c r="CK174" s="0" t="n">
        <f aca="false" t="array" ref="CK174:CK212">$CJ$174:$CJ$212 - $CI$174:$CI$212</f>
        <v>-0.102188454967717</v>
      </c>
      <c r="CL174" s="20" t="n">
        <f aca="false">(CK174)^2</f>
        <v>0.0104424803286891</v>
      </c>
      <c r="CN174" s="0" t="n">
        <f aca="false" t="array" ref="CN174:CO212">$BI$53:$BJ$91</f>
        <v>2.05463340928398</v>
      </c>
      <c r="CO174" s="0" t="n">
        <v>1.18752072083646</v>
      </c>
      <c r="CP174" s="0" t="n">
        <f aca="false" t="array" ref="CP174:CP212">MMULT($CN$174:$CO$212 , $CO$170:$CO$171) + $CO$169</f>
        <v>39.8081730162981</v>
      </c>
      <c r="CQ174" s="0" t="n">
        <f aca="false" t="array" ref="CQ174:CQ212">$BH$3:$BH$41</f>
        <v>39.926839874903</v>
      </c>
      <c r="CR174" s="0" t="n">
        <f aca="false" t="array" ref="CR174:CR212">$CQ$174:$CQ$212 - $CP$174:$CP$212</f>
        <v>0.118666858604875</v>
      </c>
      <c r="CS174" s="20" t="n">
        <f aca="false">(CR174)^2</f>
        <v>0.0140818233311495</v>
      </c>
      <c r="CU174" s="0" t="n">
        <v>8.08</v>
      </c>
      <c r="CV174" s="0" t="n">
        <v>2.68540348660376</v>
      </c>
      <c r="CW174" s="0" t="n">
        <v>2.87283479667699</v>
      </c>
      <c r="CX174" s="0" t="n">
        <v>0.187431310073233</v>
      </c>
      <c r="CY174" s="20" t="n">
        <f aca="false">(CX174)^2</f>
        <v>0.0351304959957682</v>
      </c>
    </row>
    <row r="175" customFormat="false" ht="12.8" hidden="false" customHeight="false" outlineLevel="0" collapsed="false">
      <c r="A175" s="8"/>
      <c r="AF175" s="8"/>
      <c r="BI175" s="0" t="s">
        <v>120</v>
      </c>
      <c r="BZ175" s="0" t="n">
        <v>2.08700408042741</v>
      </c>
      <c r="CA175" s="0" t="n">
        <v>1.32633586092875</v>
      </c>
      <c r="CB175" s="0" t="n">
        <v>39.8309626768496</v>
      </c>
      <c r="CC175" s="0" t="n">
        <v>40.1317447055601</v>
      </c>
      <c r="CD175" s="0" t="n">
        <v>0.300782028710465</v>
      </c>
      <c r="CE175" s="20" t="n">
        <f aca="false">(CD175)^2</f>
        <v>0.090469828795183</v>
      </c>
      <c r="CG175" s="0" t="n">
        <v>2.08700408042741</v>
      </c>
      <c r="CH175" s="0" t="n">
        <v>1.32633586092875</v>
      </c>
      <c r="CI175" s="0" t="n">
        <v>40.2844080447899</v>
      </c>
      <c r="CJ175" s="0" t="n">
        <v>40.6654832485069</v>
      </c>
      <c r="CK175" s="0" t="n">
        <v>0.381075203717025</v>
      </c>
      <c r="CL175" s="20" t="n">
        <f aca="false">(CK175)^2</f>
        <v>0.145218310887972</v>
      </c>
      <c r="CN175" s="0" t="n">
        <v>2.08700408042741</v>
      </c>
      <c r="CO175" s="0" t="n">
        <v>1.32633586092875</v>
      </c>
      <c r="CP175" s="0" t="n">
        <v>40.1030031033853</v>
      </c>
      <c r="CQ175" s="0" t="n">
        <v>40.0250782651027</v>
      </c>
      <c r="CR175" s="0" t="n">
        <v>-0.077924838282577</v>
      </c>
      <c r="CS175" s="20" t="n">
        <f aca="false">(CR175)^2</f>
        <v>0.00607228042136578</v>
      </c>
      <c r="CU175" s="0" t="n">
        <v>8.36</v>
      </c>
      <c r="CV175" s="0" t="n">
        <v>2.68434791261265</v>
      </c>
      <c r="CW175" s="0" t="n">
        <v>2.8057379010057</v>
      </c>
      <c r="CX175" s="0" t="n">
        <v>0.121389988393047</v>
      </c>
      <c r="CY175" s="20" t="n">
        <f aca="false">(CX175)^2</f>
        <v>0.014735529282064</v>
      </c>
      <c r="DC175" s="0" t="str">
        <f aca="false">$BL$137</f>
        <v>Log(O/H) 2011</v>
      </c>
      <c r="DD175" s="0" t="str">
        <f aca="false">$BM$137</f>
        <v>Log(σH) 2011</v>
      </c>
      <c r="DE175" s="0" t="s">
        <v>157</v>
      </c>
      <c r="DF175" s="0" t="n">
        <f aca="false">$BE$137</f>
        <v>0</v>
      </c>
      <c r="DG175" s="0" t="s">
        <v>133</v>
      </c>
      <c r="DJ175" s="0" t="str">
        <f aca="false">$BL$137</f>
        <v>Log(O/H) 2011</v>
      </c>
      <c r="DK175" s="0" t="str">
        <f aca="false">$BM$137</f>
        <v>Log(σH) 2011</v>
      </c>
      <c r="DL175" s="0" t="s">
        <v>157</v>
      </c>
      <c r="DM175" s="0" t="str">
        <f aca="false">$BF$137</f>
        <v>Log(LHβ) 2011</v>
      </c>
      <c r="DN175" s="0" t="s">
        <v>133</v>
      </c>
      <c r="DQ175" s="0" t="str">
        <f aca="false">$BL$137</f>
        <v>Log(O/H) 2011</v>
      </c>
      <c r="DR175" s="0" t="str">
        <f aca="false">$BM$137</f>
        <v>Log(σH) 2011</v>
      </c>
      <c r="DS175" s="0" t="s">
        <v>157</v>
      </c>
      <c r="DT175" s="0" t="str">
        <f aca="false">$BG$137</f>
        <v>Full Log(LHβ) 2007</v>
      </c>
      <c r="DU175" s="0" t="s">
        <v>133</v>
      </c>
      <c r="DX175" s="0" t="str">
        <f aca="false">$BL$137</f>
        <v>Log(O/H) 2011</v>
      </c>
      <c r="DY175" s="0" t="str">
        <f aca="false">$BM$137</f>
        <v>Log(σH) 2011</v>
      </c>
      <c r="DZ175" s="0" t="s">
        <v>157</v>
      </c>
      <c r="EA175" s="0" t="str">
        <f aca="false">$BH$137</f>
        <v>BK Log(LHβ) 2007</v>
      </c>
      <c r="EB175" s="0" t="s">
        <v>133</v>
      </c>
    </row>
    <row r="176" customFormat="false" ht="12.8" hidden="false" customHeight="false" outlineLevel="0" collapsed="false">
      <c r="A176" s="8"/>
      <c r="AF176" s="8"/>
      <c r="BJ176" s="0" t="s">
        <v>123</v>
      </c>
      <c r="BK176" s="0" t="s">
        <v>124</v>
      </c>
      <c r="BL176" s="0" t="s">
        <v>125</v>
      </c>
      <c r="BM176" s="0" t="s">
        <v>126</v>
      </c>
      <c r="BN176" s="0" t="s">
        <v>127</v>
      </c>
      <c r="BZ176" s="0" t="n">
        <v>2.3176102420111</v>
      </c>
      <c r="CA176" s="0" t="n">
        <v>1.52762990087134</v>
      </c>
      <c r="CB176" s="0" t="n">
        <v>40.3834591544529</v>
      </c>
      <c r="CC176" s="0" t="n">
        <v>39.9963150223595</v>
      </c>
      <c r="CD176" s="0" t="n">
        <v>-0.387144132093411</v>
      </c>
      <c r="CE176" s="20" t="n">
        <f aca="false">(CD176)^2</f>
        <v>0.149880579014361</v>
      </c>
      <c r="CG176" s="0" t="n">
        <v>2.3176102420111</v>
      </c>
      <c r="CH176" s="0" t="n">
        <v>1.52762990087134</v>
      </c>
      <c r="CI176" s="0" t="n">
        <v>40.7145801726964</v>
      </c>
      <c r="CJ176" s="0" t="n">
        <v>40.4667860464016</v>
      </c>
      <c r="CK176" s="0" t="n">
        <v>-0.247794126294806</v>
      </c>
      <c r="CL176" s="20" t="n">
        <f aca="false">(CK176)^2</f>
        <v>0.0614019290262065</v>
      </c>
      <c r="CN176" s="0" t="n">
        <v>2.3176102420111</v>
      </c>
      <c r="CO176" s="0" t="n">
        <v>1.52762990087134</v>
      </c>
      <c r="CP176" s="0" t="n">
        <v>40.6288075892328</v>
      </c>
      <c r="CQ176" s="0" t="n">
        <v>40.4667860464016</v>
      </c>
      <c r="CR176" s="0" t="n">
        <v>-0.162021542831191</v>
      </c>
      <c r="CS176" s="20" t="n">
        <f aca="false">(CR176)^2</f>
        <v>0.0262509803413994</v>
      </c>
      <c r="CU176" s="0" t="n">
        <v>7.98</v>
      </c>
      <c r="CV176" s="0" t="n">
        <v>2.68578047731487</v>
      </c>
      <c r="CW176" s="0" t="n">
        <v>2.72333943354249</v>
      </c>
      <c r="CX176" s="0" t="n">
        <v>0.0375589562276235</v>
      </c>
      <c r="CY176" s="20" t="n">
        <f aca="false">(CX176)^2</f>
        <v>0.00141067519290854</v>
      </c>
      <c r="DC176" s="0" t="n">
        <f aca="false" t="array" ref="DC176:DD191">$BL$138:$BM$153</f>
        <v>8.08</v>
      </c>
      <c r="DD176" s="0" t="n">
        <v>1.52762990087134</v>
      </c>
      <c r="DE176" s="0" t="e">
        <f aca="false" t="array" ref="DE176:DE191">MMULT($DC$176:$DD$191 , $DD$172:$DD$173) + $DD$171</f>
        <v>#VALUE!</v>
      </c>
      <c r="DF176" s="0" t="n">
        <f aca="false" t="array" ref="DF176:DF191">$BE$138:$BE$153</f>
        <v>0</v>
      </c>
      <c r="DG176" s="0" t="e">
        <f aca="false" t="array" ref="DG176:DG191">$DF$176:$DF$191 - $DE$176:$DE$191</f>
        <v>#VALUE!</v>
      </c>
      <c r="DJ176" s="0" t="n">
        <f aca="false" t="array" ref="DJ176:DK191">$BL$138:$BM$153</f>
        <v>8.08</v>
      </c>
      <c r="DK176" s="0" t="n">
        <v>1.52762990087134</v>
      </c>
      <c r="DL176" s="0" t="n">
        <f aca="false" t="array" ref="DL176:DL191">MMULT($DJ$176:$DK$191 , $DK$172:$DK$173) + $DK$171</f>
        <v>398.441558828816</v>
      </c>
      <c r="DM176" s="0" t="n">
        <f aca="false" t="array" ref="DM176:DM191">$BF$138:$BF$153</f>
        <v>39.9963150223595</v>
      </c>
      <c r="DN176" s="0" t="n">
        <f aca="false" t="array" ref="DN176:DN191">$DM$176:$DM$191 - $DL$176:$DL$191</f>
        <v>-358.445243806456</v>
      </c>
      <c r="DQ176" s="0" t="n">
        <f aca="false" t="array" ref="DQ176:DR191">$BL$138:$BM$153</f>
        <v>8.08</v>
      </c>
      <c r="DR176" s="0" t="n">
        <v>1.52762990087134</v>
      </c>
      <c r="DS176" s="0" t="n">
        <f aca="false" t="array" ref="DS176:DS191">MMULT($DQ$176:$DR$191 , $DR$172:$DR$173) + $DR$171</f>
        <v>409.684145453078</v>
      </c>
      <c r="DT176" s="0" t="n">
        <f aca="false" t="array" ref="DT176:DT191">$BG$138:$BG$153</f>
        <v>40.4667860464016</v>
      </c>
      <c r="DU176" s="0" t="n">
        <f aca="false" t="array" ref="DU176:DU191">$DT$176:$DT$191 - $DS$176:$DS$191</f>
        <v>-369.217359406676</v>
      </c>
      <c r="DX176" s="0" t="n">
        <f aca="false" t="array" ref="DX176:DY191">$BL$138:$BM$153</f>
        <v>8.08</v>
      </c>
      <c r="DY176" s="0" t="n">
        <v>1.52762990087134</v>
      </c>
      <c r="DZ176" s="0" t="n">
        <f aca="false" t="array" ref="DZ176:DZ191">MMULT($DX$176:$DY$191 , $DY$172:$DY$173) + $DY$171</f>
        <v>387.14112106537</v>
      </c>
      <c r="EA176" s="0" t="n">
        <f aca="false" t="array" ref="EA176:EA191">$BH$138:$BH$153</f>
        <v>40.4667860464016</v>
      </c>
      <c r="EB176" s="0" t="n">
        <f aca="false" t="array" ref="EB176:EB191">$EA$176:$EA$191 - $DZ$176:$DZ$191</f>
        <v>-346.674335018969</v>
      </c>
    </row>
    <row r="177" customFormat="false" ht="12.8" hidden="false" customHeight="false" outlineLevel="0" collapsed="false">
      <c r="A177" s="8"/>
      <c r="AF177" s="8"/>
      <c r="BI177" s="0" t="s">
        <v>130</v>
      </c>
      <c r="BJ177" s="0" t="n">
        <f aca="false">$BJ$171</f>
        <v>1</v>
      </c>
      <c r="BK177" s="0" t="n">
        <f aca="false">$BI$166</f>
        <v>5.39525919114373</v>
      </c>
      <c r="BL177" s="0" t="n">
        <f aca="false">$BI$166 / $BJ$177</f>
        <v>5.39525919114373</v>
      </c>
      <c r="BM177" s="0" t="n">
        <f aca="false">$BI$165</f>
        <v>52.7311597059875</v>
      </c>
      <c r="BN177" s="0" t="n">
        <f aca="false">FDIST($BI$165 , $BJ$177 , $BJ$165)</f>
        <v>1.49401565520797E-008</v>
      </c>
      <c r="BZ177" s="0" t="n">
        <v>2.39479758741265</v>
      </c>
      <c r="CA177" s="0" t="n">
        <v>1.54530711646582</v>
      </c>
      <c r="CB177" s="0" t="n">
        <v>40.4669745600656</v>
      </c>
      <c r="CC177" s="0" t="n">
        <v>40.3308782653967</v>
      </c>
      <c r="CD177" s="0" t="n">
        <v>-0.136096294668896</v>
      </c>
      <c r="CE177" s="20" t="n">
        <f aca="false">(CD177)^2</f>
        <v>0.0185222014226029</v>
      </c>
      <c r="CG177" s="0" t="n">
        <v>2.39479758741265</v>
      </c>
      <c r="CH177" s="0" t="n">
        <v>1.54530711646582</v>
      </c>
      <c r="CI177" s="0" t="n">
        <v>40.7709101247592</v>
      </c>
      <c r="CJ177" s="0" t="n">
        <v>40.6750396842358</v>
      </c>
      <c r="CK177" s="0" t="n">
        <v>-0.0958704405234201</v>
      </c>
      <c r="CL177" s="20" t="n">
        <f aca="false">(CK177)^2</f>
        <v>0.00919114136615463</v>
      </c>
      <c r="CN177" s="0" t="n">
        <v>2.39479758741265</v>
      </c>
      <c r="CO177" s="0" t="n">
        <v>1.54530711646582</v>
      </c>
      <c r="CP177" s="0" t="n">
        <v>40.7054477084412</v>
      </c>
      <c r="CQ177" s="0" t="n">
        <v>40.6750396842358</v>
      </c>
      <c r="CR177" s="0" t="n">
        <v>-0.0304080242053857</v>
      </c>
      <c r="CS177" s="20" t="n">
        <f aca="false">(CR177)^2</f>
        <v>0.000924647936075322</v>
      </c>
      <c r="CU177" s="0" t="n">
        <v>8.25</v>
      </c>
      <c r="CV177" s="0" t="n">
        <v>2.68476260239487</v>
      </c>
      <c r="CW177" s="0" t="n">
        <v>2.52960348518892</v>
      </c>
      <c r="CX177" s="0" t="n">
        <v>-0.155159117205953</v>
      </c>
      <c r="CY177" s="20" t="n">
        <f aca="false">(CX177)^2</f>
        <v>0.0240743516521306</v>
      </c>
      <c r="DC177" s="0" t="n">
        <v>8.36</v>
      </c>
      <c r="DD177" s="0" t="n">
        <v>1.54530711646582</v>
      </c>
      <c r="DE177" s="0" t="e">
        <v>#VALUE!</v>
      </c>
      <c r="DF177" s="0" t="n">
        <v>0</v>
      </c>
      <c r="DG177" s="0" t="e">
        <v>#VALUE!</v>
      </c>
      <c r="DJ177" s="0" t="n">
        <v>8.36</v>
      </c>
      <c r="DK177" s="0" t="n">
        <v>1.54530711646582</v>
      </c>
      <c r="DL177" s="0" t="n">
        <v>409.634695131231</v>
      </c>
      <c r="DM177" s="0" t="n">
        <v>40.3308782653967</v>
      </c>
      <c r="DN177" s="0" t="n">
        <v>-369.303816865834</v>
      </c>
      <c r="DQ177" s="0" t="n">
        <v>8.36</v>
      </c>
      <c r="DR177" s="0" t="n">
        <v>1.54530711646582</v>
      </c>
      <c r="DS177" s="0" t="n">
        <v>421.180930015825</v>
      </c>
      <c r="DT177" s="0" t="n">
        <v>40.6750396842358</v>
      </c>
      <c r="DU177" s="0" t="n">
        <v>-380.505890331589</v>
      </c>
      <c r="DX177" s="0" t="n">
        <v>8.36</v>
      </c>
      <c r="DY177" s="0" t="n">
        <v>1.54530711646582</v>
      </c>
      <c r="DZ177" s="0" t="n">
        <v>398.005290727945</v>
      </c>
      <c r="EA177" s="0" t="n">
        <v>40.6750396842358</v>
      </c>
      <c r="EB177" s="0" t="n">
        <v>-357.330251043709</v>
      </c>
    </row>
    <row r="178" customFormat="false" ht="12.8" hidden="false" customHeight="false" outlineLevel="0" collapsed="false">
      <c r="A178" s="8"/>
      <c r="AF178" s="8"/>
      <c r="BI178" s="0" t="s">
        <v>133</v>
      </c>
      <c r="BJ178" s="0" t="n">
        <f aca="false">$BJ$165</f>
        <v>36</v>
      </c>
      <c r="BK178" s="0" t="n">
        <f aca="false">$BJ$166</f>
        <v>3.68338818952847</v>
      </c>
      <c r="BL178" s="0" t="n">
        <f aca="false">$BJ$166 / $BJ$165</f>
        <v>0.102316338598013</v>
      </c>
      <c r="BZ178" s="0" t="n">
        <v>2.41617635379349</v>
      </c>
      <c r="CA178" s="0" t="n">
        <v>1.44247976906445</v>
      </c>
      <c r="CB178" s="0" t="n">
        <v>40.2702902342772</v>
      </c>
      <c r="CC178" s="0" t="n">
        <v>40.4850090486329</v>
      </c>
      <c r="CD178" s="0" t="n">
        <v>0.214718814355678</v>
      </c>
      <c r="CE178" s="20" t="n">
        <f aca="false">(CD178)^2</f>
        <v>0.0461041692383079</v>
      </c>
      <c r="CG178" s="0" t="n">
        <v>2.41617635379349</v>
      </c>
      <c r="CH178" s="0" t="n">
        <v>1.44247976906445</v>
      </c>
      <c r="CI178" s="0" t="n">
        <v>40.5965176733148</v>
      </c>
      <c r="CJ178" s="0" t="n">
        <v>40.9096967114523</v>
      </c>
      <c r="CK178" s="0" t="n">
        <v>0.31317903813752</v>
      </c>
      <c r="CL178" s="20" t="n">
        <f aca="false">(CK178)^2</f>
        <v>0.098081109928742</v>
      </c>
      <c r="CN178" s="0" t="n">
        <v>2.41617635379349</v>
      </c>
      <c r="CO178" s="0" t="n">
        <v>1.44247976906445</v>
      </c>
      <c r="CP178" s="0" t="n">
        <v>40.5113218786846</v>
      </c>
      <c r="CQ178" s="0" t="n">
        <v>40.9096967114523</v>
      </c>
      <c r="CR178" s="0" t="n">
        <v>0.398374832767708</v>
      </c>
      <c r="CS178" s="20" t="n">
        <f aca="false">(CR178)^2</f>
        <v>0.158702507382699</v>
      </c>
      <c r="CU178" s="0" t="n">
        <v>8.09</v>
      </c>
      <c r="CV178" s="0" t="n">
        <v>2.68536578753265</v>
      </c>
      <c r="CW178" s="0" t="n">
        <v>2.40587460839648</v>
      </c>
      <c r="CX178" s="0" t="n">
        <v>-0.279491179136167</v>
      </c>
      <c r="CY178" s="20" t="n">
        <f aca="false">(CX178)^2</f>
        <v>0.078115319214925</v>
      </c>
      <c r="DC178" s="0" t="n">
        <v>8.25</v>
      </c>
      <c r="DD178" s="0" t="n">
        <v>1.53781909507327</v>
      </c>
      <c r="DE178" s="0" t="e">
        <v>#VALUE!</v>
      </c>
      <c r="DF178" s="0" t="n">
        <v>0</v>
      </c>
      <c r="DG178" s="0" t="e">
        <v>#VALUE!</v>
      </c>
      <c r="DJ178" s="0" t="n">
        <v>8.25</v>
      </c>
      <c r="DK178" s="0" t="n">
        <v>1.53781909507327</v>
      </c>
      <c r="DL178" s="0" t="n">
        <v>405.216958843549</v>
      </c>
      <c r="DM178" s="0" t="n">
        <v>40.5363222856562</v>
      </c>
      <c r="DN178" s="0" t="n">
        <v>-364.680636557892</v>
      </c>
      <c r="DQ178" s="0" t="n">
        <v>8.25</v>
      </c>
      <c r="DR178" s="0" t="n">
        <v>1.53781909507327</v>
      </c>
      <c r="DS178" s="0" t="n">
        <v>416.643349039209</v>
      </c>
      <c r="DT178" s="0" t="n">
        <v>40.8519069419647</v>
      </c>
      <c r="DU178" s="0" t="n">
        <v>-375.791442097244</v>
      </c>
      <c r="DX178" s="0" t="n">
        <v>8.25</v>
      </c>
      <c r="DY178" s="0" t="n">
        <v>1.53781909507327</v>
      </c>
      <c r="DZ178" s="0" t="n">
        <v>393.717391853388</v>
      </c>
      <c r="EA178" s="0" t="n">
        <v>40.8519069419647</v>
      </c>
      <c r="EB178" s="0" t="n">
        <v>-352.865484911423</v>
      </c>
    </row>
    <row r="179" customFormat="false" ht="12.8" hidden="false" customHeight="false" outlineLevel="0" collapsed="false">
      <c r="A179" s="8"/>
      <c r="AF179" s="8"/>
      <c r="BI179" s="0" t="s">
        <v>136</v>
      </c>
      <c r="BJ179" s="0" t="n">
        <f aca="false">$BJ$177 + $BJ$165</f>
        <v>37</v>
      </c>
      <c r="BK179" s="0" t="n">
        <f aca="false">$BI$166 + $BJ$166</f>
        <v>9.0786473806722</v>
      </c>
      <c r="BZ179" s="0" t="n">
        <v>2.17640387683549</v>
      </c>
      <c r="CA179" s="0" t="n">
        <v>1.53781909507327</v>
      </c>
      <c r="CB179" s="0" t="n">
        <v>40.3174567425537</v>
      </c>
      <c r="CC179" s="0" t="n">
        <v>40.5363222856562</v>
      </c>
      <c r="CD179" s="0" t="n">
        <v>0.218865543102453</v>
      </c>
      <c r="CE179" s="20" t="n">
        <f aca="false">(CD179)^2</f>
        <v>0.0479021259575317</v>
      </c>
      <c r="CG179" s="0" t="n">
        <v>2.17640387683549</v>
      </c>
      <c r="CH179" s="0" t="n">
        <v>1.53781909507327</v>
      </c>
      <c r="CI179" s="0" t="n">
        <v>40.6865376224763</v>
      </c>
      <c r="CJ179" s="0" t="n">
        <v>40.8519069419647</v>
      </c>
      <c r="CK179" s="0" t="n">
        <v>0.165369319488406</v>
      </c>
      <c r="CL179" s="20" t="n">
        <f aca="false">(CK179)^2</f>
        <v>0.0273470118280584</v>
      </c>
      <c r="CN179" s="0" t="n">
        <v>2.17640387683549</v>
      </c>
      <c r="CO179" s="0" t="n">
        <v>1.53781909507327</v>
      </c>
      <c r="CP179" s="0" t="n">
        <v>40.5736209701265</v>
      </c>
      <c r="CQ179" s="0" t="n">
        <v>40.8519069419647</v>
      </c>
      <c r="CR179" s="0" t="n">
        <v>0.278285971838173</v>
      </c>
      <c r="CS179" s="20" t="n">
        <f aca="false">(CR179)^2</f>
        <v>0.0774430821219164</v>
      </c>
      <c r="CU179" s="0" t="n">
        <v>7.96</v>
      </c>
      <c r="CV179" s="0" t="n">
        <v>2.68585587545709</v>
      </c>
      <c r="CW179" s="0" t="n">
        <v>3.06295399039048</v>
      </c>
      <c r="CX179" s="0" t="n">
        <v>0.377098114933392</v>
      </c>
      <c r="CY179" s="20" t="n">
        <f aca="false">(CX179)^2</f>
        <v>0.142202988286318</v>
      </c>
      <c r="DC179" s="0" t="n">
        <v>8.07</v>
      </c>
      <c r="DD179" s="0" t="n">
        <v>1.51719589794997</v>
      </c>
      <c r="DE179" s="0" t="e">
        <v>#VALUE!</v>
      </c>
      <c r="DF179" s="0" t="n">
        <v>0</v>
      </c>
      <c r="DG179" s="0" t="e">
        <v>#VALUE!</v>
      </c>
      <c r="DJ179" s="0" t="n">
        <v>8.07</v>
      </c>
      <c r="DK179" s="0" t="n">
        <v>1.51719589794997</v>
      </c>
      <c r="DL179" s="0" t="n">
        <v>397.673207850236</v>
      </c>
      <c r="DM179" s="0" t="n">
        <v>39.7119114592515</v>
      </c>
      <c r="DN179" s="0" t="n">
        <v>-357.961296390984</v>
      </c>
      <c r="DQ179" s="0" t="n">
        <v>8.07</v>
      </c>
      <c r="DR179" s="0" t="n">
        <v>1.51719589794997</v>
      </c>
      <c r="DS179" s="0" t="n">
        <v>408.894950590204</v>
      </c>
      <c r="DT179" s="0" t="n">
        <v>40.3675165950432</v>
      </c>
      <c r="DU179" s="0" t="n">
        <v>-368.527433995161</v>
      </c>
      <c r="DX179" s="0" t="n">
        <v>8.07</v>
      </c>
      <c r="DY179" s="0" t="n">
        <v>1.51719589794997</v>
      </c>
      <c r="DZ179" s="0" t="n">
        <v>386.395351947032</v>
      </c>
      <c r="EA179" s="0" t="n">
        <v>40.3675165950432</v>
      </c>
      <c r="EB179" s="0" t="n">
        <v>-346.027835351989</v>
      </c>
    </row>
    <row r="180" customFormat="false" ht="12.8" hidden="false" customHeight="false" outlineLevel="0" collapsed="false">
      <c r="A180" s="8"/>
      <c r="AF180" s="8"/>
      <c r="BZ180" s="0" t="n">
        <v>2.06468635947822</v>
      </c>
      <c r="CA180" s="0" t="n">
        <v>1.3541084391474</v>
      </c>
      <c r="CB180" s="0" t="n">
        <v>39.8739163620049</v>
      </c>
      <c r="CC180" s="0" t="n">
        <v>39.9166540391504</v>
      </c>
      <c r="CD180" s="0" t="n">
        <v>0.0427376771455243</v>
      </c>
      <c r="CE180" s="20" t="n">
        <f aca="false">(CD180)^2</f>
        <v>0.00182650904779507</v>
      </c>
      <c r="CG180" s="0" t="n">
        <v>2.06468635947822</v>
      </c>
      <c r="CH180" s="0" t="n">
        <v>1.3541084391474</v>
      </c>
      <c r="CI180" s="0" t="n">
        <v>40.3261187264219</v>
      </c>
      <c r="CJ180" s="0" t="n">
        <v>40.3823661888664</v>
      </c>
      <c r="CK180" s="0" t="n">
        <v>0.0562474624444818</v>
      </c>
      <c r="CL180" s="20" t="n">
        <f aca="false">(CK180)^2</f>
        <v>0.00316377703144339</v>
      </c>
      <c r="CN180" s="0" t="n">
        <v>2.06468635947822</v>
      </c>
      <c r="CO180" s="0" t="n">
        <v>1.3541084391474</v>
      </c>
      <c r="CP180" s="0" t="n">
        <v>40.1465823838484</v>
      </c>
      <c r="CQ180" s="0" t="n">
        <v>40.3823661888664</v>
      </c>
      <c r="CR180" s="0" t="n">
        <v>0.235783805018016</v>
      </c>
      <c r="CS180" s="20" t="n">
        <f aca="false">(CR180)^2</f>
        <v>0.0555940027087739</v>
      </c>
      <c r="CU180" s="0" t="n">
        <v>8.01</v>
      </c>
      <c r="CV180" s="0" t="n">
        <v>2.68566738010153</v>
      </c>
      <c r="CW180" s="0" t="n">
        <v>2.96671683363053</v>
      </c>
      <c r="CX180" s="0" t="n">
        <v>0.281049453528996</v>
      </c>
      <c r="CY180" s="20" t="n">
        <f aca="false">(CX180)^2</f>
        <v>0.0789887953289473</v>
      </c>
      <c r="DC180" s="0" t="n">
        <v>8.07</v>
      </c>
      <c r="DD180" s="0" t="n">
        <v>1.32221929473392</v>
      </c>
      <c r="DE180" s="0" t="e">
        <v>#VALUE!</v>
      </c>
      <c r="DF180" s="0" t="n">
        <v>0</v>
      </c>
      <c r="DG180" s="0" t="e">
        <v>#VALUE!</v>
      </c>
      <c r="DJ180" s="0" t="n">
        <v>8.07</v>
      </c>
      <c r="DK180" s="0" t="n">
        <v>1.32221929473392</v>
      </c>
      <c r="DL180" s="0" t="n">
        <v>390.341777760026</v>
      </c>
      <c r="DM180" s="0" t="n">
        <v>39.8158956218551</v>
      </c>
      <c r="DN180" s="0" t="n">
        <v>-350.525882138171</v>
      </c>
      <c r="DQ180" s="0" t="n">
        <v>8.07</v>
      </c>
      <c r="DR180" s="0" t="n">
        <v>1.32221929473392</v>
      </c>
      <c r="DS180" s="0" t="n">
        <v>401.364632902051</v>
      </c>
      <c r="DT180" s="0" t="n">
        <v>40.2813702480347</v>
      </c>
      <c r="DU180" s="0" t="n">
        <v>-361.083262654017</v>
      </c>
      <c r="DX180" s="0" t="n">
        <v>8.07</v>
      </c>
      <c r="DY180" s="0" t="n">
        <v>1.32221929473392</v>
      </c>
      <c r="DZ180" s="0" t="n">
        <v>379.279392825534</v>
      </c>
      <c r="EA180" s="0" t="n">
        <v>40.2813702480347</v>
      </c>
      <c r="EB180" s="0" t="n">
        <v>-338.998022577499</v>
      </c>
    </row>
    <row r="181" customFormat="false" ht="12.8" hidden="false" customHeight="false" outlineLevel="0" collapsed="false">
      <c r="A181" s="8"/>
      <c r="BI181" s="0" t="s">
        <v>141</v>
      </c>
      <c r="BJ181" s="0" t="n">
        <v>0.95</v>
      </c>
      <c r="BZ181" s="0" t="n">
        <v>2.28534020026503</v>
      </c>
      <c r="CA181" s="0" t="n">
        <v>1.42488163663107</v>
      </c>
      <c r="CB181" s="0" t="n">
        <v>40.1539603747889</v>
      </c>
      <c r="CC181" s="0" t="n">
        <v>39.9203081956583</v>
      </c>
      <c r="CD181" s="0" t="n">
        <v>-0.23365217913063</v>
      </c>
      <c r="CE181" s="20" t="n">
        <f aca="false">(CD181)^2</f>
        <v>0.0545933408124918</v>
      </c>
      <c r="CG181" s="0" t="n">
        <v>2.28534020026503</v>
      </c>
      <c r="CH181" s="0" t="n">
        <v>1.42488163663107</v>
      </c>
      <c r="CI181" s="0" t="n">
        <v>40.522845217562</v>
      </c>
      <c r="CJ181" s="0" t="n">
        <v>39.8052047714277</v>
      </c>
      <c r="CK181" s="0" t="n">
        <v>-0.71764044613434</v>
      </c>
      <c r="CL181" s="20" t="n">
        <f aca="false">(CK181)^2</f>
        <v>0.515007809927894</v>
      </c>
      <c r="CN181" s="0" t="n">
        <v>2.28534020026503</v>
      </c>
      <c r="CO181" s="0" t="n">
        <v>1.42488163663107</v>
      </c>
      <c r="CP181" s="0" t="n">
        <v>40.4061336703383</v>
      </c>
      <c r="CQ181" s="0" t="n">
        <v>39.8052047714277</v>
      </c>
      <c r="CR181" s="0" t="n">
        <v>-0.600928898910624</v>
      </c>
      <c r="CS181" s="20" t="n">
        <f aca="false">(CR181)^2</f>
        <v>0.361115541545935</v>
      </c>
      <c r="CU181" s="0" t="n">
        <v>7.99</v>
      </c>
      <c r="CV181" s="0" t="n">
        <v>2.68574277824376</v>
      </c>
      <c r="CW181" s="0" t="n">
        <v>2.33023762449035</v>
      </c>
      <c r="CX181" s="0" t="n">
        <v>-0.355505153753406</v>
      </c>
      <c r="CY181" s="20" t="n">
        <f aca="false">(CX181)^2</f>
        <v>0.126383914345232</v>
      </c>
      <c r="DC181" s="0" t="n">
        <v>8.27</v>
      </c>
      <c r="DD181" s="0" t="n">
        <v>1.23299611039215</v>
      </c>
      <c r="DE181" s="0" t="e">
        <v>#VALUE!</v>
      </c>
      <c r="DF181" s="0" t="n">
        <v>0</v>
      </c>
      <c r="DG181" s="0" t="e">
        <v>#VALUE!</v>
      </c>
      <c r="DJ181" s="0" t="n">
        <v>8.27</v>
      </c>
      <c r="DK181" s="0" t="n">
        <v>1.23299611039215</v>
      </c>
      <c r="DL181" s="0" t="n">
        <v>394.507162048286</v>
      </c>
      <c r="DM181" s="0" t="n">
        <v>39.9770046637507</v>
      </c>
      <c r="DN181" s="0" t="n">
        <v>-354.530157384535</v>
      </c>
      <c r="DQ181" s="0" t="n">
        <v>8.27</v>
      </c>
      <c r="DR181" s="0" t="n">
        <v>1.23299611039215</v>
      </c>
      <c r="DS181" s="0" t="n">
        <v>405.643016054845</v>
      </c>
      <c r="DT181" s="0" t="n">
        <v>40.5618565782759</v>
      </c>
      <c r="DU181" s="0" t="n">
        <v>-365.081159476569</v>
      </c>
      <c r="DX181" s="0" t="n">
        <v>8.27</v>
      </c>
      <c r="DY181" s="0" t="n">
        <v>1.23299611039215</v>
      </c>
      <c r="DZ181" s="0" t="n">
        <v>383.322356334136</v>
      </c>
      <c r="EA181" s="0" t="n">
        <v>40.2717584423895</v>
      </c>
      <c r="EB181" s="0" t="n">
        <v>-343.050597891746</v>
      </c>
    </row>
    <row r="182" customFormat="false" ht="12.8" hidden="false" customHeight="false" outlineLevel="0" collapsed="false">
      <c r="BZ182" s="0" t="n">
        <v>2.24404692251784</v>
      </c>
      <c r="CA182" s="0" t="n">
        <v>1.43775056282039</v>
      </c>
      <c r="CB182" s="0" t="n">
        <v>40.1548387811384</v>
      </c>
      <c r="CC182" s="0" t="n">
        <v>40.0555420750015</v>
      </c>
      <c r="CD182" s="0" t="n">
        <v>-0.0992967061369185</v>
      </c>
      <c r="CE182" s="20" t="n">
        <f aca="false">(CD182)^2</f>
        <v>0.00985983584964156</v>
      </c>
      <c r="CG182" s="0" t="n">
        <v>2.24404692251784</v>
      </c>
      <c r="CH182" s="0" t="n">
        <v>1.43775056282039</v>
      </c>
      <c r="CI182" s="0" t="n">
        <v>40.5320866201352</v>
      </c>
      <c r="CJ182" s="0" t="n">
        <v>40.1409607062428</v>
      </c>
      <c r="CK182" s="0" t="n">
        <v>-0.391125913892381</v>
      </c>
      <c r="CL182" s="20" t="n">
        <f aca="false">(CK182)^2</f>
        <v>0.15297948051815</v>
      </c>
      <c r="CN182" s="0" t="n">
        <v>2.24404692251784</v>
      </c>
      <c r="CO182" s="0" t="n">
        <v>1.43775056282039</v>
      </c>
      <c r="CP182" s="0" t="n">
        <v>40.409765269527</v>
      </c>
      <c r="CQ182" s="0" t="n">
        <v>40.1409607062428</v>
      </c>
      <c r="CR182" s="0" t="n">
        <v>-0.26880456328422</v>
      </c>
      <c r="CS182" s="20" t="n">
        <f aca="false">(CR182)^2</f>
        <v>0.0722558932424205</v>
      </c>
      <c r="CU182" s="0" t="n">
        <v>8.07</v>
      </c>
      <c r="CV182" s="0" t="n">
        <v>2.68544118567487</v>
      </c>
      <c r="CW182" s="0" t="n">
        <v>2.28501935429668</v>
      </c>
      <c r="CX182" s="0" t="n">
        <v>-0.400421831378189</v>
      </c>
      <c r="CY182" s="20" t="n">
        <f aca="false">(CX182)^2</f>
        <v>0.160337643044263</v>
      </c>
      <c r="DC182" s="0" t="n">
        <v>7.89</v>
      </c>
      <c r="DD182" s="0" t="n">
        <v>1.23299611039215</v>
      </c>
      <c r="DE182" s="0" t="e">
        <v>#VALUE!</v>
      </c>
      <c r="DF182" s="0" t="n">
        <v>0</v>
      </c>
      <c r="DG182" s="0" t="e">
        <v>#VALUE!</v>
      </c>
      <c r="DJ182" s="0" t="n">
        <v>7.89</v>
      </c>
      <c r="DK182" s="0" t="n">
        <v>1.23299611039215</v>
      </c>
      <c r="DL182" s="0" t="n">
        <v>380.218558244923</v>
      </c>
      <c r="DM182" s="0" t="n">
        <v>39.0888685217564</v>
      </c>
      <c r="DN182" s="0" t="n">
        <v>-341.129689723167</v>
      </c>
      <c r="DQ182" s="0" t="n">
        <v>7.89</v>
      </c>
      <c r="DR182" s="0" t="n">
        <v>1.23299611039215</v>
      </c>
      <c r="DS182" s="0" t="n">
        <v>390.966789911304</v>
      </c>
      <c r="DT182" s="0" t="n">
        <v>39.807392282766</v>
      </c>
      <c r="DU182" s="0" t="n">
        <v>-351.159397628538</v>
      </c>
      <c r="DX182" s="0" t="n">
        <v>7.89</v>
      </c>
      <c r="DY182" s="0" t="n">
        <v>1.23299611039215</v>
      </c>
      <c r="DZ182" s="0" t="n">
        <v>369.453695061107</v>
      </c>
      <c r="EA182" s="0" t="n">
        <v>39.2678630647137</v>
      </c>
      <c r="EB182" s="0" t="n">
        <v>-330.185831996393</v>
      </c>
    </row>
    <row r="183" customFormat="false" ht="12.8" hidden="false" customHeight="false" outlineLevel="0" collapsed="false">
      <c r="BJ183" s="0" t="s">
        <v>146</v>
      </c>
      <c r="BK183" s="0" t="s">
        <v>106</v>
      </c>
      <c r="BL183" s="0" t="s">
        <v>147</v>
      </c>
      <c r="BM183" s="0" t="s">
        <v>148</v>
      </c>
      <c r="BN183" s="0" t="str">
        <f aca="false">_xlfn.CONCAT("Lower " , INT($BJ$181 * 100) , "%")</f>
        <v>Lower 95%</v>
      </c>
      <c r="BO183" s="0" t="str">
        <f aca="false">_xlfn.CONCAT("Upper " , INT($BJ$181 * 100) , "%")</f>
        <v>Upper 95%</v>
      </c>
      <c r="BZ183" s="0" t="n">
        <v>1.60008622473531</v>
      </c>
      <c r="CA183" s="0" t="n">
        <v>1.31386722036915</v>
      </c>
      <c r="CB183" s="0" t="n">
        <v>39.5062303172208</v>
      </c>
      <c r="CC183" s="0" t="n">
        <v>39.6009701741581</v>
      </c>
      <c r="CD183" s="0" t="n">
        <v>0.094739856937295</v>
      </c>
      <c r="CE183" s="20" t="n">
        <f aca="false">(CD183)^2</f>
        <v>0.00897564049249913</v>
      </c>
      <c r="CG183" s="0" t="n">
        <v>1.60008622473531</v>
      </c>
      <c r="CH183" s="0" t="n">
        <v>1.31386722036915</v>
      </c>
      <c r="CI183" s="0" t="n">
        <v>40.1037499142204</v>
      </c>
      <c r="CJ183" s="0" t="n">
        <v>39.9728485150304</v>
      </c>
      <c r="CK183" s="0" t="n">
        <v>-0.130901399190002</v>
      </c>
      <c r="CL183" s="20" t="n">
        <f aca="false">(CK183)^2</f>
        <v>0.0171351763099002</v>
      </c>
      <c r="CN183" s="0" t="n">
        <v>1.60008622473531</v>
      </c>
      <c r="CO183" s="0" t="n">
        <v>1.31386722036915</v>
      </c>
      <c r="CP183" s="0" t="n">
        <v>39.8175386568259</v>
      </c>
      <c r="CQ183" s="0" t="n">
        <v>39.9728485150304</v>
      </c>
      <c r="CR183" s="0" t="n">
        <v>0.155309858204532</v>
      </c>
      <c r="CS183" s="20" t="n">
        <f aca="false">(CR183)^2</f>
        <v>0.0241211520555119</v>
      </c>
      <c r="CU183" s="0" t="n">
        <v>8.07</v>
      </c>
      <c r="CV183" s="0" t="n">
        <v>2.68544118567487</v>
      </c>
      <c r="CW183" s="0" t="n">
        <v>2.18948247828467</v>
      </c>
      <c r="CX183" s="0" t="n">
        <v>-0.495958707390199</v>
      </c>
      <c r="CY183" s="20" t="n">
        <f aca="false">(CX183)^2</f>
        <v>0.245975039436157</v>
      </c>
      <c r="DC183" s="0" t="n">
        <v>8.49</v>
      </c>
      <c r="DD183" s="0" t="n">
        <v>1.48572142648158</v>
      </c>
      <c r="DE183" s="0" t="e">
        <v>#VALUE!</v>
      </c>
      <c r="DF183" s="0" t="n">
        <v>0</v>
      </c>
      <c r="DG183" s="0" t="e">
        <v>#VALUE!</v>
      </c>
      <c r="DJ183" s="0" t="n">
        <v>8.49</v>
      </c>
      <c r="DK183" s="0" t="n">
        <v>1.48572142648158</v>
      </c>
      <c r="DL183" s="0" t="n">
        <v>412.282385073079</v>
      </c>
      <c r="DM183" s="0" t="n">
        <v>40.3263420583806</v>
      </c>
      <c r="DN183" s="0" t="n">
        <v>-371.956043014698</v>
      </c>
      <c r="DQ183" s="0" t="n">
        <v>8.49</v>
      </c>
      <c r="DR183" s="0" t="n">
        <v>1.48572142648158</v>
      </c>
      <c r="DS183" s="0" t="n">
        <v>423.900446693542</v>
      </c>
      <c r="DT183" s="0" t="n">
        <v>40.3264007404092</v>
      </c>
      <c r="DU183" s="0" t="n">
        <v>-383.574045953133</v>
      </c>
      <c r="DX183" s="0" t="n">
        <v>8.49</v>
      </c>
      <c r="DY183" s="0" t="n">
        <v>1.48572142648158</v>
      </c>
      <c r="DZ183" s="0" t="n">
        <v>400.57516497632</v>
      </c>
      <c r="EA183" s="0" t="n">
        <v>40.3264007404092</v>
      </c>
      <c r="EB183" s="0" t="n">
        <v>-360.248764235911</v>
      </c>
    </row>
    <row r="184" customFormat="false" ht="12.8" hidden="false" customHeight="false" outlineLevel="0" collapsed="false">
      <c r="BI184" s="0" t="str">
        <f aca="false">"Intercept"</f>
        <v>Intercept</v>
      </c>
      <c r="BJ184" s="0" t="n">
        <f aca="false" t="array" ref="BJ184:BJ185">INDEX($BI$162:$BJ$162, 1 , 186 - ROW())</f>
        <v>36.0200614019106</v>
      </c>
      <c r="BK184" s="0" t="n">
        <f aca="false" t="array" ref="BK184:BK185">INDEX($BI$163:$BJ$163, 1 , 186 - ROW())</f>
        <v>0.529634020686365</v>
      </c>
      <c r="BL184" s="0" t="n">
        <f aca="false" t="array" ref="BL184:BL185">$BJ$184:$BJ$185 / $BK$184:$BK$185</f>
        <v>68.0093422911756</v>
      </c>
      <c r="BM184" s="0" t="n">
        <f aca="false" t="array" ref="BM184:BM185">TDIST(ABS($BL$184:$BL$185) , $BJ$165 , 2 )</f>
        <v>1.26687919549201E-039</v>
      </c>
      <c r="BN184" s="0" t="n">
        <f aca="false" t="array" ref="BN184:BN185">$BJ$184:$BJ$185 - $BK$184:$BK$185 * TINV(1 - $BJ$181 , $BJ$165)</f>
        <v>34.9459138218414</v>
      </c>
      <c r="BO184" s="0" t="n">
        <f aca="false" t="array" ref="BO184:BO185">$BJ$184:$BJ$185 + $BK$184:$BK$185 * TINV(1 - $BJ$181 , $BJ$165)</f>
        <v>37.0942089819797</v>
      </c>
      <c r="BZ184" s="0" t="n">
        <v>1.37561164684667</v>
      </c>
      <c r="CA184" s="0" t="n">
        <v>1.51719589794997</v>
      </c>
      <c r="CB184" s="0" t="n">
        <v>39.7831582269243</v>
      </c>
      <c r="CC184" s="0" t="n">
        <v>39.7119114592515</v>
      </c>
      <c r="CD184" s="0" t="n">
        <v>-0.0712467676728039</v>
      </c>
      <c r="CE184" s="20" t="n">
        <f aca="false">(CD184)^2</f>
        <v>0.0050761019038225</v>
      </c>
      <c r="CG184" s="0" t="n">
        <v>1.37561164684667</v>
      </c>
      <c r="CH184" s="0" t="n">
        <v>1.51719589794997</v>
      </c>
      <c r="CI184" s="0" t="n">
        <v>40.3892181060691</v>
      </c>
      <c r="CJ184" s="0" t="n">
        <v>40.3675165950432</v>
      </c>
      <c r="CK184" s="0" t="n">
        <v>-0.0217015110258956</v>
      </c>
      <c r="CL184" s="20" t="n">
        <f aca="false">(CK184)^2</f>
        <v>0.000470955580807067</v>
      </c>
      <c r="CN184" s="0" t="n">
        <v>1.37561164684667</v>
      </c>
      <c r="CO184" s="0" t="n">
        <v>1.51719589794997</v>
      </c>
      <c r="CP184" s="0" t="n">
        <v>40.1039078896262</v>
      </c>
      <c r="CQ184" s="0" t="n">
        <v>40.3675165950432</v>
      </c>
      <c r="CR184" s="0" t="n">
        <v>0.263608705416964</v>
      </c>
      <c r="CS184" s="20" t="n">
        <f aca="false">(CR184)^2</f>
        <v>0.0694895495716075</v>
      </c>
      <c r="CU184" s="0" t="n">
        <v>8.27</v>
      </c>
      <c r="CV184" s="0" t="n">
        <v>2.68468720425265</v>
      </c>
      <c r="CW184" s="0" t="n">
        <v>3.01277417174865</v>
      </c>
      <c r="CX184" s="0" t="n">
        <v>0.328086967495999</v>
      </c>
      <c r="CY184" s="20" t="n">
        <f aca="false">(CX184)^2</f>
        <v>0.107641058240721</v>
      </c>
      <c r="DC184" s="0" t="n">
        <v>7.96</v>
      </c>
      <c r="DD184" s="0" t="n">
        <v>1.25527250510331</v>
      </c>
      <c r="DE184" s="0" t="e">
        <v>#VALUE!</v>
      </c>
      <c r="DF184" s="0" t="n">
        <v>0</v>
      </c>
      <c r="DG184" s="0" t="e">
        <v>#VALUE!</v>
      </c>
      <c r="DJ184" s="0" t="n">
        <v>7.96</v>
      </c>
      <c r="DK184" s="0" t="n">
        <v>1.25527250510331</v>
      </c>
      <c r="DL184" s="0" t="n">
        <v>383.688297309214</v>
      </c>
      <c r="DM184" s="0" t="n">
        <v>39.8138398098754</v>
      </c>
      <c r="DN184" s="0" t="n">
        <v>-343.874457499339</v>
      </c>
      <c r="DQ184" s="0" t="n">
        <v>7.96</v>
      </c>
      <c r="DR184" s="0" t="n">
        <v>1.25527250510331</v>
      </c>
      <c r="DS184" s="0" t="n">
        <v>394.530656323124</v>
      </c>
      <c r="DT184" s="0" t="n">
        <v>40.2861528339909</v>
      </c>
      <c r="DU184" s="0" t="n">
        <v>-354.244503489133</v>
      </c>
      <c r="DX184" s="0" t="n">
        <v>7.96</v>
      </c>
      <c r="DY184" s="0" t="n">
        <v>1.25527250510331</v>
      </c>
      <c r="DZ184" s="0" t="n">
        <v>372.821458381489</v>
      </c>
      <c r="EA184" s="0" t="n">
        <v>39.8999512285901</v>
      </c>
      <c r="EB184" s="0" t="n">
        <v>-332.921507152899</v>
      </c>
    </row>
    <row r="185" customFormat="false" ht="12.8" hidden="false" customHeight="false" outlineLevel="0" collapsed="false">
      <c r="BI185" s="0" t="str">
        <f aca="false">$BL$94</f>
        <v>log (σHβ) (Km s-¹)</v>
      </c>
      <c r="BJ185" s="0" t="n">
        <v>2.80447068198056</v>
      </c>
      <c r="BK185" s="0" t="n">
        <v>0.386204422666312</v>
      </c>
      <c r="BL185" s="0" t="n">
        <v>7.26162238800583</v>
      </c>
      <c r="BM185" s="0" t="n">
        <v>1.49401565520797E-008</v>
      </c>
      <c r="BN185" s="0" t="n">
        <v>2.02121180921889</v>
      </c>
      <c r="BO185" s="0" t="n">
        <v>3.58772955474223</v>
      </c>
      <c r="BZ185" s="0" t="n">
        <v>1.68490801536986</v>
      </c>
      <c r="CA185" s="0" t="n">
        <v>1.32221929473392</v>
      </c>
      <c r="CB185" s="0" t="n">
        <v>39.5754098400698</v>
      </c>
      <c r="CC185" s="0" t="n">
        <v>39.8158956218551</v>
      </c>
      <c r="CD185" s="0" t="n">
        <v>0.240485781785345</v>
      </c>
      <c r="CE185" s="20" t="n">
        <f aca="false">(CD185)^2</f>
        <v>0.0578334112409088</v>
      </c>
      <c r="CG185" s="0" t="n">
        <v>1.68490801536986</v>
      </c>
      <c r="CH185" s="0" t="n">
        <v>1.32221929473392</v>
      </c>
      <c r="CI185" s="0" t="n">
        <v>40.1461206607656</v>
      </c>
      <c r="CJ185" s="0" t="n">
        <v>40.2813702480347</v>
      </c>
      <c r="CK185" s="0" t="n">
        <v>0.135249587269115</v>
      </c>
      <c r="CL185" s="20" t="n">
        <f aca="false">(CK185)^2</f>
        <v>0.018292450856466</v>
      </c>
      <c r="CN185" s="0" t="n">
        <v>1.68490801536986</v>
      </c>
      <c r="CO185" s="0" t="n">
        <v>1.32221929473392</v>
      </c>
      <c r="CP185" s="0" t="n">
        <v>39.8796216272726</v>
      </c>
      <c r="CQ185" s="0" t="n">
        <v>40.2813702480347</v>
      </c>
      <c r="CR185" s="0" t="n">
        <v>0.401748620762113</v>
      </c>
      <c r="CS185" s="20" t="n">
        <f aca="false">(CR185)^2</f>
        <v>0.16140195428426</v>
      </c>
      <c r="CU185" s="0" t="n">
        <v>7.89</v>
      </c>
      <c r="CV185" s="0" t="n">
        <v>2.68611976895486</v>
      </c>
      <c r="CW185" s="0" t="n">
        <v>2.23419219759188</v>
      </c>
      <c r="CX185" s="0" t="n">
        <v>-0.451927571362984</v>
      </c>
      <c r="CY185" s="20" t="n">
        <f aca="false">(CX185)^2</f>
        <v>0.204238529758045</v>
      </c>
      <c r="DC185" s="0" t="n">
        <v>8.02</v>
      </c>
      <c r="DD185" s="0" t="n">
        <v>1.39269695325967</v>
      </c>
      <c r="DE185" s="0" t="e">
        <v>#VALUE!</v>
      </c>
      <c r="DF185" s="0" t="n">
        <v>0</v>
      </c>
      <c r="DG185" s="0" t="e">
        <v>#VALUE!</v>
      </c>
      <c r="DJ185" s="0" t="n">
        <v>8.02</v>
      </c>
      <c r="DK185" s="0" t="n">
        <v>1.39269695325967</v>
      </c>
      <c r="DL185" s="0" t="n">
        <v>391.111770258698</v>
      </c>
      <c r="DM185" s="0" t="n">
        <v>39.5808250944804</v>
      </c>
      <c r="DN185" s="0" t="n">
        <v>-351.530945164217</v>
      </c>
      <c r="DQ185" s="0" t="n">
        <v>8.02</v>
      </c>
      <c r="DR185" s="0" t="n">
        <v>1.39269695325967</v>
      </c>
      <c r="DS185" s="0" t="n">
        <v>402.155513816299</v>
      </c>
      <c r="DT185" s="0" t="n">
        <v>40.2880850465456</v>
      </c>
      <c r="DU185" s="0" t="n">
        <v>-361.867428769753</v>
      </c>
      <c r="DX185" s="0" t="n">
        <v>8.02</v>
      </c>
      <c r="DY185" s="0" t="n">
        <v>1.39269695325967</v>
      </c>
      <c r="DZ185" s="0" t="n">
        <v>380.026755219635</v>
      </c>
      <c r="EA185" s="0" t="n">
        <v>39.4996349548837</v>
      </c>
      <c r="EB185" s="0" t="n">
        <v>-340.527120264751</v>
      </c>
    </row>
    <row r="186" customFormat="false" ht="12.8" hidden="false" customHeight="false" outlineLevel="0" collapsed="false">
      <c r="BZ186" s="0" t="n">
        <v>1.85057428008802</v>
      </c>
      <c r="CA186" s="0" t="n">
        <v>1.23299611039215</v>
      </c>
      <c r="CB186" s="0" t="n">
        <v>39.4951734697686</v>
      </c>
      <c r="CC186" s="0" t="n">
        <v>39.9770046637507</v>
      </c>
      <c r="CD186" s="0" t="n">
        <v>0.481831193982067</v>
      </c>
      <c r="CE186" s="20" t="n">
        <f aca="false">(CD186)^2</f>
        <v>0.232161299494185</v>
      </c>
      <c r="CG186" s="0" t="n">
        <v>1.85057428008802</v>
      </c>
      <c r="CH186" s="0" t="n">
        <v>1.23299611039215</v>
      </c>
      <c r="CI186" s="0" t="n">
        <v>40.0427396616769</v>
      </c>
      <c r="CJ186" s="0" t="n">
        <v>40.5618565782759</v>
      </c>
      <c r="CK186" s="0" t="n">
        <v>0.519116916598961</v>
      </c>
      <c r="CL186" s="20" t="n">
        <f aca="false">(CK186)^2</f>
        <v>0.269482373099212</v>
      </c>
      <c r="CN186" s="0" t="n">
        <v>1.85057428008802</v>
      </c>
      <c r="CO186" s="0" t="n">
        <v>1.23299611039215</v>
      </c>
      <c r="CP186" s="0" t="n">
        <v>39.7898970383671</v>
      </c>
      <c r="CQ186" s="0" t="n">
        <v>40.2717584423895</v>
      </c>
      <c r="CR186" s="0" t="n">
        <v>0.481861404022354</v>
      </c>
      <c r="CS186" s="20" t="n">
        <f aca="false">(CR186)^2</f>
        <v>0.232190412686394</v>
      </c>
      <c r="CU186" s="0" t="n">
        <v>8.27</v>
      </c>
      <c r="CV186" s="0" t="n">
        <v>2.68468720425265</v>
      </c>
      <c r="CW186" s="0" t="n">
        <v>2.51128671835605</v>
      </c>
      <c r="CX186" s="0" t="n">
        <v>-0.173400485896601</v>
      </c>
      <c r="CY186" s="20" t="n">
        <f aca="false">(CX186)^2</f>
        <v>0.0300677285091774</v>
      </c>
      <c r="DC186" s="0" t="n">
        <v>8.28</v>
      </c>
      <c r="DD186" s="0" t="n">
        <v>1.50379068305718</v>
      </c>
      <c r="DE186" s="0" t="e">
        <v>#VALUE!</v>
      </c>
      <c r="DF186" s="0" t="n">
        <v>0</v>
      </c>
      <c r="DG186" s="0" t="e">
        <v>#VALUE!</v>
      </c>
      <c r="DJ186" s="0" t="n">
        <v>8.28</v>
      </c>
      <c r="DK186" s="0" t="n">
        <v>1.50379068305718</v>
      </c>
      <c r="DL186" s="0" t="n">
        <v>405.065484150773</v>
      </c>
      <c r="DM186" s="0" t="n">
        <v>40.3643638589132</v>
      </c>
      <c r="DN186" s="0" t="n">
        <v>-364.70112029186</v>
      </c>
      <c r="DQ186" s="0" t="n">
        <v>8.28</v>
      </c>
      <c r="DR186" s="0" t="n">
        <v>1.50379068305718</v>
      </c>
      <c r="DS186" s="0" t="n">
        <v>416.487765129347</v>
      </c>
      <c r="DT186" s="0" t="n">
        <v>41.0286745143046</v>
      </c>
      <c r="DU186" s="0" t="n">
        <v>-375.459090615042</v>
      </c>
      <c r="DX186" s="0" t="n">
        <v>8.28</v>
      </c>
      <c r="DY186" s="0" t="n">
        <v>1.50379068305718</v>
      </c>
      <c r="DZ186" s="0" t="n">
        <v>393.570369006758</v>
      </c>
      <c r="EA186" s="0" t="n">
        <v>40.3849932800756</v>
      </c>
      <c r="EB186" s="0" t="n">
        <v>-353.185375726682</v>
      </c>
    </row>
    <row r="187" customFormat="false" ht="12.8" hidden="false" customHeight="false" outlineLevel="0" collapsed="false">
      <c r="BI187" s="0" t="str">
        <f aca="false">$BL$94</f>
        <v>log (σHβ) (Km s-¹)</v>
      </c>
      <c r="BJ187" s="0" t="s">
        <v>157</v>
      </c>
      <c r="BK187" s="0" t="str">
        <f aca="false">$BG$94</f>
        <v>log (LHβ) (erg s-¹) KTC</v>
      </c>
      <c r="BL187" s="0" t="s">
        <v>133</v>
      </c>
      <c r="BM187" s="26" t="s">
        <v>158</v>
      </c>
      <c r="BZ187" s="0" t="n">
        <v>1.54507120196056</v>
      </c>
      <c r="CA187" s="0" t="n">
        <v>1.23299611039215</v>
      </c>
      <c r="CB187" s="0" t="n">
        <v>39.307392656574</v>
      </c>
      <c r="CC187" s="0" t="n">
        <v>39.0888685217564</v>
      </c>
      <c r="CD187" s="0" t="n">
        <v>-0.218524134817621</v>
      </c>
      <c r="CE187" s="20" t="n">
        <f aca="false">(CD187)^2</f>
        <v>0.0477527974977896</v>
      </c>
      <c r="CG187" s="0" t="n">
        <v>1.54507120196056</v>
      </c>
      <c r="CH187" s="0" t="n">
        <v>1.23299611039215</v>
      </c>
      <c r="CI187" s="0" t="n">
        <v>39.9431885206475</v>
      </c>
      <c r="CJ187" s="0" t="n">
        <v>39.807392282766</v>
      </c>
      <c r="CK187" s="0" t="n">
        <v>-0.135796237881529</v>
      </c>
      <c r="CL187" s="20" t="n">
        <f aca="false">(CK187)^2</f>
        <v>0.0184406182227767</v>
      </c>
      <c r="CN187" s="0" t="n">
        <v>1.54507120196056</v>
      </c>
      <c r="CO187" s="0" t="n">
        <v>1.23299611039215</v>
      </c>
      <c r="CP187" s="0" t="n">
        <v>39.6264296910368</v>
      </c>
      <c r="CQ187" s="0" t="n">
        <v>39.2678630647137</v>
      </c>
      <c r="CR187" s="0" t="n">
        <v>-0.358566626323054</v>
      </c>
      <c r="CS187" s="20" t="n">
        <f aca="false">(CR187)^2</f>
        <v>0.128570025512696</v>
      </c>
      <c r="CU187" s="0" t="n">
        <v>8.49</v>
      </c>
      <c r="CV187" s="0" t="n">
        <v>2.68385782468821</v>
      </c>
      <c r="CW187" s="0" t="n">
        <v>2.98461060088215</v>
      </c>
      <c r="CX187" s="0" t="n">
        <v>0.300752776193939</v>
      </c>
      <c r="CY187" s="20" t="n">
        <f aca="false">(CX187)^2</f>
        <v>0.0904522323883613</v>
      </c>
      <c r="DC187" s="0" t="n">
        <v>7.54</v>
      </c>
      <c r="DD187" s="0" t="n">
        <v>1.24303804868629</v>
      </c>
      <c r="DE187" s="0" t="e">
        <v>#VALUE!</v>
      </c>
      <c r="DF187" s="0" t="n">
        <v>0</v>
      </c>
      <c r="DG187" s="0" t="e">
        <v>#VALUE!</v>
      </c>
      <c r="DJ187" s="0" t="n">
        <v>7.54</v>
      </c>
      <c r="DK187" s="0" t="n">
        <v>1.24303804868629</v>
      </c>
      <c r="DL187" s="0" t="n">
        <v>367.435594946307</v>
      </c>
      <c r="DM187" s="0" t="n">
        <v>39.8907352023789</v>
      </c>
      <c r="DN187" s="0" t="n">
        <v>-327.544859743928</v>
      </c>
      <c r="DQ187" s="0" t="n">
        <v>7.54</v>
      </c>
      <c r="DR187" s="0" t="n">
        <v>1.24303804868629</v>
      </c>
      <c r="DS187" s="0" t="n">
        <v>377.837049403634</v>
      </c>
      <c r="DT187" s="0" t="n">
        <v>40.3666338830954</v>
      </c>
      <c r="DU187" s="0" t="n">
        <v>-337.470415520538</v>
      </c>
      <c r="DX187" s="0" t="n">
        <v>7.54</v>
      </c>
      <c r="DY187" s="0" t="n">
        <v>1.24303804868629</v>
      </c>
      <c r="DZ187" s="0" t="n">
        <v>357.046423469438</v>
      </c>
      <c r="EA187" s="0" t="n">
        <v>40.0674853105121</v>
      </c>
      <c r="EB187" s="0" t="n">
        <v>-316.978938158926</v>
      </c>
    </row>
    <row r="188" customFormat="false" ht="12.8" hidden="false" customHeight="false" outlineLevel="0" collapsed="false">
      <c r="BI188" s="0" t="n">
        <f aca="false" t="array" ref="BI188:BI225">$BL$95:$BL$132</f>
        <v>1.18752072083646</v>
      </c>
      <c r="BJ188" s="0" t="n">
        <f aca="false" t="array" ref="BJ188:BJ225">MMULT($BI$188:$BI$225 , $BJ$185) + $BJ$184</f>
        <v>39.3504284477408</v>
      </c>
      <c r="BK188" s="0" t="n">
        <f aca="false" t="array" ref="BK188:BK225">$BG$95:$BG$132</f>
        <v>39.4693811697741</v>
      </c>
      <c r="BL188" s="0" t="n">
        <f aca="false" t="array" ref="BL188:BL225">$BK$188:$BK$225 - $BJ$188:$BJ$225</f>
        <v>0.118952722033278</v>
      </c>
      <c r="BM188" s="20" t="n">
        <f aca="false">(BL188)^2</f>
        <v>0.0141497500791262</v>
      </c>
      <c r="BZ188" s="0" t="n">
        <v>1.96442405905461</v>
      </c>
      <c r="CA188" s="0" t="n">
        <v>1.3541084391474</v>
      </c>
      <c r="CB188" s="0" t="n">
        <v>39.8122890408607</v>
      </c>
      <c r="CC188" s="0" t="n">
        <v>39.3364926286811</v>
      </c>
      <c r="CD188" s="0" t="n">
        <v>-0.475796412179562</v>
      </c>
      <c r="CE188" s="20" t="n">
        <f aca="false">(CD188)^2</f>
        <v>0.226382225842944</v>
      </c>
      <c r="CG188" s="0" t="n">
        <v>1.96442405905461</v>
      </c>
      <c r="CH188" s="0" t="n">
        <v>1.3541084391474</v>
      </c>
      <c r="CI188" s="0" t="n">
        <v>40.2934472834022</v>
      </c>
      <c r="CJ188" s="0" t="n">
        <v>39.6234285182525</v>
      </c>
      <c r="CK188" s="0" t="n">
        <v>-0.670018765149649</v>
      </c>
      <c r="CL188" s="20" t="n">
        <f aca="false">(CK188)^2</f>
        <v>0.448925145652661</v>
      </c>
      <c r="CN188" s="0" t="n">
        <v>1.96442405905461</v>
      </c>
      <c r="CO188" s="0" t="n">
        <v>1.3541084391474</v>
      </c>
      <c r="CP188" s="0" t="n">
        <v>40.0929344389964</v>
      </c>
      <c r="CQ188" s="0" t="n">
        <v>39.6234285182525</v>
      </c>
      <c r="CR188" s="0" t="n">
        <v>-0.469505920743906</v>
      </c>
      <c r="CS188" s="20" t="n">
        <f aca="false">(CR188)^2</f>
        <v>0.220435809613583</v>
      </c>
      <c r="CU188" s="0" t="n">
        <v>8.02</v>
      </c>
      <c r="CV188" s="0" t="n">
        <v>2.68562968103042</v>
      </c>
      <c r="CW188" s="0" t="n">
        <v>2.65208067517048</v>
      </c>
      <c r="CX188" s="0" t="n">
        <v>-0.033549005859943</v>
      </c>
      <c r="CY188" s="20" t="n">
        <f aca="false">(CX188)^2</f>
        <v>0.00112553579419049</v>
      </c>
      <c r="DC188" s="0" t="n">
        <v>8.26</v>
      </c>
      <c r="DD188" s="0" t="n">
        <v>1.3096301674259</v>
      </c>
      <c r="DE188" s="0" t="e">
        <v>#VALUE!</v>
      </c>
      <c r="DF188" s="0" t="n">
        <v>0</v>
      </c>
      <c r="DG188" s="0" t="e">
        <v>#VALUE!</v>
      </c>
      <c r="DJ188" s="0" t="n">
        <v>8.26</v>
      </c>
      <c r="DK188" s="0" t="n">
        <v>1.3096301674259</v>
      </c>
      <c r="DL188" s="0" t="n">
        <v>397.012708471354</v>
      </c>
      <c r="DM188" s="0" t="n">
        <v>39.8855611883631</v>
      </c>
      <c r="DN188" s="0" t="n">
        <v>-357.127147282991</v>
      </c>
      <c r="DQ188" s="0" t="n">
        <v>8.26</v>
      </c>
      <c r="DR188" s="0" t="n">
        <v>1.3096301674259</v>
      </c>
      <c r="DS188" s="0" t="n">
        <v>408.2165331335</v>
      </c>
      <c r="DT188" s="0" t="n">
        <v>40.3210963526474</v>
      </c>
      <c r="DU188" s="0" t="n">
        <v>-367.895436780852</v>
      </c>
      <c r="DX188" s="0" t="n">
        <v>8.26</v>
      </c>
      <c r="DY188" s="0" t="n">
        <v>1.3096301674259</v>
      </c>
      <c r="DZ188" s="0" t="n">
        <v>385.75426466637</v>
      </c>
      <c r="EA188" s="0" t="n">
        <v>40.3210963526474</v>
      </c>
      <c r="EB188" s="0" t="n">
        <v>-345.433168313722</v>
      </c>
    </row>
    <row r="189" customFormat="false" ht="12.8" hidden="false" customHeight="false" outlineLevel="0" collapsed="false">
      <c r="BI189" s="0" t="n">
        <v>1.32633586092875</v>
      </c>
      <c r="BJ189" s="0" t="n">
        <v>39.7397314383447</v>
      </c>
      <c r="BK189" s="0" t="n">
        <v>40.1317447055601</v>
      </c>
      <c r="BL189" s="0" t="n">
        <v>0.392013267215425</v>
      </c>
      <c r="BM189" s="20" t="n">
        <f aca="false">(BL189)^2</f>
        <v>0.153674401672912</v>
      </c>
      <c r="BZ189" s="0" t="n">
        <v>2.35784156259318</v>
      </c>
      <c r="CA189" s="0" t="n">
        <v>1.48572142648158</v>
      </c>
      <c r="CB189" s="0" t="n">
        <v>40.3226711638011</v>
      </c>
      <c r="CC189" s="0" t="n">
        <v>40.3263420583806</v>
      </c>
      <c r="CD189" s="0" t="n">
        <v>0.00367089457954251</v>
      </c>
      <c r="CE189" s="20" t="n">
        <f aca="false">(CD189)^2</f>
        <v>1.34754670141145E-005</v>
      </c>
      <c r="CG189" s="0" t="n">
        <v>2.35784156259318</v>
      </c>
      <c r="CH189" s="0" t="n">
        <v>1.48572142648158</v>
      </c>
      <c r="CI189" s="0" t="n">
        <v>40.6537750098678</v>
      </c>
      <c r="CJ189" s="0" t="n">
        <v>40.3264007404092</v>
      </c>
      <c r="CK189" s="0" t="n">
        <v>-0.32737426945863</v>
      </c>
      <c r="CL189" s="20" t="n">
        <f aca="false">(CK189)^2</f>
        <v>0.107173912303572</v>
      </c>
      <c r="CN189" s="0" t="n">
        <v>2.35784156259318</v>
      </c>
      <c r="CO189" s="0" t="n">
        <v>1.48572142648158</v>
      </c>
      <c r="CP189" s="0" t="n">
        <v>40.5665539703351</v>
      </c>
      <c r="CQ189" s="0" t="n">
        <v>40.3264007404092</v>
      </c>
      <c r="CR189" s="0" t="n">
        <v>-0.24015322992593</v>
      </c>
      <c r="CS189" s="20" t="n">
        <f aca="false">(CR189)^2</f>
        <v>0.0576735738438567</v>
      </c>
      <c r="CU189" s="0" t="n">
        <v>8.5</v>
      </c>
      <c r="CV189" s="0" t="n">
        <v>2.6838201256171</v>
      </c>
      <c r="CW189" s="0" t="n">
        <v>3.14327666168951</v>
      </c>
      <c r="CX189" s="0" t="n">
        <v>0.459456536072409</v>
      </c>
      <c r="CY189" s="20" t="n">
        <f aca="false">(CX189)^2</f>
        <v>0.211100308539657</v>
      </c>
      <c r="DC189" s="0" t="n">
        <v>8.01</v>
      </c>
      <c r="DD189" s="0" t="n">
        <v>1.54900326202579</v>
      </c>
      <c r="DE189" s="0" t="e">
        <v>#VALUE!</v>
      </c>
      <c r="DF189" s="0" t="n">
        <v>0</v>
      </c>
      <c r="DG189" s="0" t="e">
        <v>#VALUE!</v>
      </c>
      <c r="DJ189" s="0" t="n">
        <v>8.01</v>
      </c>
      <c r="DK189" s="0" t="n">
        <v>1.54900326202579</v>
      </c>
      <c r="DL189" s="0" t="n">
        <v>396.613119942623</v>
      </c>
      <c r="DM189" s="0" t="n">
        <v>40.8602418490241</v>
      </c>
      <c r="DN189" s="0" t="n">
        <v>-355.752878093599</v>
      </c>
      <c r="DQ189" s="0" t="n">
        <v>8.01</v>
      </c>
      <c r="DR189" s="0" t="n">
        <v>1.54900326202579</v>
      </c>
      <c r="DS189" s="0" t="n">
        <v>407.806104536505</v>
      </c>
      <c r="DT189" s="0" t="n">
        <v>41.2889669095893</v>
      </c>
      <c r="DU189" s="0" t="n">
        <v>-366.517137626916</v>
      </c>
      <c r="DX189" s="0" t="n">
        <v>8.01</v>
      </c>
      <c r="DY189" s="0" t="n">
        <v>1.54900326202579</v>
      </c>
      <c r="DZ189" s="0" t="n">
        <v>385.366420057489</v>
      </c>
      <c r="EA189" s="0" t="n">
        <v>40.7432526092177</v>
      </c>
      <c r="EB189" s="0" t="n">
        <v>-344.623167448271</v>
      </c>
    </row>
    <row r="190" customFormat="false" ht="12.8" hidden="false" customHeight="false" outlineLevel="0" collapsed="false">
      <c r="BI190" s="0" t="n">
        <v>1.52762990087134</v>
      </c>
      <c r="BJ190" s="0" t="n">
        <v>40.3042546718211</v>
      </c>
      <c r="BK190" s="0" t="n">
        <v>39.9963150223595</v>
      </c>
      <c r="BL190" s="0" t="n">
        <v>-0.307939649461602</v>
      </c>
      <c r="BM190" s="20" t="n">
        <f aca="false">(BL190)^2</f>
        <v>0.0948268277105343</v>
      </c>
      <c r="BZ190" s="0" t="n">
        <v>2.04990126579397</v>
      </c>
      <c r="CA190" s="0" t="n">
        <v>1.39967372148104</v>
      </c>
      <c r="CB190" s="0" t="n">
        <v>39.9578070781896</v>
      </c>
      <c r="CC190" s="0" t="n">
        <v>39.7238406799932</v>
      </c>
      <c r="CD190" s="0" t="n">
        <v>-0.233966398196387</v>
      </c>
      <c r="CE190" s="20" t="n">
        <f aca="false">(CD190)^2</f>
        <v>0.0547402754849902</v>
      </c>
      <c r="CG190" s="0" t="n">
        <v>2.04990126579397</v>
      </c>
      <c r="CH190" s="0" t="n">
        <v>1.39967372148104</v>
      </c>
      <c r="CI190" s="0" t="n">
        <v>40.4016653843715</v>
      </c>
      <c r="CJ190" s="0" t="n">
        <v>40.2529720067542</v>
      </c>
      <c r="CK190" s="0" t="n">
        <v>-0.148693377617285</v>
      </c>
      <c r="CL190" s="20" t="n">
        <f aca="false">(CK190)^2</f>
        <v>0.0221097205472364</v>
      </c>
      <c r="CN190" s="0" t="n">
        <v>2.04990126579397</v>
      </c>
      <c r="CO190" s="0" t="n">
        <v>1.39967372148104</v>
      </c>
      <c r="CP190" s="0" t="n">
        <v>40.2297620960011</v>
      </c>
      <c r="CQ190" s="0" t="n">
        <v>40.0756659371669</v>
      </c>
      <c r="CR190" s="0" t="n">
        <v>-0.154096158834193</v>
      </c>
      <c r="CS190" s="20" t="n">
        <f aca="false">(CR190)^2</f>
        <v>0.0237456261674528</v>
      </c>
      <c r="CU190" s="0" t="n">
        <v>7.96</v>
      </c>
      <c r="CV190" s="0" t="n">
        <v>2.68585587545709</v>
      </c>
      <c r="CW190" s="0" t="n">
        <v>2.72075204192537</v>
      </c>
      <c r="CX190" s="0" t="n">
        <v>0.0348961664682816</v>
      </c>
      <c r="CY190" s="20" t="n">
        <f aca="false">(CX190)^2</f>
        <v>0.00121774243418202</v>
      </c>
      <c r="DC190" s="0" t="n">
        <v>8.48</v>
      </c>
      <c r="DD190" s="0" t="n">
        <v>1.38021124171161</v>
      </c>
      <c r="DE190" s="0" t="e">
        <v>#VALUE!</v>
      </c>
      <c r="DF190" s="0" t="n">
        <v>0</v>
      </c>
      <c r="DG190" s="0" t="e">
        <v>#VALUE!</v>
      </c>
      <c r="DJ190" s="0" t="n">
        <v>8.48</v>
      </c>
      <c r="DK190" s="0" t="n">
        <v>1.38021124171161</v>
      </c>
      <c r="DL190" s="0" t="n">
        <v>407.939018585102</v>
      </c>
      <c r="DM190" s="0" t="n">
        <v>39.5307026003539</v>
      </c>
      <c r="DN190" s="0" t="n">
        <v>-368.408315984748</v>
      </c>
      <c r="DQ190" s="0" t="n">
        <v>8.48</v>
      </c>
      <c r="DR190" s="0" t="n">
        <v>1.38021124171161</v>
      </c>
      <c r="DS190" s="0" t="n">
        <v>419.439253026263</v>
      </c>
      <c r="DT190" s="0" t="n">
        <v>40.3112205857885</v>
      </c>
      <c r="DU190" s="0" t="n">
        <v>-379.128032440474</v>
      </c>
      <c r="DX190" s="0" t="n">
        <v>8.48</v>
      </c>
      <c r="DY190" s="0" t="n">
        <v>1.38021124171161</v>
      </c>
      <c r="DZ190" s="0" t="n">
        <v>396.359450170637</v>
      </c>
      <c r="EA190" s="0" t="n">
        <v>39.8411325938</v>
      </c>
      <c r="EB190" s="0" t="n">
        <v>-356.518317576837</v>
      </c>
    </row>
    <row r="191" customFormat="false" ht="12.8" hidden="false" customHeight="false" outlineLevel="0" collapsed="false">
      <c r="BI191" s="0" t="n">
        <v>1.54530711646582</v>
      </c>
      <c r="BJ191" s="0" t="n">
        <v>40.3538299046949</v>
      </c>
      <c r="BK191" s="0" t="n">
        <v>40.3308782653967</v>
      </c>
      <c r="BL191" s="0" t="n">
        <v>-0.0229516392981637</v>
      </c>
      <c r="BM191" s="20" t="n">
        <f aca="false">(BL191)^2</f>
        <v>0.000526777746473012</v>
      </c>
      <c r="BZ191" s="0" t="n">
        <v>2.20522175876517</v>
      </c>
      <c r="CA191" s="0" t="n">
        <v>1.3384564936046</v>
      </c>
      <c r="CB191" s="0" t="n">
        <v>39.9283593042647</v>
      </c>
      <c r="CC191" s="0" t="n">
        <v>40.069553025812</v>
      </c>
      <c r="CD191" s="0" t="n">
        <v>0.141193721547303</v>
      </c>
      <c r="CE191" s="20" t="n">
        <f aca="false">(CD191)^2</f>
        <v>0.0199356670043774</v>
      </c>
      <c r="CG191" s="0" t="n">
        <v>2.20522175876517</v>
      </c>
      <c r="CH191" s="0" t="n">
        <v>1.3384564936046</v>
      </c>
      <c r="CI191" s="0" t="n">
        <v>40.3443078571945</v>
      </c>
      <c r="CJ191" s="0" t="n">
        <v>41.2641577153917</v>
      </c>
      <c r="CK191" s="0" t="n">
        <v>0.919849858197175</v>
      </c>
      <c r="CL191" s="20" t="n">
        <f aca="false">(CK191)^2</f>
        <v>0.846123761625363</v>
      </c>
      <c r="CN191" s="0" t="n">
        <v>2.20522175876517</v>
      </c>
      <c r="CO191" s="0" t="n">
        <v>1.3384564936046</v>
      </c>
      <c r="CP191" s="0" t="n">
        <v>40.1904892426891</v>
      </c>
      <c r="CQ191" s="0" t="n">
        <v>40.7238661685937</v>
      </c>
      <c r="CR191" s="0" t="n">
        <v>0.533376925904598</v>
      </c>
      <c r="CS191" s="20" t="n">
        <f aca="false">(CR191)^2</f>
        <v>0.284490945087439</v>
      </c>
      <c r="CU191" s="0" t="n">
        <v>8.56</v>
      </c>
      <c r="CV191" s="0" t="n">
        <v>2.68359393119044</v>
      </c>
      <c r="CW191" s="0" t="n">
        <v>2.48769573000203</v>
      </c>
      <c r="CX191" s="0" t="n">
        <v>-0.195898201188406</v>
      </c>
      <c r="CY191" s="20" t="n">
        <f aca="false">(CX191)^2</f>
        <v>0.038376105228853</v>
      </c>
      <c r="DC191" s="0" t="n">
        <v>7.85</v>
      </c>
      <c r="DD191" s="0" t="n">
        <v>1.23552844690755</v>
      </c>
      <c r="DE191" s="0" t="e">
        <v>#VALUE!</v>
      </c>
      <c r="DF191" s="0" t="n">
        <v>0</v>
      </c>
      <c r="DG191" s="0" t="e">
        <v>#VALUE!</v>
      </c>
      <c r="DJ191" s="0" t="n">
        <v>7.85</v>
      </c>
      <c r="DK191" s="0" t="n">
        <v>1.23552844690755</v>
      </c>
      <c r="DL191" s="0" t="n">
        <v>378.809714563425</v>
      </c>
      <c r="DM191" s="0" t="n">
        <v>39.7584397069598</v>
      </c>
      <c r="DN191" s="0" t="n">
        <v>-339.051274856465</v>
      </c>
      <c r="DQ191" s="0" t="n">
        <v>7.85</v>
      </c>
      <c r="DR191" s="0" t="n">
        <v>1.23552844690755</v>
      </c>
      <c r="DS191" s="0" t="n">
        <v>389.51972701033</v>
      </c>
      <c r="DT191" s="0" t="n">
        <v>40.1263375099171</v>
      </c>
      <c r="DU191" s="0" t="n">
        <v>-349.393389500413</v>
      </c>
      <c r="DX191" s="0" t="n">
        <v>7.85</v>
      </c>
      <c r="DY191" s="0" t="n">
        <v>1.23552844690755</v>
      </c>
      <c r="DZ191" s="0" t="n">
        <v>368.086257341213</v>
      </c>
      <c r="EA191" s="0" t="n">
        <v>39.9044887603007</v>
      </c>
      <c r="EB191" s="0" t="n">
        <v>-328.181768580912</v>
      </c>
    </row>
    <row r="192" customFormat="false" ht="12.8" hidden="false" customHeight="false" outlineLevel="0" collapsed="false">
      <c r="BI192" s="0" t="n">
        <v>1.44247976906445</v>
      </c>
      <c r="BJ192" s="0" t="n">
        <v>40.0654536236019</v>
      </c>
      <c r="BK192" s="0" t="n">
        <v>40.4850090486329</v>
      </c>
      <c r="BL192" s="0" t="n">
        <v>0.419555425031007</v>
      </c>
      <c r="BM192" s="20" t="n">
        <f aca="false">(BL192)^2</f>
        <v>0.176026754672949</v>
      </c>
      <c r="BZ192" s="0" t="n">
        <v>1.96796675188098</v>
      </c>
      <c r="CA192" s="0" t="n">
        <v>1.25527250510331</v>
      </c>
      <c r="CB192" s="0" t="n">
        <v>39.6127862818269</v>
      </c>
      <c r="CC192" s="0" t="n">
        <v>39.8138398098754</v>
      </c>
      <c r="CD192" s="0" t="n">
        <v>0.201053528048448</v>
      </c>
      <c r="CE192" s="20" t="n">
        <f aca="false">(CD192)^2</f>
        <v>0.0404225211407279</v>
      </c>
      <c r="CG192" s="0" t="n">
        <v>1.96796675188098</v>
      </c>
      <c r="CH192" s="0" t="n">
        <v>1.25527250510331</v>
      </c>
      <c r="CI192" s="0" t="n">
        <v>40.1202825208618</v>
      </c>
      <c r="CJ192" s="0" t="n">
        <v>40.2861528339909</v>
      </c>
      <c r="CK192" s="0" t="n">
        <v>0.165870313129133</v>
      </c>
      <c r="CL192" s="20" t="n">
        <f aca="false">(CK192)^2</f>
        <v>0.0275129607775567</v>
      </c>
      <c r="CN192" s="0" t="n">
        <v>1.96796675188098</v>
      </c>
      <c r="CO192" s="0" t="n">
        <v>1.25527250510331</v>
      </c>
      <c r="CP192" s="0" t="n">
        <v>39.897244304065</v>
      </c>
      <c r="CQ192" s="0" t="n">
        <v>39.8999512285901</v>
      </c>
      <c r="CR192" s="0" t="n">
        <v>0.00270692452513543</v>
      </c>
      <c r="CS192" s="20" t="n">
        <f aca="false">(CR192)^2</f>
        <v>7.3274403847797E-006</v>
      </c>
      <c r="CU192" s="0" t="n">
        <v>8.14</v>
      </c>
      <c r="CV192" s="0" t="n">
        <v>2.68517729217709</v>
      </c>
      <c r="CW192" s="0" t="n">
        <v>2.80181789701222</v>
      </c>
      <c r="CX192" s="0" t="n">
        <v>0.116640604835127</v>
      </c>
      <c r="CY192" s="20" t="n">
        <f aca="false">(CX192)^2</f>
        <v>0.0136050306963043</v>
      </c>
    </row>
    <row r="193" customFormat="false" ht="12.8" hidden="false" customHeight="false" outlineLevel="0" collapsed="false">
      <c r="BI193" s="0" t="n">
        <v>1.53781909507327</v>
      </c>
      <c r="BJ193" s="0" t="n">
        <v>40.3328299682334</v>
      </c>
      <c r="BK193" s="0" t="n">
        <v>40.5363222856562</v>
      </c>
      <c r="BL193" s="0" t="n">
        <v>0.203492317422786</v>
      </c>
      <c r="BM193" s="20" t="n">
        <f aca="false">(BL193)^2</f>
        <v>0.0414091232500957</v>
      </c>
      <c r="BZ193" s="0" t="n">
        <v>1.83307698166838</v>
      </c>
      <c r="CA193" s="0" t="n">
        <v>1.22010808804006</v>
      </c>
      <c r="CB193" s="0" t="n">
        <v>39.4581198250354</v>
      </c>
      <c r="CC193" s="0" t="n">
        <v>39.0981383321098</v>
      </c>
      <c r="CD193" s="0" t="n">
        <v>-0.359981492925634</v>
      </c>
      <c r="CE193" s="20" t="n">
        <f aca="false">(CD193)^2</f>
        <v>0.129586675248968</v>
      </c>
      <c r="CG193" s="0" t="n">
        <v>1.83307698166838</v>
      </c>
      <c r="CH193" s="0" t="n">
        <v>1.22010808804006</v>
      </c>
      <c r="CI193" s="0" t="n">
        <v>40.0143070993239</v>
      </c>
      <c r="CJ193" s="0" t="n">
        <v>39.9333875133335</v>
      </c>
      <c r="CK193" s="0" t="n">
        <v>-0.0809195859903653</v>
      </c>
      <c r="CL193" s="20" t="n">
        <f aca="false">(CK193)^2</f>
        <v>0.00654797939685212</v>
      </c>
      <c r="CN193" s="0" t="n">
        <v>1.83307698166838</v>
      </c>
      <c r="CO193" s="0" t="n">
        <v>1.22010808804006</v>
      </c>
      <c r="CP193" s="0" t="n">
        <v>39.7547698405663</v>
      </c>
      <c r="CQ193" s="0" t="n">
        <v>39.7399913960693</v>
      </c>
      <c r="CR193" s="0" t="n">
        <v>-0.0147784444970327</v>
      </c>
      <c r="CS193" s="20" t="n">
        <f aca="false">(CR193)^2</f>
        <v>0.000218402421751876</v>
      </c>
      <c r="CU193" s="0" t="n">
        <v>7.77</v>
      </c>
      <c r="CV193" s="0" t="n">
        <v>2.68657215780819</v>
      </c>
      <c r="CW193" s="0" t="n">
        <v>3.10471867515012</v>
      </c>
      <c r="CX193" s="0" t="n">
        <v>0.418146517341925</v>
      </c>
      <c r="CY193" s="20" t="n">
        <f aca="false">(CX193)^2</f>
        <v>0.174846509965181</v>
      </c>
      <c r="DC193" s="14" t="s">
        <v>343</v>
      </c>
      <c r="DJ193" s="14" t="s">
        <v>344</v>
      </c>
      <c r="DQ193" s="14" t="s">
        <v>345</v>
      </c>
      <c r="DX193" s="14" t="s">
        <v>346</v>
      </c>
    </row>
    <row r="194" customFormat="false" ht="12.8" hidden="false" customHeight="false" outlineLevel="0" collapsed="false">
      <c r="BI194" s="0" t="n">
        <v>1.3541084391474</v>
      </c>
      <c r="BJ194" s="0" t="n">
        <v>39.8176188197219</v>
      </c>
      <c r="BK194" s="0" t="n">
        <v>39.9166540391504</v>
      </c>
      <c r="BL194" s="0" t="n">
        <v>0.099035219428508</v>
      </c>
      <c r="BM194" s="20" t="n">
        <f aca="false">(BL194)^2</f>
        <v>0.00980797468725273</v>
      </c>
      <c r="BZ194" s="0" t="n">
        <v>2.24498078176473</v>
      </c>
      <c r="CA194" s="0" t="n">
        <v>1.50514997831991</v>
      </c>
      <c r="CB194" s="0" t="n">
        <v>40.2929451076676</v>
      </c>
      <c r="CC194" s="0" t="n">
        <v>40.6295612869068</v>
      </c>
      <c r="CD194" s="0" t="n">
        <v>0.336616179239186</v>
      </c>
      <c r="CE194" s="20" t="n">
        <f aca="false">(CD194)^2</f>
        <v>0.113310452125588</v>
      </c>
      <c r="CG194" s="0" t="n">
        <v>2.24498078176473</v>
      </c>
      <c r="CH194" s="0" t="n">
        <v>1.50514997831991</v>
      </c>
      <c r="CI194" s="0" t="n">
        <v>40.6512648082948</v>
      </c>
      <c r="CJ194" s="0" t="n">
        <v>40.9807675767649</v>
      </c>
      <c r="CK194" s="0" t="n">
        <v>0.3295027684701</v>
      </c>
      <c r="CL194" s="20" t="n">
        <f aca="false">(CK194)^2</f>
        <v>0.10857207442946</v>
      </c>
      <c r="CN194" s="0" t="n">
        <v>2.24498078176473</v>
      </c>
      <c r="CO194" s="0" t="n">
        <v>1.50514997831991</v>
      </c>
      <c r="CP194" s="0" t="n">
        <v>40.5450050557767</v>
      </c>
      <c r="CQ194" s="0" t="n">
        <v>40.9807675767649</v>
      </c>
      <c r="CR194" s="0" t="n">
        <v>0.435762520988192</v>
      </c>
      <c r="CS194" s="20" t="n">
        <f aca="false">(CR194)^2</f>
        <v>0.189888974697984</v>
      </c>
      <c r="CU194" s="0" t="n">
        <v>8.02</v>
      </c>
      <c r="CV194" s="0" t="n">
        <v>2.68562968103042</v>
      </c>
      <c r="CW194" s="0" t="n">
        <v>2.70767614445813</v>
      </c>
      <c r="CX194" s="0" t="n">
        <v>0.0220464634277069</v>
      </c>
      <c r="CY194" s="20" t="n">
        <f aca="false">(CX194)^2</f>
        <v>0.000486046549669217</v>
      </c>
      <c r="DC194" s="0" t="s">
        <v>78</v>
      </c>
      <c r="DD194" s="0" t="s">
        <v>79</v>
      </c>
      <c r="DJ194" s="0" t="s">
        <v>78</v>
      </c>
      <c r="DK194" s="0" t="s">
        <v>79</v>
      </c>
      <c r="DQ194" s="0" t="s">
        <v>78</v>
      </c>
      <c r="DR194" s="0" t="s">
        <v>79</v>
      </c>
      <c r="DX194" s="0" t="s">
        <v>78</v>
      </c>
      <c r="DY194" s="0" t="s">
        <v>79</v>
      </c>
    </row>
    <row r="195" customFormat="false" ht="12.8" hidden="false" customHeight="false" outlineLevel="0" collapsed="false">
      <c r="BI195" s="0" t="n">
        <v>1.42488163663107</v>
      </c>
      <c r="BJ195" s="0" t="n">
        <v>40.0161001771349</v>
      </c>
      <c r="BK195" s="0" t="n">
        <v>39.9203081956583</v>
      </c>
      <c r="BL195" s="0" t="n">
        <v>-0.095791981476566</v>
      </c>
      <c r="BM195" s="20" t="n">
        <f aca="false">(BL195)^2</f>
        <v>0.00917610371520676</v>
      </c>
      <c r="BZ195" s="0" t="n">
        <v>2.15959850059392</v>
      </c>
      <c r="CA195" s="0" t="n">
        <v>1.45788189673399</v>
      </c>
      <c r="CB195" s="0" t="n">
        <v>40.1440107591875</v>
      </c>
      <c r="CC195" s="0" t="n">
        <v>40.2970404904863</v>
      </c>
      <c r="CD195" s="0" t="n">
        <v>0.153029731298766</v>
      </c>
      <c r="CE195" s="20" t="n">
        <f aca="false">(CD195)^2</f>
        <v>0.0234180986613724</v>
      </c>
      <c r="CG195" s="0" t="n">
        <v>2.15959850059392</v>
      </c>
      <c r="CH195" s="0" t="n">
        <v>1.45788189673399</v>
      </c>
      <c r="CI195" s="0" t="n">
        <v>40.5400743739977</v>
      </c>
      <c r="CJ195" s="0" t="n">
        <v>40.7309227353314</v>
      </c>
      <c r="CK195" s="0" t="n">
        <v>0.190848361333657</v>
      </c>
      <c r="CL195" s="20" t="n">
        <f aca="false">(CK195)^2</f>
        <v>0.0364230970237421</v>
      </c>
      <c r="CN195" s="0" t="n">
        <v>2.15959850059392</v>
      </c>
      <c r="CO195" s="0" t="n">
        <v>1.45788189673399</v>
      </c>
      <c r="CP195" s="0" t="n">
        <v>40.4048240764372</v>
      </c>
      <c r="CQ195" s="0" t="n">
        <v>40.7309227353314</v>
      </c>
      <c r="CR195" s="0" t="n">
        <v>0.326098658894161</v>
      </c>
      <c r="CS195" s="20" t="n">
        <f aca="false">(CR195)^2</f>
        <v>0.10634033533257</v>
      </c>
      <c r="CU195" s="0" t="n">
        <v>8.28</v>
      </c>
      <c r="CV195" s="0" t="n">
        <v>2.68464950518154</v>
      </c>
      <c r="CW195" s="0" t="n">
        <v>2.82411303198074</v>
      </c>
      <c r="CX195" s="0" t="n">
        <v>0.1394635267992</v>
      </c>
      <c r="CY195" s="20" t="n">
        <f aca="false">(CX195)^2</f>
        <v>0.019450075307271</v>
      </c>
    </row>
    <row r="196" customFormat="false" ht="12.8" hidden="false" customHeight="false" outlineLevel="0" collapsed="false">
      <c r="B196" s="0" t="s">
        <v>347</v>
      </c>
      <c r="D196" s="0" t="s">
        <v>279</v>
      </c>
      <c r="F196" s="0" t="s">
        <v>348</v>
      </c>
      <c r="I196" s="0" t="s">
        <v>277</v>
      </c>
      <c r="K196" s="0" t="s">
        <v>278</v>
      </c>
      <c r="M196" s="0" t="s">
        <v>349</v>
      </c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BI196" s="0" t="n">
        <v>1.43775056282039</v>
      </c>
      <c r="BJ196" s="0" t="n">
        <v>40.0521907033414</v>
      </c>
      <c r="BK196" s="0" t="n">
        <v>40.0555420750015</v>
      </c>
      <c r="BL196" s="0" t="n">
        <v>0.00335137166010924</v>
      </c>
      <c r="BM196" s="20" t="n">
        <f aca="false">(BL196)^2</f>
        <v>1.12316920041833E-005</v>
      </c>
      <c r="BZ196" s="0" t="n">
        <v>1.62445521813276</v>
      </c>
      <c r="CA196" s="0" t="n">
        <v>1.39269695325967</v>
      </c>
      <c r="CB196" s="0" t="n">
        <v>39.6820655148264</v>
      </c>
      <c r="CC196" s="0" t="n">
        <v>39.5808250944804</v>
      </c>
      <c r="CD196" s="0" t="n">
        <v>-0.101240420345981</v>
      </c>
      <c r="CE196" s="20" t="n">
        <f aca="false">(CD196)^2</f>
        <v>0.0102496227118309</v>
      </c>
      <c r="CG196" s="0" t="n">
        <v>1.62445521813276</v>
      </c>
      <c r="CH196" s="0" t="n">
        <v>1.39269695325967</v>
      </c>
      <c r="CI196" s="0" t="n">
        <v>40.2507245787234</v>
      </c>
      <c r="CJ196" s="0" t="n">
        <v>40.2880850465456</v>
      </c>
      <c r="CK196" s="0" t="n">
        <v>0.037360467822225</v>
      </c>
      <c r="CL196" s="20" t="n">
        <f aca="false">(CK196)^2</f>
        <v>0.00139580455589551</v>
      </c>
      <c r="CN196" s="0" t="n">
        <v>1.62445521813276</v>
      </c>
      <c r="CO196" s="0" t="n">
        <v>1.39269695325967</v>
      </c>
      <c r="CP196" s="0" t="n">
        <v>39.9881686942137</v>
      </c>
      <c r="CQ196" s="0" t="n">
        <v>39.4996349548837</v>
      </c>
      <c r="CR196" s="0" t="n">
        <v>-0.488533739329966</v>
      </c>
      <c r="CS196" s="20" t="n">
        <f aca="false">(CR196)^2</f>
        <v>0.23866521446372</v>
      </c>
      <c r="CU196" s="0" t="n">
        <v>8.71</v>
      </c>
      <c r="CV196" s="0" t="n">
        <v>2.68302844512377</v>
      </c>
      <c r="CW196" s="0" t="n">
        <v>3.10408301855785</v>
      </c>
      <c r="CX196" s="0" t="n">
        <v>0.421054573434077</v>
      </c>
      <c r="CY196" s="20" t="n">
        <f aca="false">(CX196)^2</f>
        <v>0.177286953809753</v>
      </c>
      <c r="DC196" s="0" t="s">
        <v>84</v>
      </c>
      <c r="DJ196" s="0" t="s">
        <v>84</v>
      </c>
      <c r="DQ196" s="0" t="s">
        <v>84</v>
      </c>
      <c r="DX196" s="0" t="s">
        <v>84</v>
      </c>
    </row>
    <row r="197" customFormat="false" ht="12.8" hidden="false" customHeight="false" outlineLevel="0" collapsed="false">
      <c r="A197" s="0" t="str">
        <f aca="false">A3</f>
        <v>C0840+1044</v>
      </c>
      <c r="B197" s="42" t="n">
        <f aca="false">BP3</f>
        <v>1.63346845557959</v>
      </c>
      <c r="C197" s="42" t="s">
        <v>241</v>
      </c>
      <c r="D197" s="42" t="n">
        <f aca="false">BN3</f>
        <v>7.73</v>
      </c>
      <c r="E197" s="42" t="s">
        <v>241</v>
      </c>
      <c r="F197" s="42" t="n">
        <f aca="false">BM3</f>
        <v>1.18752072083646</v>
      </c>
      <c r="G197" s="42" t="s">
        <v>241</v>
      </c>
      <c r="H197" s="42"/>
      <c r="I197" s="42" t="n">
        <f aca="false">BJ3</f>
        <v>2.62956092768934</v>
      </c>
      <c r="J197" s="42" t="s">
        <v>241</v>
      </c>
      <c r="K197" s="42" t="n">
        <f aca="false">BL3</f>
        <v>2.05463340928398</v>
      </c>
      <c r="L197" s="42" t="s">
        <v>241</v>
      </c>
      <c r="M197" s="42" t="n">
        <f aca="false">BC3</f>
        <v>1.0299492</v>
      </c>
      <c r="N197" s="42" t="s">
        <v>350</v>
      </c>
      <c r="P197" s="41" t="s">
        <v>351</v>
      </c>
      <c r="Q197" s="41"/>
      <c r="R197" s="41" t="n">
        <f aca="false">C102</f>
        <v>36.0424923949622</v>
      </c>
      <c r="S197" s="41" t="s">
        <v>352</v>
      </c>
      <c r="T197" s="41" t="n">
        <f aca="false">D102</f>
        <v>0.521855169017054</v>
      </c>
      <c r="U197" s="41" t="s">
        <v>353</v>
      </c>
      <c r="V197" s="41" t="n">
        <f aca="false">E102</f>
        <v>2.78520569316395</v>
      </c>
      <c r="W197" s="41" t="s">
        <v>352</v>
      </c>
      <c r="X197" s="41" t="n">
        <f aca="false">F102</f>
        <v>0.379921730218534</v>
      </c>
      <c r="Y197" s="41" t="s">
        <v>354</v>
      </c>
      <c r="Z197" s="43" t="n">
        <f aca="false">B102</f>
        <v>0.308251562848756</v>
      </c>
      <c r="AA197" s="41" t="s">
        <v>350</v>
      </c>
      <c r="AB197" s="41"/>
      <c r="AC197" s="41"/>
      <c r="AD197" s="41"/>
      <c r="AE197" s="41"/>
      <c r="AF197" s="41"/>
      <c r="AG197" s="41"/>
      <c r="AH197" s="41"/>
      <c r="AI197" s="41"/>
      <c r="BI197" s="0" t="n">
        <v>1.31386722036915</v>
      </c>
      <c r="BJ197" s="0" t="n">
        <v>39.7047635014511</v>
      </c>
      <c r="BK197" s="0" t="n">
        <v>39.6009701741581</v>
      </c>
      <c r="BL197" s="0" t="n">
        <v>-0.103793327293026</v>
      </c>
      <c r="BM197" s="20" t="n">
        <f aca="false">(BL197)^2</f>
        <v>0.0107730547905572</v>
      </c>
      <c r="BZ197" s="0" t="n">
        <v>1.8596134656703</v>
      </c>
      <c r="CA197" s="0" t="n">
        <v>1.50379068305718</v>
      </c>
      <c r="CB197" s="0" t="n">
        <v>40.05330114697</v>
      </c>
      <c r="CC197" s="0" t="n">
        <v>40.3643638589132</v>
      </c>
      <c r="CD197" s="0" t="n">
        <v>0.311062711943151</v>
      </c>
      <c r="CE197" s="20" t="n">
        <f aca="false">(CD197)^2</f>
        <v>0.0967600107614279</v>
      </c>
      <c r="CG197" s="0" t="n">
        <v>1.8596134656703</v>
      </c>
      <c r="CH197" s="0" t="n">
        <v>1.50379068305718</v>
      </c>
      <c r="CI197" s="0" t="n">
        <v>40.5232917107835</v>
      </c>
      <c r="CJ197" s="0" t="n">
        <v>41.0286745143046</v>
      </c>
      <c r="CK197" s="0" t="n">
        <v>0.50538280352108</v>
      </c>
      <c r="CL197" s="20" t="n">
        <f aca="false">(CK197)^2</f>
        <v>0.255411778094826</v>
      </c>
      <c r="CN197" s="0" t="n">
        <v>1.8596134656703</v>
      </c>
      <c r="CO197" s="0" t="n">
        <v>1.50379068305718</v>
      </c>
      <c r="CP197" s="0" t="n">
        <v>40.336086870014</v>
      </c>
      <c r="CQ197" s="0" t="n">
        <v>40.3849932800756</v>
      </c>
      <c r="CR197" s="0" t="n">
        <v>0.0489064100616474</v>
      </c>
      <c r="CS197" s="20" t="n">
        <f aca="false">(CR197)^2</f>
        <v>0.00239183694511801</v>
      </c>
      <c r="CU197" s="0" t="n">
        <v>7.88</v>
      </c>
      <c r="CV197" s="0" t="n">
        <v>2.68615746802598</v>
      </c>
      <c r="CW197" s="0" t="n">
        <v>2.56730132345877</v>
      </c>
      <c r="CX197" s="0" t="n">
        <v>-0.118856144567205</v>
      </c>
      <c r="CY197" s="20" t="n">
        <f aca="false">(CX197)^2</f>
        <v>0.0141267831013804</v>
      </c>
      <c r="DC197" s="0" t="e">
        <f aca="false" t="array" ref="DC197:DE201">LINEST($BE$138:$BE$153 , $BM$138:$BN$153 , 1 , 1)</f>
        <v>#VALUE!</v>
      </c>
      <c r="DD197" s="0" t="e">
        <v>#VALUE!</v>
      </c>
      <c r="DE197" s="0" t="e">
        <v>#VALUE!</v>
      </c>
      <c r="DJ197" s="0" t="n">
        <f aca="false" t="array" ref="DJ197:DL201">LINEST($BF$138:$BF$153 , $BM$138:$BN$153 , 1 , 1)</f>
        <v>0.176908663178951</v>
      </c>
      <c r="DK197" s="0" t="n">
        <v>2.11383618499862</v>
      </c>
      <c r="DL197" s="0" t="n">
        <v>36.7322951643822</v>
      </c>
      <c r="DQ197" s="0" t="n">
        <f aca="false" t="array" ref="DQ197:DS201">LINEST($BG$138:$BG$153 , $BM$138:$BN$153 , 1 , 1)</f>
        <v>0.203854027100692</v>
      </c>
      <c r="DR197" s="0" t="n">
        <v>1.74251260875876</v>
      </c>
      <c r="DS197" s="0" t="n">
        <v>37.6976092758441</v>
      </c>
      <c r="DX197" s="0" t="n">
        <f aca="false" t="array" ref="DX197:DZ201">LINEST($BH$138:$BH$153 , $BM$138:$BN$153 , 1 , 1)</f>
        <v>0.264787355196959</v>
      </c>
      <c r="DY197" s="0" t="n">
        <v>2.15449450872661</v>
      </c>
      <c r="DZ197" s="0" t="n">
        <v>36.7619861016769</v>
      </c>
    </row>
    <row r="198" customFormat="false" ht="12.8" hidden="false" customHeight="false" outlineLevel="0" collapsed="false">
      <c r="A198" s="0" t="str">
        <f aca="false">A4</f>
        <v>N-CTS1011</v>
      </c>
      <c r="B198" s="42" t="n">
        <f aca="false">BP4</f>
        <v>1.92427928606188</v>
      </c>
      <c r="C198" s="42" t="s">
        <v>241</v>
      </c>
      <c r="D198" s="42" t="n">
        <f aca="false">BN4</f>
        <v>8.18</v>
      </c>
      <c r="E198" s="42" t="s">
        <v>241</v>
      </c>
      <c r="F198" s="42" t="n">
        <f aca="false">BM4</f>
        <v>1.32633586092875</v>
      </c>
      <c r="G198" s="42" t="s">
        <v>241</v>
      </c>
      <c r="H198" s="42"/>
      <c r="I198" s="42" t="n">
        <f aca="false">BJ4</f>
        <v>2.78221676211721</v>
      </c>
      <c r="J198" s="42" t="s">
        <v>241</v>
      </c>
      <c r="K198" s="42" t="n">
        <f aca="false">BL4</f>
        <v>2.08700408042741</v>
      </c>
      <c r="L198" s="42" t="s">
        <v>241</v>
      </c>
      <c r="M198" s="42" t="n">
        <f aca="false">BC4</f>
        <v>0.990472</v>
      </c>
      <c r="N198" s="42" t="s">
        <v>350</v>
      </c>
      <c r="P198" s="41" t="s">
        <v>351</v>
      </c>
      <c r="Q198" s="41"/>
      <c r="R198" s="41" t="n">
        <f aca="false">C103</f>
        <v>37.3714983021947</v>
      </c>
      <c r="S198" s="41" t="s">
        <v>352</v>
      </c>
      <c r="T198" s="41" t="n">
        <f aca="false">D103</f>
        <v>0.603044443437184</v>
      </c>
      <c r="U198" s="41" t="s">
        <v>353</v>
      </c>
      <c r="V198" s="41" t="n">
        <f aca="false">E103</f>
        <v>2.15849506640567</v>
      </c>
      <c r="W198" s="41" t="s">
        <v>352</v>
      </c>
      <c r="X198" s="41" t="n">
        <f aca="false">F103</f>
        <v>0.439029259364949</v>
      </c>
      <c r="Y198" s="41" t="s">
        <v>354</v>
      </c>
      <c r="Z198" s="43" t="n">
        <f aca="false">B103</f>
        <v>0.35620877820738</v>
      </c>
      <c r="AA198" s="41" t="s">
        <v>350</v>
      </c>
      <c r="AB198" s="41"/>
      <c r="AC198" s="41"/>
      <c r="AD198" s="41"/>
      <c r="AE198" s="41"/>
      <c r="AF198" s="41"/>
      <c r="AG198" s="41"/>
      <c r="AH198" s="41"/>
      <c r="AI198" s="41"/>
      <c r="BI198" s="0" t="n">
        <v>1.51719589794997</v>
      </c>
      <c r="BJ198" s="0" t="n">
        <v>40.2749928165324</v>
      </c>
      <c r="BK198" s="0" t="n">
        <v>39.7119114592515</v>
      </c>
      <c r="BL198" s="0" t="n">
        <v>-0.563081357280915</v>
      </c>
      <c r="BM198" s="20" t="n">
        <f aca="false">(BL198)^2</f>
        <v>0.317060614917317</v>
      </c>
      <c r="BZ198" s="0" t="n">
        <v>2.46994216668405</v>
      </c>
      <c r="CA198" s="0" t="n">
        <v>1.76937732607614</v>
      </c>
      <c r="CB198" s="0" t="n">
        <v>40.970390935826</v>
      </c>
      <c r="CC198" s="0" t="n">
        <v>41.0032839602938</v>
      </c>
      <c r="CD198" s="0" t="n">
        <v>0.032893024467846</v>
      </c>
      <c r="CE198" s="20" t="n">
        <f aca="false">(CD198)^2</f>
        <v>0.00108195105864232</v>
      </c>
      <c r="CG198" s="0" t="n">
        <v>2.46994216668405</v>
      </c>
      <c r="CH198" s="0" t="n">
        <v>1.76937732607614</v>
      </c>
      <c r="CI198" s="0" t="n">
        <v>41.1905944364066</v>
      </c>
      <c r="CJ198" s="0" t="n">
        <v>41.1844537060535</v>
      </c>
      <c r="CK198" s="0" t="n">
        <v>-0.00614073035304585</v>
      </c>
      <c r="CL198" s="20" t="n">
        <f aca="false">(CK198)^2</f>
        <v>3.77085692688187E-005</v>
      </c>
      <c r="CN198" s="0" t="n">
        <v>2.46994216668405</v>
      </c>
      <c r="CO198" s="0" t="n">
        <v>1.76937732607614</v>
      </c>
      <c r="CP198" s="0" t="n">
        <v>41.1936009343623</v>
      </c>
      <c r="CQ198" s="0" t="n">
        <v>41.1844537060535</v>
      </c>
      <c r="CR198" s="0" t="n">
        <v>-0.00914722830880521</v>
      </c>
      <c r="CS198" s="20" t="n">
        <f aca="false">(CR198)^2</f>
        <v>8.36717857334074E-005</v>
      </c>
      <c r="CU198" s="0" t="n">
        <v>7.54</v>
      </c>
      <c r="CV198" s="0" t="n">
        <v>2.68743923644374</v>
      </c>
      <c r="CW198" s="0" t="n">
        <v>2.59311533827612</v>
      </c>
      <c r="CX198" s="0" t="n">
        <v>-0.0943238981676249</v>
      </c>
      <c r="CY198" s="20" t="n">
        <f aca="false">(CX198)^2</f>
        <v>0.00889699776553647</v>
      </c>
      <c r="DC198" s="0" t="e">
        <v>#VALUE!</v>
      </c>
      <c r="DD198" s="0" t="e">
        <v>#VALUE!</v>
      </c>
      <c r="DE198" s="0" t="e">
        <v>#VALUE!</v>
      </c>
      <c r="DJ198" s="0" t="n">
        <v>0.231573802264355</v>
      </c>
      <c r="DK198" s="0" t="n">
        <v>0.692018090427204</v>
      </c>
      <c r="DL198" s="0" t="n">
        <v>0.983876902664754</v>
      </c>
      <c r="DQ198" s="0" t="n">
        <v>0.185374841380985</v>
      </c>
      <c r="DR198" s="0" t="n">
        <v>0.553960519244196</v>
      </c>
      <c r="DS198" s="0" t="n">
        <v>0.787593514406646</v>
      </c>
      <c r="DX198" s="0" t="n">
        <v>0.216552223554758</v>
      </c>
      <c r="DY198" s="0" t="n">
        <v>0.647128711265261</v>
      </c>
      <c r="DZ198" s="0" t="n">
        <v>0.920055415996491</v>
      </c>
    </row>
    <row r="199" customFormat="false" ht="12.8" hidden="false" customHeight="false" outlineLevel="0" collapsed="false">
      <c r="A199" s="0" t="str">
        <f aca="false">A5</f>
        <v>N-CTS1013</v>
      </c>
      <c r="B199" s="42" t="n">
        <f aca="false">BP5</f>
        <v>2.10037054511756</v>
      </c>
      <c r="C199" s="42" t="s">
        <v>241</v>
      </c>
      <c r="D199" s="42" t="n">
        <f aca="false">BN5</f>
        <v>8.08</v>
      </c>
      <c r="E199" s="42" t="s">
        <v>241</v>
      </c>
      <c r="F199" s="42" t="n">
        <f aca="false">BM5</f>
        <v>1.52762990087134</v>
      </c>
      <c r="G199" s="42" t="s">
        <v>241</v>
      </c>
      <c r="H199" s="42"/>
      <c r="I199" s="42" t="n">
        <f aca="false">BJ5</f>
        <v>2.87283479667699</v>
      </c>
      <c r="J199" s="42" t="s">
        <v>241</v>
      </c>
      <c r="K199" s="42" t="n">
        <f aca="false">BL5</f>
        <v>2.3176102420111</v>
      </c>
      <c r="L199" s="42" t="s">
        <v>241</v>
      </c>
      <c r="M199" s="42" t="n">
        <f aca="false">BC5</f>
        <v>0.494109341825902</v>
      </c>
      <c r="N199" s="42" t="s">
        <v>350</v>
      </c>
      <c r="P199" s="41" t="s">
        <v>351</v>
      </c>
      <c r="Q199" s="41"/>
      <c r="R199" s="41" t="n">
        <f aca="false">C104</f>
        <v>36.5095761753446</v>
      </c>
      <c r="S199" s="41" t="s">
        <v>352</v>
      </c>
      <c r="T199" s="41" t="n">
        <f aca="false">D104</f>
        <v>0.572493179851514</v>
      </c>
      <c r="U199" s="41" t="s">
        <v>353</v>
      </c>
      <c r="V199" s="41" t="n">
        <f aca="false">E104</f>
        <v>2.64736214359656</v>
      </c>
      <c r="W199" s="41" t="s">
        <v>352</v>
      </c>
      <c r="X199" s="41" t="n">
        <f aca="false">F104</f>
        <v>0.416787285708364</v>
      </c>
      <c r="Y199" s="41" t="s">
        <v>354</v>
      </c>
      <c r="Z199" s="43" t="n">
        <f aca="false">B104</f>
        <v>0.33816263186945</v>
      </c>
      <c r="AA199" s="41" t="s">
        <v>350</v>
      </c>
      <c r="AB199" s="41"/>
      <c r="AC199" s="41"/>
      <c r="AD199" s="41"/>
      <c r="AE199" s="41"/>
      <c r="AF199" s="41"/>
      <c r="AG199" s="41"/>
      <c r="AH199" s="41"/>
      <c r="AI199" s="41"/>
      <c r="BI199" s="0" t="n">
        <v>1.32221929473392</v>
      </c>
      <c r="BJ199" s="0" t="n">
        <v>39.7281866491408</v>
      </c>
      <c r="BK199" s="0" t="n">
        <v>39.8158956218551</v>
      </c>
      <c r="BL199" s="0" t="n">
        <v>0.0877089727142533</v>
      </c>
      <c r="BM199" s="20" t="n">
        <f aca="false">(BL199)^2</f>
        <v>0.00769286389458962</v>
      </c>
      <c r="BZ199" s="0" t="n">
        <v>1.82381405372363</v>
      </c>
      <c r="CA199" s="0" t="n">
        <v>1.23044892137827</v>
      </c>
      <c r="CB199" s="0" t="n">
        <v>39.4735273202625</v>
      </c>
      <c r="CC199" s="0" t="n">
        <v>39.4879266153321</v>
      </c>
      <c r="CD199" s="0" t="n">
        <v>0.014399295069623</v>
      </c>
      <c r="CE199" s="20" t="n">
        <f aca="false">(CD199)^2</f>
        <v>0.000207339698502069</v>
      </c>
      <c r="CG199" s="0" t="n">
        <v>1.82381405372363</v>
      </c>
      <c r="CH199" s="0" t="n">
        <v>1.23044892137827</v>
      </c>
      <c r="CI199" s="0" t="n">
        <v>40.0295270472134</v>
      </c>
      <c r="CJ199" s="0" t="n">
        <v>39.8774043417796</v>
      </c>
      <c r="CK199" s="0" t="n">
        <v>-0.152122705433762</v>
      </c>
      <c r="CL199" s="20" t="n">
        <f aca="false">(CK199)^2</f>
        <v>0.023141317508487</v>
      </c>
      <c r="CN199" s="0" t="n">
        <v>1.82381405372363</v>
      </c>
      <c r="CO199" s="0" t="n">
        <v>1.23044892137827</v>
      </c>
      <c r="CP199" s="0" t="n">
        <v>39.7704861265722</v>
      </c>
      <c r="CQ199" s="0" t="n">
        <v>39.4378067534722</v>
      </c>
      <c r="CR199" s="0" t="n">
        <v>-0.332679373099978</v>
      </c>
      <c r="CS199" s="20" t="n">
        <f aca="false">(CR199)^2</f>
        <v>0.110675565286194</v>
      </c>
      <c r="CU199" s="0" t="n">
        <v>8.26</v>
      </c>
      <c r="CV199" s="0" t="n">
        <v>2.68472490332376</v>
      </c>
      <c r="CW199" s="0" t="n">
        <v>2.59318251388042</v>
      </c>
      <c r="CX199" s="0" t="n">
        <v>-0.091542389443342</v>
      </c>
      <c r="CY199" s="20" t="n">
        <f aca="false">(CX199)^2</f>
        <v>0.0083800090649965</v>
      </c>
      <c r="DC199" s="0" t="e">
        <v>#VALUE!</v>
      </c>
      <c r="DD199" s="0" t="e">
        <v>#VALUE!</v>
      </c>
      <c r="DE199" s="0" t="e">
        <v>#VALUE!</v>
      </c>
      <c r="DJ199" s="0" t="n">
        <v>0.455864654607452</v>
      </c>
      <c r="DK199" s="0" t="n">
        <v>0.343581711763138</v>
      </c>
      <c r="DL199" s="0" t="e">
        <v>#N/A</v>
      </c>
      <c r="DQ199" s="0" t="n">
        <v>0.489490208944662</v>
      </c>
      <c r="DR199" s="0" t="n">
        <v>0.275037179062213</v>
      </c>
      <c r="DS199" s="0" t="e">
        <v>#N/A</v>
      </c>
      <c r="DX199" s="0" t="n">
        <v>0.521516711314552</v>
      </c>
      <c r="DY199" s="0" t="n">
        <v>0.321294476868854</v>
      </c>
      <c r="DZ199" s="0" t="e">
        <v>#N/A</v>
      </c>
    </row>
    <row r="200" customFormat="false" ht="12.8" hidden="false" customHeight="false" outlineLevel="0" collapsed="false">
      <c r="A200" s="0" t="str">
        <f aca="false">A6</f>
        <v>N-CTS1016</v>
      </c>
      <c r="B200" s="42" t="n">
        <f aca="false">BP6</f>
        <v>1.43136376415899</v>
      </c>
      <c r="C200" s="42" t="s">
        <v>241</v>
      </c>
      <c r="D200" s="42" t="n">
        <f aca="false">BN6</f>
        <v>8.36</v>
      </c>
      <c r="E200" s="42" t="s">
        <v>241</v>
      </c>
      <c r="F200" s="42" t="n">
        <f aca="false">BM6</f>
        <v>1.54530711646582</v>
      </c>
      <c r="G200" s="42" t="s">
        <v>241</v>
      </c>
      <c r="H200" s="42"/>
      <c r="I200" s="42" t="n">
        <f aca="false">BJ6</f>
        <v>2.8057379010057</v>
      </c>
      <c r="J200" s="42" t="s">
        <v>241</v>
      </c>
      <c r="K200" s="42" t="n">
        <f aca="false">BL6</f>
        <v>2.39479758741265</v>
      </c>
      <c r="L200" s="42" t="s">
        <v>241</v>
      </c>
      <c r="M200" s="42" t="n">
        <f aca="false">BC6</f>
        <v>0.277084076433121</v>
      </c>
      <c r="N200" s="42" t="s">
        <v>350</v>
      </c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BI200" s="0" t="n">
        <v>1.23299611039215</v>
      </c>
      <c r="BJ200" s="0" t="n">
        <v>39.4779628445014</v>
      </c>
      <c r="BK200" s="0" t="n">
        <v>39.9770046637507</v>
      </c>
      <c r="BL200" s="0" t="n">
        <v>0.499041819249293</v>
      </c>
      <c r="BM200" s="20" t="n">
        <f aca="false">(BL200)^2</f>
        <v>0.249042737359643</v>
      </c>
      <c r="BZ200" s="0" t="n">
        <v>1.94462288151652</v>
      </c>
      <c r="CA200" s="0" t="n">
        <v>1.24303804868629</v>
      </c>
      <c r="CB200" s="0" t="n">
        <v>39.5734726158683</v>
      </c>
      <c r="CC200" s="0" t="n">
        <v>39.8907352023789</v>
      </c>
      <c r="CD200" s="0" t="n">
        <v>0.31726258651058</v>
      </c>
      <c r="CE200" s="20" t="n">
        <f aca="false">(CD200)^2</f>
        <v>0.100655548799383</v>
      </c>
      <c r="CG200" s="0" t="n">
        <v>1.94462288151652</v>
      </c>
      <c r="CH200" s="0" t="n">
        <v>1.24303804868629</v>
      </c>
      <c r="CI200" s="0" t="n">
        <v>40.0910975054305</v>
      </c>
      <c r="CJ200" s="0" t="n">
        <v>40.3666338830954</v>
      </c>
      <c r="CK200" s="0" t="n">
        <v>0.275536377664956</v>
      </c>
      <c r="CL200" s="20" t="n">
        <f aca="false">(CK200)^2</f>
        <v>0.0759202954167253</v>
      </c>
      <c r="CN200" s="0" t="n">
        <v>1.94462288151652</v>
      </c>
      <c r="CO200" s="0" t="n">
        <v>1.24303804868629</v>
      </c>
      <c r="CP200" s="0" t="n">
        <v>39.8602953086402</v>
      </c>
      <c r="CQ200" s="0" t="n">
        <v>40.0674853105121</v>
      </c>
      <c r="CR200" s="0" t="n">
        <v>0.207190001871936</v>
      </c>
      <c r="CS200" s="20" t="n">
        <f aca="false">(CR200)^2</f>
        <v>0.0429276968756929</v>
      </c>
      <c r="CU200" s="0" t="n">
        <v>8.01</v>
      </c>
      <c r="CV200" s="0" t="n">
        <v>2.68566738010153</v>
      </c>
      <c r="CW200" s="0" t="n">
        <v>2.70206666441626</v>
      </c>
      <c r="CX200" s="0" t="n">
        <v>0.0163992843147263</v>
      </c>
      <c r="CY200" s="20" t="n">
        <f aca="false">(CX200)^2</f>
        <v>0.000268936526035227</v>
      </c>
      <c r="DC200" s="0" t="e">
        <v>#VALUE!</v>
      </c>
      <c r="DD200" s="0" t="e">
        <v>#VALUE!</v>
      </c>
      <c r="DE200" s="0" t="e">
        <v>#VALUE!</v>
      </c>
      <c r="DJ200" s="0" t="n">
        <v>5.44555739677378</v>
      </c>
      <c r="DK200" s="0" t="n">
        <v>13</v>
      </c>
      <c r="DL200" s="0" t="e">
        <v>#N/A</v>
      </c>
      <c r="DQ200" s="0" t="n">
        <v>6.23237088472494</v>
      </c>
      <c r="DR200" s="0" t="n">
        <v>13</v>
      </c>
      <c r="DS200" s="0" t="e">
        <v>#N/A</v>
      </c>
      <c r="DX200" s="0" t="n">
        <v>7.0845914657911</v>
      </c>
      <c r="DY200" s="0" t="n">
        <v>13</v>
      </c>
      <c r="DZ200" s="0" t="e">
        <v>#N/A</v>
      </c>
    </row>
    <row r="201" customFormat="false" ht="12.8" hidden="false" customHeight="false" outlineLevel="0" collapsed="false">
      <c r="A201" s="0" t="str">
        <f aca="false">A7</f>
        <v>N-CTS1017 $   §</v>
      </c>
      <c r="B201" s="42" t="n">
        <f aca="false">BP7</f>
        <v>2.26717172840301</v>
      </c>
      <c r="C201" s="42" t="s">
        <v>241</v>
      </c>
      <c r="D201" s="42" t="n">
        <f aca="false">BN7</f>
        <v>7.98</v>
      </c>
      <c r="E201" s="42" t="s">
        <v>241</v>
      </c>
      <c r="F201" s="42" t="n">
        <f aca="false">BM7</f>
        <v>1.44247976906445</v>
      </c>
      <c r="G201" s="42" t="s">
        <v>241</v>
      </c>
      <c r="H201" s="42"/>
      <c r="I201" s="42" t="n">
        <f aca="false">BJ7</f>
        <v>2.72333943354249</v>
      </c>
      <c r="J201" s="42" t="s">
        <v>241</v>
      </c>
      <c r="K201" s="42" t="n">
        <f aca="false">BL7</f>
        <v>2.41617635379349</v>
      </c>
      <c r="L201" s="42" t="s">
        <v>241</v>
      </c>
      <c r="M201" s="42" t="n">
        <f aca="false">BC7</f>
        <v>0.33174203821656</v>
      </c>
      <c r="N201" s="42" t="s">
        <v>350</v>
      </c>
      <c r="P201" s="41" t="s">
        <v>355</v>
      </c>
      <c r="Q201" s="41"/>
      <c r="R201" s="41" t="n">
        <f aca="false">C107</f>
        <v>35.1485966452735</v>
      </c>
      <c r="S201" s="41" t="s">
        <v>352</v>
      </c>
      <c r="T201" s="41" t="n">
        <f aca="false">D107</f>
        <v>0.560737580969055</v>
      </c>
      <c r="U201" s="41" t="s">
        <v>353</v>
      </c>
      <c r="V201" s="41" t="n">
        <f aca="false">E107</f>
        <v>2.39969109427706</v>
      </c>
      <c r="W201" s="41" t="s">
        <v>352</v>
      </c>
      <c r="X201" s="41" t="n">
        <f aca="false">F107</f>
        <v>0.368391117050374</v>
      </c>
      <c r="Y201" s="41" t="s">
        <v>356</v>
      </c>
      <c r="Z201" s="41" t="n">
        <f aca="false">G107</f>
        <v>0.529380540922198</v>
      </c>
      <c r="AA201" s="41" t="s">
        <v>352</v>
      </c>
      <c r="AB201" s="41" t="n">
        <f aca="false">I107</f>
        <v>0.177600079491109</v>
      </c>
      <c r="AC201" s="44" t="s">
        <v>357</v>
      </c>
      <c r="AD201" s="43" t="n">
        <f aca="false">B107</f>
        <v>0.276062040988976</v>
      </c>
      <c r="AE201" s="41" t="s">
        <v>350</v>
      </c>
      <c r="AF201" s="41"/>
      <c r="AG201" s="41"/>
      <c r="AH201" s="41"/>
      <c r="BI201" s="0" t="n">
        <v>1.23299611039215</v>
      </c>
      <c r="BJ201" s="0" t="n">
        <v>39.4779628445014</v>
      </c>
      <c r="BK201" s="0" t="n">
        <v>39.0888685217564</v>
      </c>
      <c r="BL201" s="0" t="n">
        <v>-0.389094322745002</v>
      </c>
      <c r="BM201" s="20" t="n">
        <f aca="false">(BL201)^2</f>
        <v>0.151394391992392</v>
      </c>
      <c r="BZ201" s="0" t="n">
        <v>1.91210243315721</v>
      </c>
      <c r="CA201" s="0" t="n">
        <v>1.3096301674259</v>
      </c>
      <c r="CB201" s="0" t="n">
        <v>39.6893685510944</v>
      </c>
      <c r="CC201" s="0" t="n">
        <v>39.8855611883631</v>
      </c>
      <c r="CD201" s="0" t="n">
        <v>0.196192637268673</v>
      </c>
      <c r="CE201" s="20" t="n">
        <f aca="false">(CD201)^2</f>
        <v>0.0384915509184372</v>
      </c>
      <c r="CG201" s="0" t="n">
        <v>1.91210243315721</v>
      </c>
      <c r="CH201" s="0" t="n">
        <v>1.3096301674259</v>
      </c>
      <c r="CI201" s="0" t="n">
        <v>40.1979504353442</v>
      </c>
      <c r="CJ201" s="0" t="n">
        <v>40.3210963526474</v>
      </c>
      <c r="CK201" s="0" t="n">
        <v>0.123145917303219</v>
      </c>
      <c r="CL201" s="20" t="n">
        <f aca="false">(CK201)^2</f>
        <v>0.0151649169484513</v>
      </c>
      <c r="CN201" s="0" t="n">
        <v>1.91210243315721</v>
      </c>
      <c r="CO201" s="0" t="n">
        <v>1.3096301674259</v>
      </c>
      <c r="CP201" s="0" t="n">
        <v>39.9760206096724</v>
      </c>
      <c r="CQ201" s="0" t="n">
        <v>40.3210963526474</v>
      </c>
      <c r="CR201" s="0" t="n">
        <v>0.345075742975027</v>
      </c>
      <c r="CS201" s="20" t="n">
        <f aca="false">(CR201)^2</f>
        <v>0.119077268389767</v>
      </c>
      <c r="CU201" s="0" t="n">
        <v>8.48</v>
      </c>
      <c r="CV201" s="0" t="n">
        <v>2.68389552375932</v>
      </c>
      <c r="CW201" s="0" t="n">
        <v>2.85513640282165</v>
      </c>
      <c r="CX201" s="0" t="n">
        <v>0.171240879062327</v>
      </c>
      <c r="CY201" s="20" t="n">
        <f aca="false">(CX201)^2</f>
        <v>0.0293234386620386</v>
      </c>
      <c r="DC201" s="0" t="e">
        <v>#VALUE!</v>
      </c>
      <c r="DD201" s="0" t="e">
        <v>#VALUE!</v>
      </c>
      <c r="DE201" s="0" t="e">
        <v>#VALUE!</v>
      </c>
      <c r="DJ201" s="0" t="n">
        <v>1.28567859563301</v>
      </c>
      <c r="DK201" s="0" t="n">
        <v>1.53462910455515</v>
      </c>
      <c r="DL201" s="0" t="e">
        <v>#N/A</v>
      </c>
      <c r="DQ201" s="0" t="n">
        <v>0.942900998619785</v>
      </c>
      <c r="DR201" s="0" t="n">
        <v>0.983390848264497</v>
      </c>
      <c r="DS201" s="0" t="e">
        <v>#N/A</v>
      </c>
      <c r="DX201" s="0" t="n">
        <v>1.46268674998946</v>
      </c>
      <c r="DY201" s="0" t="n">
        <v>1.3419918312636</v>
      </c>
      <c r="DZ201" s="0" t="e">
        <v>#N/A</v>
      </c>
    </row>
    <row r="202" customFormat="false" ht="12.8" hidden="false" customHeight="false" outlineLevel="0" collapsed="false">
      <c r="A202" s="0" t="str">
        <f aca="false">A8</f>
        <v>N-CTS1020</v>
      </c>
      <c r="B202" s="42" t="n">
        <f aca="false">BP8</f>
        <v>1.93449845124357</v>
      </c>
      <c r="C202" s="42" t="s">
        <v>241</v>
      </c>
      <c r="D202" s="42" t="n">
        <f aca="false">BN8</f>
        <v>8.25</v>
      </c>
      <c r="E202" s="42" t="s">
        <v>241</v>
      </c>
      <c r="F202" s="42" t="n">
        <f aca="false">BM8</f>
        <v>1.53781909507327</v>
      </c>
      <c r="G202" s="42" t="s">
        <v>241</v>
      </c>
      <c r="H202" s="42"/>
      <c r="I202" s="42" t="n">
        <f aca="false">BJ8</f>
        <v>2.52960348518892</v>
      </c>
      <c r="J202" s="42" t="s">
        <v>241</v>
      </c>
      <c r="K202" s="42" t="n">
        <f aca="false">BL8</f>
        <v>2.17640387683549</v>
      </c>
      <c r="L202" s="42" t="s">
        <v>241</v>
      </c>
      <c r="M202" s="42" t="n">
        <f aca="false">BC8</f>
        <v>0.317898089171975</v>
      </c>
      <c r="N202" s="42" t="s">
        <v>350</v>
      </c>
      <c r="P202" s="41" t="s">
        <v>355</v>
      </c>
      <c r="Q202" s="41"/>
      <c r="R202" s="41" t="n">
        <f aca="false">C108</f>
        <v>36.6154193940811</v>
      </c>
      <c r="S202" s="41" t="s">
        <v>352</v>
      </c>
      <c r="T202" s="41" t="n">
        <f aca="false">D108</f>
        <v>0.684091406935128</v>
      </c>
      <c r="U202" s="41" t="s">
        <v>353</v>
      </c>
      <c r="V202" s="41" t="n">
        <f aca="false">E108</f>
        <v>1.83241738107183</v>
      </c>
      <c r="W202" s="41" t="s">
        <v>352</v>
      </c>
      <c r="X202" s="41" t="n">
        <f aca="false">F108</f>
        <v>0.449431616710744</v>
      </c>
      <c r="Y202" s="41" t="s">
        <v>356</v>
      </c>
      <c r="Z202" s="41" t="n">
        <f aca="false">G108</f>
        <v>0.447763021019435</v>
      </c>
      <c r="AA202" s="41" t="s">
        <v>352</v>
      </c>
      <c r="AB202" s="41" t="n">
        <f aca="false">I108</f>
        <v>0.216669423228062</v>
      </c>
      <c r="AC202" s="44" t="s">
        <v>357</v>
      </c>
      <c r="AD202" s="43" t="n">
        <f aca="false">B108</f>
        <v>0.336791533920666</v>
      </c>
      <c r="AE202" s="41" t="s">
        <v>350</v>
      </c>
      <c r="AF202" s="41"/>
      <c r="AG202" s="41"/>
      <c r="AH202" s="41"/>
      <c r="BI202" s="0" t="n">
        <v>1.3541084391474</v>
      </c>
      <c r="BJ202" s="0" t="n">
        <v>39.8176188197219</v>
      </c>
      <c r="BK202" s="0" t="n">
        <v>39.3364926286811</v>
      </c>
      <c r="BL202" s="0" t="n">
        <v>-0.481126191040794</v>
      </c>
      <c r="BM202" s="20" t="n">
        <f aca="false">(BL202)^2</f>
        <v>0.231482411705422</v>
      </c>
      <c r="BZ202" s="0" t="n">
        <v>2.04195187164556</v>
      </c>
      <c r="CA202" s="0" t="n">
        <v>1.54900326202579</v>
      </c>
      <c r="CB202" s="0" t="n">
        <v>40.2576362701787</v>
      </c>
      <c r="CC202" s="0" t="n">
        <v>40.8602418490241</v>
      </c>
      <c r="CD202" s="0" t="n">
        <v>0.602605578845427</v>
      </c>
      <c r="CE202" s="20" t="n">
        <f aca="false">(CD202)^2</f>
        <v>0.363133483655632</v>
      </c>
      <c r="CG202" s="0" t="n">
        <v>2.04195187164556</v>
      </c>
      <c r="CH202" s="0" t="n">
        <v>1.54900326202579</v>
      </c>
      <c r="CI202" s="0" t="n">
        <v>40.6624509020223</v>
      </c>
      <c r="CJ202" s="0" t="n">
        <v>41.2889669095893</v>
      </c>
      <c r="CK202" s="0" t="n">
        <v>0.626516007567034</v>
      </c>
      <c r="CL202" s="20" t="n">
        <f aca="false">(CK202)^2</f>
        <v>0.392522307737735</v>
      </c>
      <c r="CN202" s="0" t="n">
        <v>2.04195187164556</v>
      </c>
      <c r="CO202" s="0" t="n">
        <v>1.54900326202579</v>
      </c>
      <c r="CP202" s="0" t="n">
        <v>40.5240375250564</v>
      </c>
      <c r="CQ202" s="0" t="n">
        <v>40.7432526092177</v>
      </c>
      <c r="CR202" s="0" t="n">
        <v>0.219215084161256</v>
      </c>
      <c r="CS202" s="20" t="n">
        <f aca="false">(CR202)^2</f>
        <v>0.0480552531238265</v>
      </c>
      <c r="CU202" s="0" t="n">
        <v>7.99</v>
      </c>
      <c r="CV202" s="0" t="n">
        <v>2.68574277824376</v>
      </c>
      <c r="CW202" s="0" t="n">
        <v>2.7281271270983</v>
      </c>
      <c r="CX202" s="0" t="n">
        <v>0.0423843488545446</v>
      </c>
      <c r="CY202" s="20" t="n">
        <f aca="false">(CX202)^2</f>
        <v>0.00179643302782373</v>
      </c>
    </row>
    <row r="203" customFormat="false" ht="12.8" hidden="false" customHeight="false" outlineLevel="0" collapsed="false">
      <c r="A203" s="0" t="str">
        <f aca="false">A9</f>
        <v>N-CTS1022 §</v>
      </c>
      <c r="B203" s="42" t="n">
        <f aca="false">BP9</f>
        <v>1.70757017609794</v>
      </c>
      <c r="C203" s="42" t="s">
        <v>241</v>
      </c>
      <c r="D203" s="42" t="n">
        <f aca="false">BN9</f>
        <v>8.09</v>
      </c>
      <c r="E203" s="42" t="s">
        <v>241</v>
      </c>
      <c r="F203" s="42" t="n">
        <f aca="false">BM9</f>
        <v>1.3541084391474</v>
      </c>
      <c r="G203" s="42" t="s">
        <v>241</v>
      </c>
      <c r="H203" s="42"/>
      <c r="I203" s="42" t="n">
        <f aca="false">BJ9</f>
        <v>2.40587460839648</v>
      </c>
      <c r="J203" s="42" t="s">
        <v>241</v>
      </c>
      <c r="K203" s="42" t="n">
        <f aca="false">BL9</f>
        <v>2.06468635947822</v>
      </c>
      <c r="L203" s="42" t="s">
        <v>241</v>
      </c>
      <c r="M203" s="42" t="n">
        <f aca="false">BC9</f>
        <v>0.309808209483369</v>
      </c>
      <c r="N203" s="42" t="s">
        <v>350</v>
      </c>
      <c r="P203" s="41" t="s">
        <v>355</v>
      </c>
      <c r="Q203" s="41"/>
      <c r="R203" s="41" t="n">
        <f aca="false">C109</f>
        <v>36.0061775699594</v>
      </c>
      <c r="S203" s="41" t="s">
        <v>352</v>
      </c>
      <c r="T203" s="41" t="n">
        <f aca="false">D109</f>
        <v>0.668721822032403</v>
      </c>
      <c r="U203" s="41" t="s">
        <v>353</v>
      </c>
      <c r="V203" s="41" t="n">
        <f aca="false">E109</f>
        <v>2.43025907368837</v>
      </c>
      <c r="W203" s="41" t="s">
        <v>352</v>
      </c>
      <c r="X203" s="41" t="n">
        <f aca="false">F109</f>
        <v>0.439334168736719</v>
      </c>
      <c r="Y203" s="41" t="s">
        <v>356</v>
      </c>
      <c r="Z203" s="41" t="n">
        <f aca="false">G109</f>
        <v>0.298121370541373</v>
      </c>
      <c r="AA203" s="41" t="s">
        <v>352</v>
      </c>
      <c r="AB203" s="41" t="n">
        <f aca="false">I109</f>
        <v>0.211801478590301</v>
      </c>
      <c r="AC203" s="44" t="s">
        <v>357</v>
      </c>
      <c r="AD203" s="43" t="n">
        <f aca="false">B109</f>
        <v>0.329224787689627</v>
      </c>
      <c r="AE203" s="41" t="s">
        <v>350</v>
      </c>
      <c r="AF203" s="41"/>
      <c r="AG203" s="41"/>
      <c r="AH203" s="41"/>
      <c r="BI203" s="0" t="n">
        <v>1.48572142648158</v>
      </c>
      <c r="BJ203" s="0" t="n">
        <v>40.1867235840685</v>
      </c>
      <c r="BK203" s="0" t="n">
        <v>40.3263420583806</v>
      </c>
      <c r="BL203" s="0" t="n">
        <v>0.139618474312115</v>
      </c>
      <c r="BM203" s="20" t="n">
        <f aca="false">(BL203)^2</f>
        <v>0.0194933183692428</v>
      </c>
      <c r="BZ203" s="0" t="n">
        <v>2.02175318417612</v>
      </c>
      <c r="CA203" s="0" t="n">
        <v>1.38021124171161</v>
      </c>
      <c r="CB203" s="0" t="n">
        <v>39.9007912606655</v>
      </c>
      <c r="CC203" s="0" t="n">
        <v>39.5307026003539</v>
      </c>
      <c r="CD203" s="0" t="n">
        <v>-0.370088660311616</v>
      </c>
      <c r="CE203" s="20" t="n">
        <f aca="false">(CD203)^2</f>
        <v>0.136965616491247</v>
      </c>
      <c r="CG203" s="0" t="n">
        <v>2.02175318417612</v>
      </c>
      <c r="CH203" s="0" t="n">
        <v>1.38021124171161</v>
      </c>
      <c r="CI203" s="0" t="n">
        <v>40.3581666410326</v>
      </c>
      <c r="CJ203" s="0" t="n">
        <v>40.3112205857885</v>
      </c>
      <c r="CK203" s="0" t="n">
        <v>-0.0469460552440495</v>
      </c>
      <c r="CL203" s="20" t="n">
        <f aca="false">(CK203)^2</f>
        <v>0.00220393210297735</v>
      </c>
      <c r="CN203" s="0" t="n">
        <v>2.02175318417612</v>
      </c>
      <c r="CO203" s="0" t="n">
        <v>1.38021124171161</v>
      </c>
      <c r="CP203" s="0" t="n">
        <v>40.1757927343495</v>
      </c>
      <c r="CQ203" s="0" t="n">
        <v>39.8411325938</v>
      </c>
      <c r="CR203" s="0" t="n">
        <v>-0.334660140549509</v>
      </c>
      <c r="CS203" s="20" t="n">
        <f aca="false">(CR203)^2</f>
        <v>0.111997409672617</v>
      </c>
      <c r="CU203" s="0" t="n">
        <v>0</v>
      </c>
      <c r="CV203" s="0" t="n">
        <v>2.71586433606135</v>
      </c>
      <c r="CW203" s="0" t="n">
        <v>2.81672091333267</v>
      </c>
      <c r="CX203" s="0" t="n">
        <v>0.100856577271323</v>
      </c>
      <c r="CY203" s="20" t="n">
        <f aca="false">(CX203)^2</f>
        <v>0.0101720491788864</v>
      </c>
      <c r="DC203" s="0" t="s">
        <v>100</v>
      </c>
      <c r="DJ203" s="0" t="s">
        <v>100</v>
      </c>
      <c r="DQ203" s="0" t="s">
        <v>100</v>
      </c>
      <c r="DX203" s="0" t="s">
        <v>100</v>
      </c>
    </row>
    <row r="204" customFormat="false" ht="12.8" hidden="false" customHeight="false" outlineLevel="0" collapsed="false">
      <c r="A204" s="0" t="str">
        <f aca="false">A10</f>
        <v>N-CTS1034  Ha &amp;</v>
      </c>
      <c r="B204" s="42" t="n">
        <f aca="false">BP10</f>
        <v>0.778151250383644</v>
      </c>
      <c r="C204" s="42" t="s">
        <v>241</v>
      </c>
      <c r="D204" s="42" t="n">
        <f aca="false">BN10</f>
        <v>7.96</v>
      </c>
      <c r="E204" s="42" t="s">
        <v>241</v>
      </c>
      <c r="F204" s="42" t="n">
        <f aca="false">BM10</f>
        <v>1.42488163663107</v>
      </c>
      <c r="G204" s="42" t="s">
        <v>241</v>
      </c>
      <c r="H204" s="42"/>
      <c r="I204" s="42" t="n">
        <f aca="false">BJ10</f>
        <v>3.06295399039048</v>
      </c>
      <c r="J204" s="42" t="s">
        <v>241</v>
      </c>
      <c r="K204" s="42" t="n">
        <f aca="false">BL10</f>
        <v>2.28534020026503</v>
      </c>
      <c r="L204" s="42" t="s">
        <v>241</v>
      </c>
      <c r="M204" s="42" t="n">
        <f aca="false">BC10</f>
        <v>0.65152016985138</v>
      </c>
      <c r="N204" s="42" t="s">
        <v>350</v>
      </c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4"/>
      <c r="AD204" s="43"/>
      <c r="AE204" s="41"/>
      <c r="AF204" s="41"/>
      <c r="AG204" s="41"/>
      <c r="AH204" s="41"/>
      <c r="BI204" s="0" t="n">
        <v>1.39967372148104</v>
      </c>
      <c r="BJ204" s="0" t="n">
        <v>39.9454053181428</v>
      </c>
      <c r="BK204" s="0" t="n">
        <v>39.7238406799932</v>
      </c>
      <c r="BL204" s="0" t="n">
        <v>-0.221564638149552</v>
      </c>
      <c r="BM204" s="20" t="n">
        <f aca="false">(BL204)^2</f>
        <v>0.0490908888783418</v>
      </c>
      <c r="BZ204" s="0" t="n">
        <v>2.07570236963626</v>
      </c>
      <c r="CA204" s="0" t="n">
        <v>1.41161970596323</v>
      </c>
      <c r="CB204" s="0" t="n">
        <v>39.9980424663197</v>
      </c>
      <c r="CC204" s="0" t="n">
        <v>39.4259659076773</v>
      </c>
      <c r="CD204" s="0" t="n">
        <v>-0.572076558642358</v>
      </c>
      <c r="CE204" s="20" t="n">
        <f aca="false">(CD204)^2</f>
        <v>0.327271588948083</v>
      </c>
      <c r="CG204" s="0" t="n">
        <v>2.07570236963626</v>
      </c>
      <c r="CH204" s="0" t="n">
        <v>1.41161970596323</v>
      </c>
      <c r="CI204" s="0" t="n">
        <v>40.4311423286556</v>
      </c>
      <c r="CJ204" s="0" t="n">
        <v>39.794334988839</v>
      </c>
      <c r="CK204" s="0" t="n">
        <v>-0.636807339816585</v>
      </c>
      <c r="CL204" s="20" t="n">
        <f aca="false">(CK204)^2</f>
        <v>0.405523588044275</v>
      </c>
      <c r="CN204" s="0" t="n">
        <v>2.07570236963626</v>
      </c>
      <c r="CO204" s="0" t="n">
        <v>1.41161970596323</v>
      </c>
      <c r="CP204" s="0" t="n">
        <v>40.2674492054423</v>
      </c>
      <c r="CQ204" s="0" t="n">
        <v>39.794334988839</v>
      </c>
      <c r="CR204" s="0" t="n">
        <v>-0.473114216603335</v>
      </c>
      <c r="CS204" s="20" t="n">
        <f aca="false">(CR204)^2</f>
        <v>0.223837061952187</v>
      </c>
      <c r="CU204" s="0" t="n">
        <v>8.01</v>
      </c>
      <c r="CV204" s="0" t="n">
        <v>2.68566738010153</v>
      </c>
      <c r="CW204" s="0" t="n">
        <v>2.81967486601435</v>
      </c>
      <c r="CX204" s="0" t="n">
        <v>0.134007485912816</v>
      </c>
      <c r="CY204" s="20" t="n">
        <f aca="false">(CX204)^2</f>
        <v>0.0179580062806736</v>
      </c>
      <c r="DC204" s="0" t="s">
        <v>103</v>
      </c>
      <c r="DD204" s="0" t="e">
        <f aca="false">$DC$199</f>
        <v>#VALUE!</v>
      </c>
      <c r="DJ204" s="0" t="s">
        <v>103</v>
      </c>
      <c r="DK204" s="0" t="n">
        <f aca="false">$DJ$199</f>
        <v>0.455864654607452</v>
      </c>
      <c r="DQ204" s="0" t="s">
        <v>103</v>
      </c>
      <c r="DR204" s="0" t="n">
        <f aca="false">$DQ$199</f>
        <v>0.489490208944662</v>
      </c>
      <c r="DX204" s="0" t="s">
        <v>103</v>
      </c>
      <c r="DY204" s="0" t="n">
        <f aca="false">$DX$199</f>
        <v>0.521516711314552</v>
      </c>
    </row>
    <row r="205" customFormat="false" ht="17.9" hidden="false" customHeight="false" outlineLevel="0" collapsed="false">
      <c r="A205" s="0" t="str">
        <f aca="false">A11</f>
        <v>N-CTS1035  &amp;</v>
      </c>
      <c r="B205" s="42" t="n">
        <f aca="false">BP11</f>
        <v>1.47712125471966</v>
      </c>
      <c r="C205" s="42" t="s">
        <v>241</v>
      </c>
      <c r="D205" s="42" t="n">
        <f aca="false">BN11</f>
        <v>8.01</v>
      </c>
      <c r="E205" s="42" t="s">
        <v>241</v>
      </c>
      <c r="F205" s="42" t="n">
        <f aca="false">BM11</f>
        <v>1.43775056282039</v>
      </c>
      <c r="G205" s="42" t="s">
        <v>241</v>
      </c>
      <c r="H205" s="42"/>
      <c r="I205" s="42" t="n">
        <f aca="false">BJ11</f>
        <v>2.96671683363053</v>
      </c>
      <c r="J205" s="42" t="s">
        <v>241</v>
      </c>
      <c r="K205" s="42" t="n">
        <f aca="false">BL11</f>
        <v>2.24404692251784</v>
      </c>
      <c r="L205" s="42" t="s">
        <v>241</v>
      </c>
      <c r="M205" s="42" t="n">
        <f aca="false">BC11</f>
        <v>0.524246992215145</v>
      </c>
      <c r="N205" s="42" t="s">
        <v>350</v>
      </c>
      <c r="P205" s="0" t="s">
        <v>358</v>
      </c>
      <c r="R205" s="41" t="n">
        <f aca="false">C112</f>
        <v>35.8416994123029</v>
      </c>
      <c r="S205" s="41" t="s">
        <v>352</v>
      </c>
      <c r="T205" s="41" t="n">
        <f aca="false">D112</f>
        <v>0.479409493845342</v>
      </c>
      <c r="U205" s="41" t="s">
        <v>353</v>
      </c>
      <c r="V205" s="41" t="n">
        <f aca="false">E112</f>
        <v>2.04055656410502</v>
      </c>
      <c r="W205" s="41" t="s">
        <v>352</v>
      </c>
      <c r="X205" s="41" t="n">
        <f aca="false">F112</f>
        <v>0.427569645176809</v>
      </c>
      <c r="Y205" s="41" t="s">
        <v>356</v>
      </c>
      <c r="Z205" s="41" t="n">
        <f aca="false">G112</f>
        <v>0.614660953158255</v>
      </c>
      <c r="AA205" s="41" t="s">
        <v>352</v>
      </c>
      <c r="AB205" s="41" t="n">
        <f aca="false">I112</f>
        <v>0.207914474105837</v>
      </c>
      <c r="AC205" s="44" t="s">
        <v>359</v>
      </c>
      <c r="AD205" s="43" t="n">
        <f aca="false">B112</f>
        <v>0.276509138007338</v>
      </c>
      <c r="AE205" s="41" t="s">
        <v>350</v>
      </c>
      <c r="AF205" s="41"/>
      <c r="AG205" s="41"/>
      <c r="AH205" s="41"/>
      <c r="BF205" s="13"/>
      <c r="BI205" s="0" t="n">
        <v>1.3384564936046</v>
      </c>
      <c r="BJ205" s="0" t="n">
        <v>39.7737233973312</v>
      </c>
      <c r="BK205" s="0" t="n">
        <v>40.069553025812</v>
      </c>
      <c r="BL205" s="0" t="n">
        <v>0.295829628480845</v>
      </c>
      <c r="BM205" s="20" t="n">
        <f aca="false">(BL205)^2</f>
        <v>0.0875151690871151</v>
      </c>
      <c r="BZ205" s="0" t="n">
        <v>2.30379853246947</v>
      </c>
      <c r="CA205" s="0" t="n">
        <v>1.45484486000851</v>
      </c>
      <c r="CB205" s="0" t="n">
        <v>40.226447643</v>
      </c>
      <c r="CC205" s="0" t="n">
        <v>39.9477947317714</v>
      </c>
      <c r="CD205" s="0" t="n">
        <v>-0.278652911228605</v>
      </c>
      <c r="CE205" s="20" t="n">
        <f aca="false">(CD205)^2</f>
        <v>0.0776474449361766</v>
      </c>
      <c r="CG205" s="0" t="n">
        <v>2.30379853246947</v>
      </c>
      <c r="CH205" s="0" t="n">
        <v>1.45484486000851</v>
      </c>
      <c r="CI205" s="0" t="n">
        <v>40.5817068622528</v>
      </c>
      <c r="CJ205" s="0" t="n">
        <v>40.1481123266225</v>
      </c>
      <c r="CK205" s="0" t="n">
        <v>-0.433594535630249</v>
      </c>
      <c r="CL205" s="20" t="n">
        <f aca="false">(CK205)^2</f>
        <v>0.188004221328411</v>
      </c>
      <c r="CN205" s="0" t="n">
        <v>2.30379853246947</v>
      </c>
      <c r="CO205" s="0" t="n">
        <v>1.45484486000851</v>
      </c>
      <c r="CP205" s="0" t="n">
        <v>40.4759106172936</v>
      </c>
      <c r="CQ205" s="0" t="n">
        <v>40.1481123266225</v>
      </c>
      <c r="CR205" s="0" t="n">
        <v>-0.327798290671133</v>
      </c>
      <c r="CS205" s="20" t="n">
        <f aca="false">(CR205)^2</f>
        <v>0.107451719366917</v>
      </c>
      <c r="CU205" s="0" t="n">
        <v>7.74</v>
      </c>
      <c r="CV205" s="0" t="n">
        <v>2.68668525502153</v>
      </c>
      <c r="CW205" s="0" t="n">
        <v>2.98153856858654</v>
      </c>
      <c r="CX205" s="0" t="n">
        <v>0.294853313565012</v>
      </c>
      <c r="CY205" s="20" t="n">
        <f aca="false">(CX205)^2</f>
        <v>0.0869384765202675</v>
      </c>
      <c r="DC205" s="0" t="s">
        <v>106</v>
      </c>
      <c r="DD205" s="0" t="e">
        <f aca="false">$DD$199</f>
        <v>#VALUE!</v>
      </c>
      <c r="DJ205" s="0" t="s">
        <v>106</v>
      </c>
      <c r="DK205" s="0" t="n">
        <f aca="false">$DK$199</f>
        <v>0.343581711763138</v>
      </c>
      <c r="DQ205" s="0" t="s">
        <v>106</v>
      </c>
      <c r="DR205" s="0" t="n">
        <f aca="false">$DR$199</f>
        <v>0.275037179062213</v>
      </c>
      <c r="DX205" s="0" t="s">
        <v>106</v>
      </c>
      <c r="DY205" s="0" t="n">
        <f aca="false">$DY$199</f>
        <v>0.321294476868854</v>
      </c>
    </row>
    <row r="206" customFormat="false" ht="17.9" hidden="false" customHeight="false" outlineLevel="0" collapsed="false">
      <c r="A206" s="0" t="str">
        <f aca="false">A12</f>
        <v>N-Fariall30=Mrk 1271 = [F80] 30</v>
      </c>
      <c r="B206" s="42" t="n">
        <f aca="false">BP12</f>
        <v>2.22530928172586</v>
      </c>
      <c r="C206" s="42" t="s">
        <v>241</v>
      </c>
      <c r="D206" s="42" t="n">
        <f aca="false">BN12</f>
        <v>7.99</v>
      </c>
      <c r="E206" s="42" t="s">
        <v>241</v>
      </c>
      <c r="F206" s="42" t="n">
        <f aca="false">BM12</f>
        <v>1.31386722036915</v>
      </c>
      <c r="G206" s="42" t="s">
        <v>241</v>
      </c>
      <c r="H206" s="42"/>
      <c r="I206" s="42" t="n">
        <f aca="false">BJ12</f>
        <v>2.33023762449035</v>
      </c>
      <c r="J206" s="42" t="s">
        <v>241</v>
      </c>
      <c r="K206" s="42" t="n">
        <f aca="false">BL12</f>
        <v>1.60008622473531</v>
      </c>
      <c r="L206" s="42" t="s">
        <v>241</v>
      </c>
      <c r="M206" s="42" t="n">
        <f aca="false">BC12</f>
        <v>0.9384368</v>
      </c>
      <c r="N206" s="42" t="s">
        <v>350</v>
      </c>
      <c r="P206" s="0" t="s">
        <v>358</v>
      </c>
      <c r="R206" s="41" t="n">
        <f aca="false">C113</f>
        <v>37.2650488189149</v>
      </c>
      <c r="S206" s="41" t="s">
        <v>352</v>
      </c>
      <c r="T206" s="41" t="n">
        <f aca="false">D113</f>
        <v>0.604762770328455</v>
      </c>
      <c r="U206" s="41" t="s">
        <v>353</v>
      </c>
      <c r="V206" s="41" t="n">
        <f aca="false">E113</f>
        <v>1.76372272942815</v>
      </c>
      <c r="W206" s="41" t="s">
        <v>352</v>
      </c>
      <c r="X206" s="41" t="n">
        <f aca="false">F113</f>
        <v>0.539368131931278</v>
      </c>
      <c r="Y206" s="41" t="s">
        <v>356</v>
      </c>
      <c r="Z206" s="41" t="n">
        <f aca="false">G113</f>
        <v>0.32585969882725</v>
      </c>
      <c r="AA206" s="41" t="s">
        <v>352</v>
      </c>
      <c r="AB206" s="41" t="n">
        <f aca="false">I113</f>
        <v>0.262278772043244</v>
      </c>
      <c r="AC206" s="44" t="s">
        <v>359</v>
      </c>
      <c r="AD206" s="43" t="n">
        <f aca="false">B113</f>
        <v>0.348809179770639</v>
      </c>
      <c r="AE206" s="41" t="s">
        <v>350</v>
      </c>
      <c r="AF206" s="41"/>
      <c r="AG206" s="41"/>
      <c r="AH206" s="41"/>
      <c r="BI206" s="0" t="n">
        <v>1.25527250510331</v>
      </c>
      <c r="BJ206" s="0" t="n">
        <v>39.5404363403691</v>
      </c>
      <c r="BK206" s="0" t="n">
        <v>39.8138398098754</v>
      </c>
      <c r="BL206" s="0" t="n">
        <v>0.27340346950632</v>
      </c>
      <c r="BM206" s="20" t="n">
        <f aca="false">(BL206)^2</f>
        <v>0.0747494571380933</v>
      </c>
      <c r="BZ206" s="0" t="n">
        <v>1.58373370004733</v>
      </c>
      <c r="CA206" s="0" t="n">
        <v>1.24797326636181</v>
      </c>
      <c r="CB206" s="0" t="n">
        <v>39.361718718425</v>
      </c>
      <c r="CC206" s="0" t="n">
        <v>39.3876198532141</v>
      </c>
      <c r="CD206" s="0" t="n">
        <v>0.0259011347890663</v>
      </c>
      <c r="CE206" s="20" t="n">
        <f aca="false">(CD206)^2</f>
        <v>0.000670868783361381</v>
      </c>
      <c r="CG206" s="0" t="n">
        <v>1.58373370004733</v>
      </c>
      <c r="CH206" s="0" t="n">
        <v>1.24797326636181</v>
      </c>
      <c r="CI206" s="0" t="n">
        <v>39.9822026210359</v>
      </c>
      <c r="CJ206" s="0" t="n">
        <v>39.9396196552323</v>
      </c>
      <c r="CK206" s="0" t="n">
        <v>-0.0425829658035752</v>
      </c>
      <c r="CL206" s="20" t="n">
        <f aca="false">(CK206)^2</f>
        <v>0.00181330897662846</v>
      </c>
      <c r="CN206" s="0" t="n">
        <v>1.58373370004733</v>
      </c>
      <c r="CO206" s="0" t="n">
        <v>1.24797326636181</v>
      </c>
      <c r="CP206" s="0" t="n">
        <v>39.6770583247984</v>
      </c>
      <c r="CQ206" s="0" t="n">
        <v>39.6143001977675</v>
      </c>
      <c r="CR206" s="0" t="n">
        <v>-0.0627581270309179</v>
      </c>
      <c r="CS206" s="20" t="n">
        <f aca="false">(CR206)^2</f>
        <v>0.00393858250842882</v>
      </c>
      <c r="CU206" s="0" t="n">
        <v>7.95</v>
      </c>
      <c r="CV206" s="0" t="n">
        <v>2.6858935745282</v>
      </c>
      <c r="CW206" s="0" t="n">
        <v>2.5381406092624</v>
      </c>
      <c r="CX206" s="0" t="n">
        <v>-0.147752965265799</v>
      </c>
      <c r="CY206" s="20" t="n">
        <f aca="false">(CX206)^2</f>
        <v>0.0218309387448365</v>
      </c>
      <c r="DC206" s="0" t="s">
        <v>109</v>
      </c>
      <c r="DD206" s="0" t="n">
        <f aca="false">2</f>
        <v>2</v>
      </c>
      <c r="DJ206" s="0" t="s">
        <v>109</v>
      </c>
      <c r="DK206" s="0" t="n">
        <f aca="false">2</f>
        <v>2</v>
      </c>
      <c r="DQ206" s="0" t="s">
        <v>109</v>
      </c>
      <c r="DR206" s="0" t="n">
        <f aca="false">2</f>
        <v>2</v>
      </c>
      <c r="DX206" s="0" t="s">
        <v>109</v>
      </c>
      <c r="DY206" s="0" t="n">
        <f aca="false">2</f>
        <v>2</v>
      </c>
    </row>
    <row r="207" customFormat="false" ht="17.9" hidden="false" customHeight="false" outlineLevel="0" collapsed="false">
      <c r="A207" s="0" t="str">
        <f aca="false">A13</f>
        <v>N-IIZw40-conti</v>
      </c>
      <c r="B207" s="42" t="n">
        <f aca="false">BP13</f>
        <v>2.32428245529769</v>
      </c>
      <c r="C207" s="42" t="s">
        <v>241</v>
      </c>
      <c r="D207" s="42" t="n">
        <f aca="false">BN13</f>
        <v>8.07</v>
      </c>
      <c r="E207" s="42" t="s">
        <v>241</v>
      </c>
      <c r="F207" s="42" t="n">
        <f aca="false">BM13</f>
        <v>1.51719589794997</v>
      </c>
      <c r="G207" s="42" t="s">
        <v>241</v>
      </c>
      <c r="H207" s="42"/>
      <c r="I207" s="42" t="n">
        <f aca="false">BJ13</f>
        <v>2.28501935429668</v>
      </c>
      <c r="J207" s="42" t="s">
        <v>241</v>
      </c>
      <c r="K207" s="42" t="n">
        <f aca="false">BL13</f>
        <v>1.37561164684667</v>
      </c>
      <c r="L207" s="42" t="s">
        <v>241</v>
      </c>
      <c r="M207" s="42" t="n">
        <f aca="false">BC13</f>
        <v>1.1319749</v>
      </c>
      <c r="N207" s="42" t="s">
        <v>350</v>
      </c>
      <c r="P207" s="0" t="s">
        <v>358</v>
      </c>
      <c r="R207" s="41" t="n">
        <f aca="false">C114</f>
        <v>36.3347814469617</v>
      </c>
      <c r="S207" s="41" t="s">
        <v>352</v>
      </c>
      <c r="T207" s="41" t="n">
        <f aca="false">D114</f>
        <v>0.549061564433446</v>
      </c>
      <c r="U207" s="41" t="s">
        <v>353</v>
      </c>
      <c r="V207" s="41" t="n">
        <f aca="false">E114</f>
        <v>1.99912862203331</v>
      </c>
      <c r="W207" s="41" t="s">
        <v>352</v>
      </c>
      <c r="X207" s="41" t="n">
        <f aca="false">F114</f>
        <v>0.489690048484452</v>
      </c>
      <c r="Y207" s="41" t="s">
        <v>356</v>
      </c>
      <c r="Z207" s="41" t="n">
        <f aca="false">G114</f>
        <v>0.53507594205709</v>
      </c>
      <c r="AA207" s="41" t="s">
        <v>352</v>
      </c>
      <c r="AB207" s="41" t="n">
        <f aca="false">I114</f>
        <v>0.23812178917286</v>
      </c>
      <c r="AC207" s="44" t="s">
        <v>359</v>
      </c>
      <c r="AD207" s="43" t="n">
        <f aca="false">B114</f>
        <v>0.316682380811235</v>
      </c>
      <c r="AE207" s="41" t="s">
        <v>350</v>
      </c>
      <c r="AF207" s="41"/>
      <c r="AG207" s="41"/>
      <c r="AH207" s="41"/>
      <c r="BI207" s="0" t="n">
        <v>1.22010808804006</v>
      </c>
      <c r="BJ207" s="0" t="n">
        <v>39.4418187636663</v>
      </c>
      <c r="BK207" s="0" t="n">
        <v>39.0981383321098</v>
      </c>
      <c r="BL207" s="0" t="n">
        <v>-0.343680431556457</v>
      </c>
      <c r="BM207" s="20" t="n">
        <f aca="false">(BL207)^2</f>
        <v>0.118116239034833</v>
      </c>
      <c r="BZ207" s="0" t="n">
        <v>2.07441923117618</v>
      </c>
      <c r="CA207" s="0" t="n">
        <v>1.3541084391474</v>
      </c>
      <c r="CB207" s="0" t="n">
        <v>39.8798987781997</v>
      </c>
      <c r="CC207" s="0" t="n">
        <v>39.7992940202333</v>
      </c>
      <c r="CD207" s="0" t="n">
        <v>-0.0806047579664195</v>
      </c>
      <c r="CE207" s="20" t="n">
        <f aca="false">(CD207)^2</f>
        <v>0.00649712700682507</v>
      </c>
      <c r="CG207" s="0" t="n">
        <v>2.07441923117618</v>
      </c>
      <c r="CH207" s="0" t="n">
        <v>1.3541084391474</v>
      </c>
      <c r="CI207" s="0" t="n">
        <v>40.3292902770621</v>
      </c>
      <c r="CJ207" s="0" t="n">
        <v>40.5671950296227</v>
      </c>
      <c r="CK207" s="0" t="n">
        <v>0.237904752560567</v>
      </c>
      <c r="CL207" s="20" t="n">
        <f aca="false">(CK207)^2</f>
        <v>0.0565986712909047</v>
      </c>
      <c r="CN207" s="0" t="n">
        <v>2.07441923117618</v>
      </c>
      <c r="CO207" s="0" t="n">
        <v>1.3541084391474</v>
      </c>
      <c r="CP207" s="0" t="n">
        <v>40.1517902093411</v>
      </c>
      <c r="CQ207" s="0" t="n">
        <v>40.5671950296227</v>
      </c>
      <c r="CR207" s="0" t="n">
        <v>0.415404820281609</v>
      </c>
      <c r="CS207" s="20" t="n">
        <f aca="false">(CR207)^2</f>
        <v>0.172561164713195</v>
      </c>
      <c r="CU207" s="0" t="n">
        <v>7.77</v>
      </c>
      <c r="CV207" s="0" t="n">
        <v>2.68657215780819</v>
      </c>
      <c r="CW207" s="0" t="n">
        <v>2.37977395062333</v>
      </c>
      <c r="CX207" s="0" t="n">
        <v>-0.306798207184865</v>
      </c>
      <c r="CY207" s="20" t="n">
        <f aca="false">(CX207)^2</f>
        <v>0.0941251399318473</v>
      </c>
      <c r="DC207" s="0" t="s">
        <v>112</v>
      </c>
      <c r="DD207" s="0" t="n">
        <f aca="false">16</f>
        <v>16</v>
      </c>
      <c r="DJ207" s="0" t="s">
        <v>112</v>
      </c>
      <c r="DK207" s="0" t="n">
        <f aca="false">16</f>
        <v>16</v>
      </c>
      <c r="DQ207" s="0" t="s">
        <v>112</v>
      </c>
      <c r="DR207" s="0" t="n">
        <f aca="false">16</f>
        <v>16</v>
      </c>
      <c r="DX207" s="0" t="s">
        <v>112</v>
      </c>
      <c r="DY207" s="0" t="n">
        <f aca="false">16</f>
        <v>16</v>
      </c>
    </row>
    <row r="208" customFormat="false" ht="12.8" hidden="false" customHeight="false" outlineLevel="0" collapsed="false">
      <c r="A208" s="0" t="str">
        <f aca="false">A14</f>
        <v>N-IIZW70-conti   &amp;</v>
      </c>
      <c r="B208" s="42" t="n">
        <f aca="false">BP14</f>
        <v>1.74036268949424</v>
      </c>
      <c r="C208" s="42" t="s">
        <v>241</v>
      </c>
      <c r="D208" s="42" t="n">
        <f aca="false">BN14</f>
        <v>8.07</v>
      </c>
      <c r="E208" s="42" t="s">
        <v>241</v>
      </c>
      <c r="F208" s="42" t="n">
        <f aca="false">BM14</f>
        <v>1.32221929473392</v>
      </c>
      <c r="G208" s="42" t="s">
        <v>241</v>
      </c>
      <c r="H208" s="42"/>
      <c r="I208" s="42" t="n">
        <f aca="false">BJ14</f>
        <v>2.18948247828467</v>
      </c>
      <c r="J208" s="42" t="s">
        <v>241</v>
      </c>
      <c r="K208" s="42" t="n">
        <f aca="false">BL14</f>
        <v>1.68490801536986</v>
      </c>
      <c r="L208" s="42" t="s">
        <v>241</v>
      </c>
      <c r="M208" s="42" t="n">
        <f aca="false">BC14</f>
        <v>1.55043</v>
      </c>
      <c r="N208" s="42" t="s">
        <v>350</v>
      </c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3"/>
      <c r="AE208" s="41"/>
      <c r="AF208" s="41"/>
      <c r="AG208" s="41"/>
      <c r="AH208" s="41"/>
      <c r="BI208" s="0" t="n">
        <v>1.50514997831991</v>
      </c>
      <c r="BJ208" s="0" t="n">
        <v>40.2412103880924</v>
      </c>
      <c r="BK208" s="0" t="n">
        <v>40.6295612869068</v>
      </c>
      <c r="BL208" s="0" t="n">
        <v>0.38835089881438</v>
      </c>
      <c r="BM208" s="20" t="n">
        <f aca="false">(BL208)^2</f>
        <v>0.150816420609937</v>
      </c>
      <c r="BZ208" s="0" t="n">
        <v>1.91822534255641</v>
      </c>
      <c r="CA208" s="0" t="n">
        <v>1.20682587603185</v>
      </c>
      <c r="CB208" s="0" t="n">
        <v>39.4833540927995</v>
      </c>
      <c r="CC208" s="0" t="n">
        <v>39.5414546476421</v>
      </c>
      <c r="CD208" s="0" t="n">
        <v>0.0581005548425537</v>
      </c>
      <c r="CE208" s="20" t="n">
        <f aca="false">(CD208)^2</f>
        <v>0.00337567447301259</v>
      </c>
      <c r="CG208" s="0" t="n">
        <v>1.91822534255641</v>
      </c>
      <c r="CH208" s="0" t="n">
        <v>1.20682587603185</v>
      </c>
      <c r="CI208" s="0" t="n">
        <v>40.0186273793425</v>
      </c>
      <c r="CJ208" s="0" t="n">
        <v>39.9994654634455</v>
      </c>
      <c r="CK208" s="0" t="n">
        <v>-0.0191619158970084</v>
      </c>
      <c r="CL208" s="20" t="n">
        <f aca="false">(CK208)^2</f>
        <v>0.000367179020844025</v>
      </c>
      <c r="CN208" s="0" t="n">
        <v>1.91822534255641</v>
      </c>
      <c r="CO208" s="0" t="n">
        <v>1.20682587603185</v>
      </c>
      <c r="CP208" s="0" t="n">
        <v>39.7737778297936</v>
      </c>
      <c r="CQ208" s="0" t="n">
        <v>39.4317743737488</v>
      </c>
      <c r="CR208" s="0" t="n">
        <v>-0.342003456044786</v>
      </c>
      <c r="CS208" s="20" t="n">
        <f aca="false">(CR208)^2</f>
        <v>0.116966363946578</v>
      </c>
      <c r="CU208" s="0" t="n">
        <v>7.92</v>
      </c>
      <c r="CV208" s="0" t="n">
        <v>2.68600667174153</v>
      </c>
      <c r="CW208" s="0" t="n">
        <v>2.77079593079515</v>
      </c>
      <c r="CX208" s="0" t="n">
        <v>0.0847892590536183</v>
      </c>
      <c r="CY208" s="20" t="n">
        <f aca="false">(CX208)^2</f>
        <v>0.0071892184508616</v>
      </c>
      <c r="DC208" s="0" t="s">
        <v>115</v>
      </c>
      <c r="DD208" s="0" t="e">
        <f aca="false">1 - (1 - $DC$199)*($DD$207 - 1)/($DD$207 - $DD$206 - 1)</f>
        <v>#VALUE!</v>
      </c>
      <c r="DJ208" s="0" t="s">
        <v>115</v>
      </c>
      <c r="DK208" s="0" t="n">
        <f aca="false">1 - (1 - $DJ$199)*($DK$207 - 1)/($DK$207 - $DK$206 - 1)</f>
        <v>0.37215152454706</v>
      </c>
      <c r="DQ208" s="0" t="s">
        <v>115</v>
      </c>
      <c r="DR208" s="0" t="n">
        <f aca="false">1 - (1 - $DQ$199)*($DR$207 - 1)/($DR$207 - $DR$206 - 1)</f>
        <v>0.410950241089994</v>
      </c>
      <c r="DX208" s="0" t="s">
        <v>115</v>
      </c>
      <c r="DY208" s="0" t="n">
        <f aca="false">1 - (1 - $DX$199)*($DY$207 - 1)/($DY$207 - $DY$206 - 1)</f>
        <v>0.447903897670637</v>
      </c>
    </row>
    <row r="209" customFormat="false" ht="12.8" hidden="false" customHeight="false" outlineLevel="0" collapsed="false">
      <c r="A209" s="0" t="str">
        <f aca="false">A15</f>
        <v>N-Mrk1318-conti</v>
      </c>
      <c r="B209" s="42" t="n">
        <f aca="false">BP15</f>
        <v>1.39794000867204</v>
      </c>
      <c r="C209" s="42" t="s">
        <v>241</v>
      </c>
      <c r="D209" s="42" t="n">
        <f aca="false">BN15</f>
        <v>8.27</v>
      </c>
      <c r="E209" s="42" t="s">
        <v>241</v>
      </c>
      <c r="F209" s="42" t="n">
        <f aca="false">BM15</f>
        <v>1.23299611039215</v>
      </c>
      <c r="G209" s="42" t="s">
        <v>241</v>
      </c>
      <c r="H209" s="42"/>
      <c r="I209" s="42" t="n">
        <f aca="false">BJ15</f>
        <v>3.01277417174865</v>
      </c>
      <c r="J209" s="42" t="s">
        <v>241</v>
      </c>
      <c r="K209" s="42" t="n">
        <f aca="false">BL15</f>
        <v>1.85057428008802</v>
      </c>
      <c r="L209" s="42" t="s">
        <v>241</v>
      </c>
      <c r="M209" s="42" t="n">
        <f aca="false">BC15</f>
        <v>0.7240975</v>
      </c>
      <c r="N209" s="42" t="s">
        <v>350</v>
      </c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4"/>
      <c r="AD209" s="43"/>
      <c r="AE209" s="41"/>
      <c r="AF209" s="41"/>
      <c r="AG209" s="41"/>
      <c r="AH209" s="41"/>
      <c r="BI209" s="0" t="n">
        <v>1.45788189673399</v>
      </c>
      <c r="BJ209" s="0" t="n">
        <v>40.1086484390912</v>
      </c>
      <c r="BK209" s="0" t="n">
        <v>40.2970404904863</v>
      </c>
      <c r="BL209" s="0" t="n">
        <v>0.188392051395063</v>
      </c>
      <c r="BM209" s="20" t="n">
        <f aca="false">(BL209)^2</f>
        <v>0.03549156502884</v>
      </c>
      <c r="BZ209" s="0" t="n">
        <v>1.53606284006086</v>
      </c>
      <c r="CA209" s="0" t="n">
        <v>1.09691001300806</v>
      </c>
      <c r="CB209" s="0" t="n">
        <v>39.0241641889618</v>
      </c>
      <c r="CC209" s="0" t="n">
        <v>39.2951320767752</v>
      </c>
      <c r="CD209" s="0" t="n">
        <v>0.27096788781337</v>
      </c>
      <c r="CE209" s="20" t="n">
        <f aca="false">(CD209)^2</f>
        <v>0.0734235962260391</v>
      </c>
      <c r="CG209" s="0" t="n">
        <v>1.53606284006086</v>
      </c>
      <c r="CH209" s="0" t="n">
        <v>1.09691001300806</v>
      </c>
      <c r="CI209" s="0" t="n">
        <v>39.7002349154365</v>
      </c>
      <c r="CJ209" s="0" t="n">
        <v>39.8338814731209</v>
      </c>
      <c r="CK209" s="0" t="n">
        <v>0.133646557684422</v>
      </c>
      <c r="CL209" s="20" t="n">
        <f aca="false">(CK209)^2</f>
        <v>0.0178614023808955</v>
      </c>
      <c r="CN209" s="0" t="n">
        <v>1.53606284006086</v>
      </c>
      <c r="CO209" s="0" t="n">
        <v>1.09691001300806</v>
      </c>
      <c r="CP209" s="0" t="n">
        <v>39.3495559209655</v>
      </c>
      <c r="CQ209" s="0" t="n">
        <v>39.7495605874209</v>
      </c>
      <c r="CR209" s="0" t="n">
        <v>0.400004666455367</v>
      </c>
      <c r="CS209" s="20" t="n">
        <f aca="false">(CR209)^2</f>
        <v>0.160003733186069</v>
      </c>
      <c r="CU209" s="0" t="n">
        <v>7.85</v>
      </c>
      <c r="CV209" s="0" t="n">
        <v>2.68627056523931</v>
      </c>
      <c r="CW209" s="0" t="n">
        <v>1.8572240799594</v>
      </c>
      <c r="CX209" s="0" t="n">
        <v>-0.829046485279908</v>
      </c>
      <c r="CY209" s="20" t="n">
        <f aca="false">(CX209)^2</f>
        <v>0.687318074754968</v>
      </c>
    </row>
    <row r="210" customFormat="false" ht="12.8" hidden="false" customHeight="false" outlineLevel="0" collapsed="false">
      <c r="A210" s="0" t="str">
        <f aca="false">A16</f>
        <v>N-Mrk36-conti  $ $</v>
      </c>
      <c r="B210" s="42" t="n">
        <f aca="false">BP16</f>
        <v>2.03742649794062</v>
      </c>
      <c r="C210" s="42" t="s">
        <v>241</v>
      </c>
      <c r="D210" s="42" t="n">
        <f aca="false">BN16</f>
        <v>7.89</v>
      </c>
      <c r="E210" s="42" t="s">
        <v>241</v>
      </c>
      <c r="F210" s="42" t="n">
        <f aca="false">BM16</f>
        <v>1.23299611039215</v>
      </c>
      <c r="G210" s="42" t="s">
        <v>241</v>
      </c>
      <c r="H210" s="42"/>
      <c r="I210" s="42" t="n">
        <f aca="false">BJ16</f>
        <v>2.23419219759188</v>
      </c>
      <c r="J210" s="42" t="s">
        <v>241</v>
      </c>
      <c r="K210" s="42" t="n">
        <f aca="false">BL16</f>
        <v>1.54507120196056</v>
      </c>
      <c r="L210" s="42" t="s">
        <v>241</v>
      </c>
      <c r="M210" s="42" t="n">
        <f aca="false">BC16</f>
        <v>0.478556263269639</v>
      </c>
      <c r="N210" s="42" t="s">
        <v>350</v>
      </c>
      <c r="P210" s="41" t="s">
        <v>360</v>
      </c>
      <c r="Q210" s="41"/>
      <c r="R210" s="41" t="n">
        <f aca="false">C116</f>
        <v>35.9403189107826</v>
      </c>
      <c r="S210" s="41" t="s">
        <v>352</v>
      </c>
      <c r="T210" s="41" t="n">
        <f aca="false">D116</f>
        <v>0.570791336739758</v>
      </c>
      <c r="U210" s="41" t="s">
        <v>353</v>
      </c>
      <c r="V210" s="41" t="n">
        <f aca="false">E116</f>
        <v>2.76712445313536</v>
      </c>
      <c r="W210" s="41" t="s">
        <v>352</v>
      </c>
      <c r="X210" s="41" t="n">
        <f aca="false">F116</f>
        <v>0.401459180881795</v>
      </c>
      <c r="Y210" s="41" t="s">
        <v>356</v>
      </c>
      <c r="Z210" s="41" t="n">
        <f aca="false">G116</f>
        <v>0.0166094581361699</v>
      </c>
      <c r="AA210" s="41" t="s">
        <v>352</v>
      </c>
      <c r="AB210" s="41" t="n">
        <f aca="false">I116</f>
        <v>0.0409363634394292</v>
      </c>
      <c r="AC210" s="44" t="s">
        <v>361</v>
      </c>
      <c r="AD210" s="43" t="n">
        <f aca="false">B116</f>
        <v>0.310608246741096</v>
      </c>
      <c r="AE210" s="41" t="s">
        <v>350</v>
      </c>
      <c r="AF210" s="41"/>
      <c r="AG210" s="41"/>
      <c r="AH210" s="41"/>
      <c r="BI210" s="0" t="n">
        <v>1.39269695325967</v>
      </c>
      <c r="BJ210" s="0" t="n">
        <v>39.9258391762109</v>
      </c>
      <c r="BK210" s="0" t="n">
        <v>39.5808250944804</v>
      </c>
      <c r="BL210" s="0" t="n">
        <v>-0.345014081730547</v>
      </c>
      <c r="BM210" s="20" t="n">
        <f aca="false">(BL210)^2</f>
        <v>0.119034716592372</v>
      </c>
      <c r="BZ210" s="0" t="n">
        <v>1.58559671011752</v>
      </c>
      <c r="CA210" s="0" t="n">
        <v>1.28330122870355</v>
      </c>
      <c r="CB210" s="0" t="n">
        <v>39.4349525434234</v>
      </c>
      <c r="CC210" s="0" t="n">
        <v>39.0423920343584</v>
      </c>
      <c r="CD210" s="0" t="n">
        <v>-0.392560509065014</v>
      </c>
      <c r="CE210" s="20" t="n">
        <f aca="false">(CD210)^2</f>
        <v>0.154103753277383</v>
      </c>
      <c r="CG210" s="0" t="n">
        <v>1.58559671011752</v>
      </c>
      <c r="CH210" s="0" t="n">
        <v>1.28330122870355</v>
      </c>
      <c r="CI210" s="0" t="n">
        <v>40.0451184311028</v>
      </c>
      <c r="CJ210" s="0" t="n">
        <v>39.4843141944881</v>
      </c>
      <c r="CK210" s="0" t="n">
        <v>-0.560804236614665</v>
      </c>
      <c r="CL210" s="20" t="n">
        <f aca="false">(CK210)^2</f>
        <v>0.314501391804957</v>
      </c>
      <c r="CN210" s="0" t="n">
        <v>1.58559671011752</v>
      </c>
      <c r="CO210" s="0" t="n">
        <v>1.28330122870355</v>
      </c>
      <c r="CP210" s="0" t="n">
        <v>39.7486803173423</v>
      </c>
      <c r="CQ210" s="0" t="n">
        <v>39.4843141944881</v>
      </c>
      <c r="CR210" s="0" t="n">
        <v>-0.26436612285417</v>
      </c>
      <c r="CS210" s="20" t="n">
        <f aca="false">(CR210)^2</f>
        <v>0.0698894469129463</v>
      </c>
      <c r="CY210" s="0" t="n">
        <f aca="false">SQRT(SUM(CY172:CY209)/38)</f>
        <v>0.279957071714931</v>
      </c>
      <c r="DC210" s="0" t="s">
        <v>120</v>
      </c>
      <c r="DJ210" s="0" t="s">
        <v>120</v>
      </c>
      <c r="DQ210" s="0" t="s">
        <v>120</v>
      </c>
      <c r="DX210" s="0" t="s">
        <v>120</v>
      </c>
    </row>
    <row r="211" customFormat="false" ht="12.8" hidden="false" customHeight="false" outlineLevel="0" collapsed="false">
      <c r="A211" s="0" t="str">
        <f aca="false">A17</f>
        <v>N-MS01-conti = [SC98] 01</v>
      </c>
      <c r="B211" s="42" t="n">
        <f aca="false">BP17</f>
        <v>1.36172783601759</v>
      </c>
      <c r="C211" s="42" t="s">
        <v>241</v>
      </c>
      <c r="D211" s="42" t="n">
        <f aca="false">BN17</f>
        <v>8.27</v>
      </c>
      <c r="E211" s="42" t="s">
        <v>241</v>
      </c>
      <c r="F211" s="42" t="n">
        <f aca="false">BM17</f>
        <v>1.3541084391474</v>
      </c>
      <c r="G211" s="42" t="s">
        <v>241</v>
      </c>
      <c r="H211" s="42"/>
      <c r="I211" s="42" t="n">
        <f aca="false">BJ17</f>
        <v>2.51128671835605</v>
      </c>
      <c r="J211" s="42" t="s">
        <v>241</v>
      </c>
      <c r="K211" s="42" t="n">
        <f aca="false">BL17</f>
        <v>1.96442405905461</v>
      </c>
      <c r="L211" s="42" t="s">
        <v>241</v>
      </c>
      <c r="M211" s="42" t="n">
        <f aca="false">BC17</f>
        <v>0.39386889596603</v>
      </c>
      <c r="N211" s="42" t="s">
        <v>350</v>
      </c>
      <c r="P211" s="41" t="s">
        <v>360</v>
      </c>
      <c r="Q211" s="41"/>
      <c r="R211" s="41" t="n">
        <f aca="false">C117</f>
        <v>37.1951161570463</v>
      </c>
      <c r="S211" s="41" t="s">
        <v>352</v>
      </c>
      <c r="T211" s="41" t="n">
        <f aca="false">D117</f>
        <v>0.651188242682157</v>
      </c>
      <c r="U211" s="41" t="s">
        <v>353</v>
      </c>
      <c r="V211" s="41" t="n">
        <f aca="false">E117</f>
        <v>2.1496677967723</v>
      </c>
      <c r="W211" s="41" t="s">
        <v>352</v>
      </c>
      <c r="X211" s="41" t="n">
        <f aca="false">F117</f>
        <v>0.458005371981016</v>
      </c>
      <c r="Y211" s="41" t="s">
        <v>356</v>
      </c>
      <c r="Z211" s="41" t="n">
        <f aca="false">G117</f>
        <v>0.0251596097844438</v>
      </c>
      <c r="AA211" s="41" t="s">
        <v>352</v>
      </c>
      <c r="AB211" s="41" t="n">
        <f aca="false">I117</f>
        <v>0.0467023180873431</v>
      </c>
      <c r="AC211" s="44" t="s">
        <v>361</v>
      </c>
      <c r="AD211" s="43" t="n">
        <f aca="false">B117</f>
        <v>0.354357933169086</v>
      </c>
      <c r="AE211" s="41" t="s">
        <v>350</v>
      </c>
      <c r="AF211" s="41"/>
      <c r="AG211" s="41"/>
      <c r="AH211" s="41"/>
      <c r="BI211" s="0" t="n">
        <v>1.50379068305718</v>
      </c>
      <c r="BJ211" s="0" t="n">
        <v>40.2373982843799</v>
      </c>
      <c r="BK211" s="0" t="n">
        <v>40.3643638589132</v>
      </c>
      <c r="BL211" s="0" t="n">
        <v>0.126965574533266</v>
      </c>
      <c r="BM211" s="20" t="n">
        <f aca="false">(BL211)^2</f>
        <v>0.0161202571165622</v>
      </c>
      <c r="BZ211" s="0" t="n">
        <v>1.92192076742725</v>
      </c>
      <c r="CA211" s="0" t="n">
        <v>1.23552844690755</v>
      </c>
      <c r="CB211" s="0" t="n">
        <v>39.5441947455801</v>
      </c>
      <c r="CC211" s="0" t="n">
        <v>39.7584397069598</v>
      </c>
      <c r="CD211" s="0" t="n">
        <v>0.21424496137972</v>
      </c>
      <c r="CE211" s="20" t="n">
        <f aca="false">(CD211)^2</f>
        <v>0.0459009034765976</v>
      </c>
      <c r="CG211" s="0" t="n">
        <v>1.92192076742725</v>
      </c>
      <c r="CH211" s="0" t="n">
        <v>1.23552844690755</v>
      </c>
      <c r="CI211" s="0" t="n">
        <v>40.0704549460245</v>
      </c>
      <c r="CJ211" s="0" t="n">
        <v>40.1263375099171</v>
      </c>
      <c r="CK211" s="0" t="n">
        <v>0.055882563892645</v>
      </c>
      <c r="CL211" s="20" t="n">
        <f aca="false">(CK211)^2</f>
        <v>0.00312286094721555</v>
      </c>
      <c r="CN211" s="0" t="n">
        <v>1.92192076742725</v>
      </c>
      <c r="CO211" s="0" t="n">
        <v>1.23552844690755</v>
      </c>
      <c r="CP211" s="0" t="n">
        <v>39.8331352937012</v>
      </c>
      <c r="CQ211" s="0" t="n">
        <v>39.9044887603007</v>
      </c>
      <c r="CR211" s="0" t="n">
        <v>0.071353466599497</v>
      </c>
      <c r="CS211" s="20" t="n">
        <f aca="false">(CR211)^2</f>
        <v>0.00509131719576554</v>
      </c>
      <c r="DD211" s="0" t="s">
        <v>123</v>
      </c>
      <c r="DE211" s="0" t="s">
        <v>124</v>
      </c>
      <c r="DF211" s="0" t="s">
        <v>125</v>
      </c>
      <c r="DG211" s="0" t="s">
        <v>126</v>
      </c>
      <c r="DH211" s="0" t="s">
        <v>127</v>
      </c>
      <c r="DK211" s="0" t="s">
        <v>123</v>
      </c>
      <c r="DL211" s="0" t="s">
        <v>124</v>
      </c>
      <c r="DM211" s="0" t="s">
        <v>125</v>
      </c>
      <c r="DN211" s="0" t="s">
        <v>126</v>
      </c>
      <c r="DO211" s="0" t="s">
        <v>127</v>
      </c>
      <c r="DR211" s="0" t="s">
        <v>123</v>
      </c>
      <c r="DS211" s="0" t="s">
        <v>124</v>
      </c>
      <c r="DT211" s="0" t="s">
        <v>125</v>
      </c>
      <c r="DU211" s="0" t="s">
        <v>126</v>
      </c>
      <c r="DV211" s="0" t="s">
        <v>127</v>
      </c>
      <c r="DY211" s="0" t="s">
        <v>123</v>
      </c>
      <c r="DZ211" s="0" t="s">
        <v>124</v>
      </c>
      <c r="EA211" s="0" t="s">
        <v>125</v>
      </c>
      <c r="EB211" s="0" t="s">
        <v>126</v>
      </c>
      <c r="EC211" s="0" t="s">
        <v>127</v>
      </c>
    </row>
    <row r="212" customFormat="false" ht="12.8" hidden="false" customHeight="false" outlineLevel="0" collapsed="false">
      <c r="A212" s="0" t="str">
        <f aca="false">A18</f>
        <v>N-MS12-conti = [ SC98] 68 $</v>
      </c>
      <c r="B212" s="42" t="n">
        <f aca="false">BP18</f>
        <v>1.07918124604762</v>
      </c>
      <c r="C212" s="42" t="s">
        <v>241</v>
      </c>
      <c r="D212" s="42" t="n">
        <f aca="false">BN18</f>
        <v>8.49</v>
      </c>
      <c r="E212" s="42" t="s">
        <v>241</v>
      </c>
      <c r="F212" s="42" t="n">
        <f aca="false">BM18</f>
        <v>1.48572142648158</v>
      </c>
      <c r="G212" s="42" t="s">
        <v>241</v>
      </c>
      <c r="H212" s="42"/>
      <c r="I212" s="42" t="n">
        <f aca="false">BJ18</f>
        <v>2.98461060088215</v>
      </c>
      <c r="J212" s="42" t="s">
        <v>241</v>
      </c>
      <c r="K212" s="42" t="n">
        <f aca="false">BL18</f>
        <v>2.35784156259318</v>
      </c>
      <c r="L212" s="42" t="s">
        <v>241</v>
      </c>
      <c r="M212" s="42" t="n">
        <f aca="false">BC18</f>
        <v>0.405234607218684</v>
      </c>
      <c r="N212" s="42" t="s">
        <v>350</v>
      </c>
      <c r="P212" s="41" t="s">
        <v>360</v>
      </c>
      <c r="Q212" s="41"/>
      <c r="R212" s="41" t="n">
        <f aca="false">C118</f>
        <v>36.326495870113</v>
      </c>
      <c r="S212" s="41" t="s">
        <v>352</v>
      </c>
      <c r="T212" s="41" t="n">
        <f aca="false">D118</f>
        <v>0.621843303817268</v>
      </c>
      <c r="U212" s="41" t="s">
        <v>353</v>
      </c>
      <c r="V212" s="41" t="n">
        <f aca="false">E118</f>
        <v>2.60482498308636</v>
      </c>
      <c r="W212" s="41" t="s">
        <v>352</v>
      </c>
      <c r="X212" s="41" t="n">
        <f aca="false">F118</f>
        <v>0.437365964265029</v>
      </c>
      <c r="Y212" s="41" t="s">
        <v>356</v>
      </c>
      <c r="Z212" s="41" t="n">
        <f aca="false">G118</f>
        <v>0.0313528562647741</v>
      </c>
      <c r="AA212" s="41" t="s">
        <v>352</v>
      </c>
      <c r="AB212" s="41" t="n">
        <f aca="false">I118</f>
        <v>0.0445977397499381</v>
      </c>
      <c r="AC212" s="44" t="s">
        <v>361</v>
      </c>
      <c r="AD212" s="43" t="n">
        <f aca="false">B118</f>
        <v>0.338389260512613</v>
      </c>
      <c r="AE212" s="41" t="s">
        <v>350</v>
      </c>
      <c r="AF212" s="41"/>
      <c r="AG212" s="41"/>
      <c r="AH212" s="41"/>
      <c r="BI212" s="0" t="n">
        <v>1.76937732607614</v>
      </c>
      <c r="BJ212" s="0" t="n">
        <v>40.9822282382523</v>
      </c>
      <c r="BK212" s="0" t="n">
        <v>41.0032839602938</v>
      </c>
      <c r="BL212" s="0" t="n">
        <v>0.0210557220415524</v>
      </c>
      <c r="BM212" s="20" t="n">
        <f aca="false">(BL212)^2</f>
        <v>0.000443343430691114</v>
      </c>
      <c r="BZ212" s="0" t="n">
        <v>1.75461831766389</v>
      </c>
      <c r="CA212" s="0" t="n">
        <v>1.22788670461367</v>
      </c>
      <c r="CB212" s="0" t="n">
        <v>39.4257670549438</v>
      </c>
      <c r="CC212" s="0" t="n">
        <v>39.0217644408478</v>
      </c>
      <c r="CD212" s="0" t="n">
        <v>-0.404002614096051</v>
      </c>
      <c r="CE212" s="20" t="n">
        <f aca="false">(CD212)^2</f>
        <v>0.163218112196442</v>
      </c>
      <c r="CG212" s="0" t="n">
        <v>1.75461831766389</v>
      </c>
      <c r="CH212" s="0" t="n">
        <v>1.22788670461367</v>
      </c>
      <c r="CI212" s="0" t="n">
        <v>40.0024599055554</v>
      </c>
      <c r="CJ212" s="0" t="n">
        <v>39.7989606416723</v>
      </c>
      <c r="CK212" s="0" t="n">
        <v>-0.203499263883053</v>
      </c>
      <c r="CL212" s="20" t="n">
        <f aca="false">(CK212)^2</f>
        <v>0.0414119504009445</v>
      </c>
      <c r="CN212" s="0" t="n">
        <v>1.75461831766389</v>
      </c>
      <c r="CO212" s="0" t="n">
        <v>1.22788670461367</v>
      </c>
      <c r="CP212" s="0" t="n">
        <v>39.7283389520437</v>
      </c>
      <c r="CQ212" s="0" t="n">
        <v>39.4018526150208</v>
      </c>
      <c r="CR212" s="0" t="n">
        <v>-0.326486337022914</v>
      </c>
      <c r="CS212" s="20" t="n">
        <f aca="false">(CR212)^2</f>
        <v>0.10659332826264</v>
      </c>
      <c r="DC212" s="0" t="s">
        <v>130</v>
      </c>
      <c r="DD212" s="0" t="n">
        <f aca="false">$DD$206</f>
        <v>2</v>
      </c>
      <c r="DE212" s="0" t="e">
        <f aca="false">$DC$201</f>
        <v>#VALUE!</v>
      </c>
      <c r="DF212" s="0" t="e">
        <f aca="false">$DC$201 / $DD$212</f>
        <v>#VALUE!</v>
      </c>
      <c r="DG212" s="0" t="e">
        <f aca="false">$DC$200</f>
        <v>#VALUE!</v>
      </c>
      <c r="DH212" s="0" t="e">
        <f aca="false">FDIST($DC$200 , $DD$212 , $DD$200)</f>
        <v>#VALUE!</v>
      </c>
      <c r="DJ212" s="0" t="s">
        <v>130</v>
      </c>
      <c r="DK212" s="0" t="n">
        <f aca="false">$DK$206</f>
        <v>2</v>
      </c>
      <c r="DL212" s="0" t="n">
        <f aca="false">$DJ$201</f>
        <v>1.28567859563301</v>
      </c>
      <c r="DM212" s="0" t="n">
        <f aca="false">$DJ$201 / $DK$212</f>
        <v>0.642839297816507</v>
      </c>
      <c r="DN212" s="0" t="n">
        <f aca="false">$DJ$200</f>
        <v>5.44555739677378</v>
      </c>
      <c r="DO212" s="0" t="n">
        <f aca="false">FDIST($DJ$200 , $DK$212 , $DK$200)</f>
        <v>0.0191467511295521</v>
      </c>
      <c r="DQ212" s="0" t="s">
        <v>130</v>
      </c>
      <c r="DR212" s="0" t="n">
        <f aca="false">$DR$206</f>
        <v>2</v>
      </c>
      <c r="DS212" s="0" t="n">
        <f aca="false">$DQ$201</f>
        <v>0.942900998619785</v>
      </c>
      <c r="DT212" s="0" t="n">
        <f aca="false">$DQ$201 / $DR$212</f>
        <v>0.471450499309893</v>
      </c>
      <c r="DU212" s="0" t="n">
        <f aca="false">$DQ$200</f>
        <v>6.23237088472494</v>
      </c>
      <c r="DV212" s="0" t="n">
        <f aca="false">FDIST($DQ$200 , $DR$212 , $DR$200)</f>
        <v>0.0126481350138854</v>
      </c>
      <c r="DX212" s="0" t="s">
        <v>130</v>
      </c>
      <c r="DY212" s="0" t="n">
        <f aca="false">$DY$206</f>
        <v>2</v>
      </c>
      <c r="DZ212" s="0" t="n">
        <f aca="false">$DX$201</f>
        <v>1.46268674998946</v>
      </c>
      <c r="EA212" s="0" t="n">
        <f aca="false">$DX$201 / $DY$212</f>
        <v>0.731343374994728</v>
      </c>
      <c r="EB212" s="0" t="n">
        <f aca="false">$DX$200</f>
        <v>7.0845914657911</v>
      </c>
      <c r="EC212" s="0" t="n">
        <f aca="false">FDIST($DX$200 , $DY$212 , $DY$200)</f>
        <v>0.00830106918508168</v>
      </c>
    </row>
    <row r="213" customFormat="false" ht="12.8" hidden="false" customHeight="false" outlineLevel="0" collapsed="false">
      <c r="A213" s="0" t="str">
        <f aca="false">A19</f>
        <v>N-MS13-conti = [SC98] 88</v>
      </c>
      <c r="B213" s="42" t="n">
        <f aca="false">BP19</f>
        <v>1.25527250510331</v>
      </c>
      <c r="C213" s="42" t="s">
        <v>241</v>
      </c>
      <c r="D213" s="42" t="n">
        <f aca="false">BN19</f>
        <v>8.02</v>
      </c>
      <c r="E213" s="42" t="s">
        <v>241</v>
      </c>
      <c r="F213" s="42" t="n">
        <f aca="false">BM19</f>
        <v>1.39967372148104</v>
      </c>
      <c r="G213" s="42" t="s">
        <v>241</v>
      </c>
      <c r="H213" s="42"/>
      <c r="I213" s="42" t="n">
        <f aca="false">BJ19</f>
        <v>2.65208067517048</v>
      </c>
      <c r="J213" s="42" t="s">
        <v>241</v>
      </c>
      <c r="K213" s="42" t="n">
        <f aca="false">BL19</f>
        <v>2.04990126579397</v>
      </c>
      <c r="L213" s="42" t="s">
        <v>241</v>
      </c>
      <c r="M213" s="42" t="n">
        <f aca="false">BC19</f>
        <v>0.412583864118896</v>
      </c>
      <c r="N213" s="42" t="s">
        <v>350</v>
      </c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4"/>
      <c r="AD213" s="43"/>
      <c r="AE213" s="41"/>
      <c r="AF213" s="41"/>
      <c r="AG213" s="41"/>
      <c r="AH213" s="41"/>
      <c r="BI213" s="0" t="n">
        <v>1.23044892137827</v>
      </c>
      <c r="BJ213" s="0" t="n">
        <v>39.4708193275905</v>
      </c>
      <c r="BK213" s="0" t="n">
        <v>39.4879266153321</v>
      </c>
      <c r="BL213" s="0" t="n">
        <v>0.017107287741581</v>
      </c>
      <c r="BM213" s="20" t="n">
        <f aca="false">(BL213)^2</f>
        <v>0.000292659293873247</v>
      </c>
      <c r="CE213" s="0" t="n">
        <f aca="false">SQRT(SUM(CE174:CE212)/39)</f>
        <v>0.276509138007338</v>
      </c>
      <c r="CL213" s="0" t="n">
        <f aca="false">SQRT(SUM(CL174:CL212)/39)</f>
        <v>0.348809179770639</v>
      </c>
      <c r="CS213" s="0" t="n">
        <f aca="false">SQRT(SUM(CS174:CS212)/39)</f>
        <v>0.316682380811235</v>
      </c>
      <c r="DC213" s="0" t="s">
        <v>133</v>
      </c>
      <c r="DD213" s="0" t="e">
        <f aca="false">$DD$200</f>
        <v>#VALUE!</v>
      </c>
      <c r="DE213" s="0" t="e">
        <f aca="false">$DD$201</f>
        <v>#VALUE!</v>
      </c>
      <c r="DF213" s="0" t="e">
        <f aca="false">$DD$201 / $DD$200</f>
        <v>#VALUE!</v>
      </c>
      <c r="DJ213" s="0" t="s">
        <v>133</v>
      </c>
      <c r="DK213" s="0" t="n">
        <f aca="false">$DK$200</f>
        <v>13</v>
      </c>
      <c r="DL213" s="0" t="n">
        <f aca="false">$DK$201</f>
        <v>1.53462910455515</v>
      </c>
      <c r="DM213" s="0" t="n">
        <f aca="false">$DK$201 / $DK$200</f>
        <v>0.118048392658088</v>
      </c>
      <c r="DQ213" s="0" t="s">
        <v>133</v>
      </c>
      <c r="DR213" s="0" t="n">
        <f aca="false">$DR$200</f>
        <v>13</v>
      </c>
      <c r="DS213" s="0" t="n">
        <f aca="false">$DR$201</f>
        <v>0.983390848264497</v>
      </c>
      <c r="DT213" s="0" t="n">
        <f aca="false">$DR$201 / $DR$200</f>
        <v>0.0756454498664997</v>
      </c>
      <c r="DX213" s="0" t="s">
        <v>133</v>
      </c>
      <c r="DY213" s="0" t="n">
        <f aca="false">$DY$200</f>
        <v>13</v>
      </c>
      <c r="DZ213" s="0" t="n">
        <f aca="false">$DY$201</f>
        <v>1.3419918312636</v>
      </c>
      <c r="EA213" s="0" t="n">
        <f aca="false">$DY$201 / $DY$200</f>
        <v>0.103230140866431</v>
      </c>
    </row>
    <row r="214" customFormat="false" ht="12.8" hidden="false" customHeight="false" outlineLevel="0" collapsed="false">
      <c r="A214" s="0" t="str">
        <f aca="false">A20</f>
        <v>N-Tol0505-conti</v>
      </c>
      <c r="B214" s="42" t="n">
        <f aca="false">BP20</f>
        <v>1.54406804435028</v>
      </c>
      <c r="C214" s="42" t="s">
        <v>241</v>
      </c>
      <c r="D214" s="42" t="n">
        <f aca="false">BN20</f>
        <v>8.5</v>
      </c>
      <c r="E214" s="42" t="s">
        <v>241</v>
      </c>
      <c r="F214" s="42" t="n">
        <f aca="false">BM20</f>
        <v>1.3384564936046</v>
      </c>
      <c r="G214" s="42" t="s">
        <v>241</v>
      </c>
      <c r="H214" s="42"/>
      <c r="I214" s="42" t="n">
        <f aca="false">BJ20</f>
        <v>3.14327666168951</v>
      </c>
      <c r="J214" s="42" t="s">
        <v>241</v>
      </c>
      <c r="K214" s="42" t="n">
        <f aca="false">BL20</f>
        <v>2.20522175876517</v>
      </c>
      <c r="L214" s="42" t="s">
        <v>241</v>
      </c>
      <c r="M214" s="42" t="n">
        <f aca="false">BC20</f>
        <v>0.433777070063694</v>
      </c>
      <c r="N214" s="42" t="s">
        <v>350</v>
      </c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4"/>
      <c r="AD214" s="43"/>
      <c r="AE214" s="41"/>
      <c r="AF214" s="41"/>
      <c r="AG214" s="41"/>
      <c r="AH214" s="41"/>
      <c r="BI214" s="0" t="n">
        <v>1.24303804868629</v>
      </c>
      <c r="BJ214" s="0" t="n">
        <v>39.5061251660376</v>
      </c>
      <c r="BK214" s="0" t="n">
        <v>39.8907352023789</v>
      </c>
      <c r="BL214" s="0" t="n">
        <v>0.384610036341321</v>
      </c>
      <c r="BM214" s="20" t="n">
        <f aca="false">(BL214)^2</f>
        <v>0.147924880054473</v>
      </c>
      <c r="BS214" s="14"/>
      <c r="BZ214" s="14" t="s">
        <v>362</v>
      </c>
      <c r="CC214" s="13"/>
      <c r="CG214" s="14" t="s">
        <v>363</v>
      </c>
      <c r="CJ214" s="13"/>
      <c r="CK214" s="13"/>
      <c r="CN214" s="14" t="s">
        <v>364</v>
      </c>
      <c r="CU214" s="0" t="s">
        <v>365</v>
      </c>
      <c r="DC214" s="0" t="s">
        <v>136</v>
      </c>
      <c r="DD214" s="0" t="e">
        <f aca="false">$DD$212 + $DD$200</f>
        <v>#VALUE!</v>
      </c>
      <c r="DE214" s="0" t="e">
        <f aca="false">$DC$201 + $DD$201</f>
        <v>#VALUE!</v>
      </c>
      <c r="DJ214" s="0" t="s">
        <v>136</v>
      </c>
      <c r="DK214" s="0" t="n">
        <f aca="false">$DK$212 + $DK$200</f>
        <v>15</v>
      </c>
      <c r="DL214" s="0" t="n">
        <f aca="false">$DJ$201 + $DK$201</f>
        <v>2.82030770018816</v>
      </c>
      <c r="DQ214" s="0" t="s">
        <v>136</v>
      </c>
      <c r="DR214" s="0" t="n">
        <f aca="false">$DR$212 + $DR$200</f>
        <v>15</v>
      </c>
      <c r="DS214" s="0" t="n">
        <f aca="false">$DQ$201 + $DR$201</f>
        <v>1.92629184688428</v>
      </c>
      <c r="DX214" s="0" t="s">
        <v>136</v>
      </c>
      <c r="DY214" s="0" t="n">
        <f aca="false">$DY$212 + $DY$200</f>
        <v>15</v>
      </c>
      <c r="DZ214" s="0" t="n">
        <f aca="false">$DX$201 + $DY$201</f>
        <v>2.80467858125305</v>
      </c>
    </row>
    <row r="215" customFormat="false" ht="12.8" hidden="false" customHeight="false" outlineLevel="0" collapsed="false">
      <c r="A215" s="0" t="str">
        <f aca="false">A21</f>
        <v>N-Tol0528-conti  $</v>
      </c>
      <c r="B215" s="42" t="n">
        <f aca="false">BP21</f>
        <v>1.36172783601759</v>
      </c>
      <c r="C215" s="42" t="s">
        <v>241</v>
      </c>
      <c r="D215" s="42" t="n">
        <f aca="false">BN21</f>
        <v>7.96</v>
      </c>
      <c r="E215" s="42" t="s">
        <v>241</v>
      </c>
      <c r="F215" s="42" t="n">
        <f aca="false">BM21</f>
        <v>1.25527250510331</v>
      </c>
      <c r="G215" s="42" t="s">
        <v>241</v>
      </c>
      <c r="H215" s="42"/>
      <c r="I215" s="42" t="n">
        <f aca="false">BJ21</f>
        <v>2.72075204192537</v>
      </c>
      <c r="J215" s="42" t="s">
        <v>241</v>
      </c>
      <c r="K215" s="42" t="n">
        <f aca="false">BL21</f>
        <v>1.96796675188098</v>
      </c>
      <c r="L215" s="42" t="s">
        <v>241</v>
      </c>
      <c r="M215" s="42" t="n">
        <f aca="false">BC21</f>
        <v>0.37464118895966</v>
      </c>
      <c r="N215" s="42" t="s">
        <v>350</v>
      </c>
      <c r="P215" s="41" t="s">
        <v>366</v>
      </c>
      <c r="Q215" s="41"/>
      <c r="R215" s="41" t="n">
        <f aca="false">C121</f>
        <v>35.7332799820453</v>
      </c>
      <c r="S215" s="41" t="s">
        <v>352</v>
      </c>
      <c r="T215" s="41" t="n">
        <f aca="false">D121</f>
        <v>0.596163117880086</v>
      </c>
      <c r="U215" s="41" t="s">
        <v>353</v>
      </c>
      <c r="V215" s="41" t="n">
        <f aca="false">E121</f>
        <v>2.86323275530589</v>
      </c>
      <c r="W215" s="41" t="s">
        <v>352</v>
      </c>
      <c r="X215" s="41" t="n">
        <f aca="false">F121</f>
        <v>0.389824320497522</v>
      </c>
      <c r="Y215" s="41" t="s">
        <v>356</v>
      </c>
      <c r="Z215" s="41" t="n">
        <f aca="false">G121</f>
        <v>0.126496308380099</v>
      </c>
      <c r="AA215" s="41" t="s">
        <v>352</v>
      </c>
      <c r="AB215" s="41" t="n">
        <f aca="false">I121</f>
        <v>0.121266134223776</v>
      </c>
      <c r="AC215" s="44" t="s">
        <v>367</v>
      </c>
      <c r="AD215" s="43" t="n">
        <f aca="false">B121</f>
        <v>0.306608254498952</v>
      </c>
      <c r="AE215" s="41" t="s">
        <v>350</v>
      </c>
      <c r="AF215" s="41"/>
      <c r="AG215" s="41"/>
      <c r="AH215" s="41"/>
      <c r="BI215" s="0" t="n">
        <v>1.3096301674259</v>
      </c>
      <c r="BJ215" s="0" t="n">
        <v>39.6928808106938</v>
      </c>
      <c r="BK215" s="0" t="n">
        <v>39.8855611883631</v>
      </c>
      <c r="BL215" s="0" t="n">
        <v>0.192680377669319</v>
      </c>
      <c r="BM215" s="20" t="n">
        <f aca="false">(BL215)^2</f>
        <v>0.0371257279387914</v>
      </c>
      <c r="BZ215" s="0" t="s">
        <v>78</v>
      </c>
      <c r="CA215" s="0" t="s">
        <v>79</v>
      </c>
      <c r="CG215" s="0" t="s">
        <v>78</v>
      </c>
      <c r="CH215" s="0" t="s">
        <v>79</v>
      </c>
      <c r="CN215" s="0" t="s">
        <v>78</v>
      </c>
      <c r="CO215" s="0" t="s">
        <v>79</v>
      </c>
      <c r="CU215" s="0" t="s">
        <v>78</v>
      </c>
      <c r="CV215" s="0" t="s">
        <v>79</v>
      </c>
    </row>
    <row r="216" customFormat="false" ht="12.8" hidden="false" customHeight="false" outlineLevel="0" collapsed="false">
      <c r="A216" s="0" t="str">
        <f aca="false">A22</f>
        <v>N-Tol0610-conti</v>
      </c>
      <c r="B216" s="42" t="n">
        <f aca="false">BP22</f>
        <v>1</v>
      </c>
      <c r="C216" s="42" t="s">
        <v>241</v>
      </c>
      <c r="D216" s="42" t="n">
        <f aca="false">BN22</f>
        <v>8.56</v>
      </c>
      <c r="E216" s="42" t="s">
        <v>241</v>
      </c>
      <c r="F216" s="42" t="n">
        <f aca="false">BM22</f>
        <v>1.22010808804006</v>
      </c>
      <c r="G216" s="42" t="s">
        <v>241</v>
      </c>
      <c r="H216" s="42"/>
      <c r="I216" s="42" t="n">
        <f aca="false">BJ22</f>
        <v>2.48769573000203</v>
      </c>
      <c r="J216" s="42" t="s">
        <v>241</v>
      </c>
      <c r="K216" s="42" t="n">
        <f aca="false">BL22</f>
        <v>1.83307698166838</v>
      </c>
      <c r="L216" s="42" t="s">
        <v>241</v>
      </c>
      <c r="M216" s="42" t="n">
        <f aca="false">BC22</f>
        <v>0.459003821656051</v>
      </c>
      <c r="N216" s="42" t="s">
        <v>350</v>
      </c>
      <c r="P216" s="41" t="s">
        <v>366</v>
      </c>
      <c r="Q216" s="41"/>
      <c r="R216" s="41" t="n">
        <f aca="false">C122</f>
        <v>37.1455248117655</v>
      </c>
      <c r="S216" s="41" t="s">
        <v>352</v>
      </c>
      <c r="T216" s="41" t="n">
        <f aca="false">D122</f>
        <v>0.689032973444591</v>
      </c>
      <c r="U216" s="41" t="s">
        <v>353</v>
      </c>
      <c r="V216" s="41" t="n">
        <f aca="false">E122</f>
        <v>2.24115085467981</v>
      </c>
      <c r="W216" s="41" t="s">
        <v>352</v>
      </c>
      <c r="X216" s="41" t="n">
        <f aca="false">F122</f>
        <v>0.450550868743028</v>
      </c>
      <c r="Y216" s="41" t="s">
        <v>356</v>
      </c>
      <c r="Z216" s="41" t="n">
        <f aca="false">G122</f>
        <v>0.0751543333169943</v>
      </c>
      <c r="AA216" s="41" t="s">
        <v>352</v>
      </c>
      <c r="AB216" s="41" t="n">
        <f aca="false">I122</f>
        <v>0.14015688414181</v>
      </c>
      <c r="AC216" s="44" t="s">
        <v>367</v>
      </c>
      <c r="AD216" s="43" t="n">
        <f aca="false">B122</f>
        <v>0.354371464694605</v>
      </c>
      <c r="AE216" s="41" t="s">
        <v>350</v>
      </c>
      <c r="AF216" s="41"/>
      <c r="AG216" s="41"/>
      <c r="AH216" s="41"/>
      <c r="BI216" s="0" t="n">
        <v>1.54900326202579</v>
      </c>
      <c r="BJ216" s="0" t="n">
        <v>40.3641956365541</v>
      </c>
      <c r="BK216" s="0" t="n">
        <v>40.8602418490241</v>
      </c>
      <c r="BL216" s="0" t="n">
        <v>0.496046212469963</v>
      </c>
      <c r="BM216" s="20" t="n">
        <f aca="false">(BL216)^2</f>
        <v>0.246061844905796</v>
      </c>
      <c r="DC216" s="0" t="s">
        <v>141</v>
      </c>
      <c r="DD216" s="0" t="n">
        <v>0.95</v>
      </c>
      <c r="DJ216" s="0" t="s">
        <v>141</v>
      </c>
      <c r="DK216" s="0" t="n">
        <v>0.95</v>
      </c>
      <c r="DQ216" s="0" t="s">
        <v>141</v>
      </c>
      <c r="DR216" s="0" t="n">
        <v>0.95</v>
      </c>
      <c r="DX216" s="0" t="s">
        <v>141</v>
      </c>
      <c r="DY216" s="0" t="n">
        <v>0.95</v>
      </c>
    </row>
    <row r="217" customFormat="false" ht="12.8" hidden="false" customHeight="false" outlineLevel="0" collapsed="false">
      <c r="A217" s="0" t="str">
        <f aca="false">A23</f>
        <v>N-Tol0633-conti  &amp;</v>
      </c>
      <c r="B217" s="42" t="n">
        <f aca="false">BP23</f>
        <v>1.74036268949424</v>
      </c>
      <c r="C217" s="42" t="s">
        <v>241</v>
      </c>
      <c r="D217" s="42" t="n">
        <f aca="false">BN23</f>
        <v>8.14</v>
      </c>
      <c r="E217" s="42" t="s">
        <v>241</v>
      </c>
      <c r="F217" s="42" t="n">
        <f aca="false">BM23</f>
        <v>1.50514997831991</v>
      </c>
      <c r="G217" s="42" t="s">
        <v>241</v>
      </c>
      <c r="H217" s="42"/>
      <c r="I217" s="42" t="n">
        <f aca="false">BJ23</f>
        <v>2.80181789701222</v>
      </c>
      <c r="J217" s="42" t="s">
        <v>241</v>
      </c>
      <c r="K217" s="42" t="n">
        <f aca="false">BL23</f>
        <v>2.24498078176473</v>
      </c>
      <c r="L217" s="42" t="s">
        <v>241</v>
      </c>
      <c r="M217" s="42" t="n">
        <f aca="false">BC23</f>
        <v>0.633897145553197</v>
      </c>
      <c r="N217" s="42" t="s">
        <v>350</v>
      </c>
      <c r="P217" s="41" t="s">
        <v>366</v>
      </c>
      <c r="Q217" s="41"/>
      <c r="R217" s="41" t="n">
        <f aca="false">C123</f>
        <v>36.2571756139432</v>
      </c>
      <c r="S217" s="41" t="s">
        <v>352</v>
      </c>
      <c r="T217" s="41" t="n">
        <f aca="false">D123</f>
        <v>0.657668335381559</v>
      </c>
      <c r="U217" s="41" t="s">
        <v>353</v>
      </c>
      <c r="V217" s="41" t="n">
        <f aca="false">E123</f>
        <v>2.72036854247562</v>
      </c>
      <c r="W217" s="41" t="s">
        <v>352</v>
      </c>
      <c r="X217" s="41" t="n">
        <f aca="false">F123</f>
        <v>0.430041886630801</v>
      </c>
      <c r="Y217" s="41" t="s">
        <v>356</v>
      </c>
      <c r="Z217" s="41" t="n">
        <f aca="false">G123</f>
        <v>0.0969718907626339</v>
      </c>
      <c r="AA217" s="41" t="s">
        <v>352</v>
      </c>
      <c r="AB217" s="41" t="n">
        <f aca="false">I123</f>
        <v>0.133776971840699</v>
      </c>
      <c r="AC217" s="44" t="s">
        <v>367</v>
      </c>
      <c r="AD217" s="43" t="n">
        <f aca="false">B123</f>
        <v>0.338240549109464</v>
      </c>
      <c r="AE217" s="41" t="s">
        <v>350</v>
      </c>
      <c r="AF217" s="41"/>
      <c r="AG217" s="41"/>
      <c r="AH217" s="41"/>
      <c r="BI217" s="0" t="n">
        <v>1.38021124171161</v>
      </c>
      <c r="BJ217" s="0" t="n">
        <v>39.8908233642307</v>
      </c>
      <c r="BK217" s="0" t="n">
        <v>39.5307026003539</v>
      </c>
      <c r="BL217" s="0" t="n">
        <v>-0.36012076387685</v>
      </c>
      <c r="BM217" s="20" t="n">
        <f aca="false">(BL217)^2</f>
        <v>0.129686964575246</v>
      </c>
      <c r="BZ217" s="0" t="s">
        <v>84</v>
      </c>
      <c r="CG217" s="0" t="s">
        <v>84</v>
      </c>
      <c r="CN217" s="0" t="s">
        <v>84</v>
      </c>
      <c r="CU217" s="0" t="s">
        <v>84</v>
      </c>
    </row>
    <row r="218" customFormat="false" ht="12.8" hidden="false" customHeight="false" outlineLevel="0" collapsed="false">
      <c r="A218" s="0" t="str">
        <f aca="false">A24</f>
        <v>N-Tol0645-conti &amp;</v>
      </c>
      <c r="B218" s="42" t="n">
        <f aca="false">BP24</f>
        <v>1.46239799789896</v>
      </c>
      <c r="C218" s="42" t="s">
        <v>241</v>
      </c>
      <c r="D218" s="42" t="n">
        <f aca="false">BN24</f>
        <v>7.77</v>
      </c>
      <c r="E218" s="42" t="s">
        <v>241</v>
      </c>
      <c r="F218" s="42" t="n">
        <f aca="false">BM24</f>
        <v>1.45788189673399</v>
      </c>
      <c r="G218" s="42" t="s">
        <v>241</v>
      </c>
      <c r="H218" s="42"/>
      <c r="I218" s="42" t="n">
        <f aca="false">BJ24</f>
        <v>3.10471867515012</v>
      </c>
      <c r="J218" s="42" t="s">
        <v>241</v>
      </c>
      <c r="K218" s="42" t="n">
        <f aca="false">BL24</f>
        <v>2.15959850059392</v>
      </c>
      <c r="L218" s="42" t="s">
        <v>241</v>
      </c>
      <c r="M218" s="42" t="n">
        <f aca="false">BC24</f>
        <v>0.652032908704883</v>
      </c>
      <c r="N218" s="42" t="s">
        <v>350</v>
      </c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4"/>
      <c r="AD218" s="41"/>
      <c r="AE218" s="41"/>
      <c r="AF218" s="41"/>
      <c r="AG218" s="41"/>
      <c r="AH218" s="41"/>
      <c r="BI218" s="0" t="n">
        <v>1.41161970596323</v>
      </c>
      <c r="BJ218" s="0" t="n">
        <v>39.9789074813904</v>
      </c>
      <c r="BK218" s="0" t="n">
        <v>39.4259659076773</v>
      </c>
      <c r="BL218" s="0" t="n">
        <v>-0.552941573713149</v>
      </c>
      <c r="BM218" s="20" t="n">
        <f aca="false">(BL218)^2</f>
        <v>0.305744383940373</v>
      </c>
      <c r="BZ218" s="0" t="n">
        <f aca="false" t="array" ref="BZ218:CB222">LINEST($BG$95:$BG$132 , $BO$53:$BP$90 , 1 , 1)</f>
        <v>2.76712445313536</v>
      </c>
      <c r="CA218" s="0" t="n">
        <v>0.0166094581361699</v>
      </c>
      <c r="CB218" s="0" t="n">
        <v>35.9403189107826</v>
      </c>
      <c r="CG218" s="0" t="n">
        <f aca="false" t="array" ref="CG218:CI222">LINEST($BH$95:$BH$132 , $BO$53:$BP$90 , 1 , 1)</f>
        <v>2.1496677967723</v>
      </c>
      <c r="CH218" s="0" t="n">
        <v>0.0251596097844438</v>
      </c>
      <c r="CI218" s="0" t="n">
        <v>37.1951161570463</v>
      </c>
      <c r="CN218" s="0" t="n">
        <f aca="false" t="array" ref="CN218:CP222">LINEST($BI$95:$BI$132 , $BO$53:$BP$90 , 1 , 1)</f>
        <v>2.60482498308636</v>
      </c>
      <c r="CO218" s="0" t="n">
        <v>0.0313528562647741</v>
      </c>
      <c r="CP218" s="0" t="n">
        <v>36.326495870113</v>
      </c>
      <c r="CU218" s="0" t="n">
        <f aca="false" t="array" ref="CU218:CV222">LINEST($BN$95:$BN$132 , $BM$95:$BM$132 , 1 , 1)</f>
        <v>0.100570138130399</v>
      </c>
      <c r="CV218" s="0" t="n">
        <v>1.18125332154873</v>
      </c>
      <c r="DD218" s="0" t="s">
        <v>146</v>
      </c>
      <c r="DE218" s="0" t="s">
        <v>106</v>
      </c>
      <c r="DF218" s="0" t="s">
        <v>147</v>
      </c>
      <c r="DG218" s="0" t="s">
        <v>148</v>
      </c>
      <c r="DH218" s="0" t="str">
        <f aca="false">_xlfn.CONCAT("Lower " , INT($DD$216 * 100) , "%")</f>
        <v>Lower 95%</v>
      </c>
      <c r="DI218" s="0" t="str">
        <f aca="false">_xlfn.CONCAT("Upper " , INT($DD$216 * 100) , "%")</f>
        <v>Upper 95%</v>
      </c>
      <c r="DK218" s="0" t="s">
        <v>146</v>
      </c>
      <c r="DL218" s="0" t="s">
        <v>106</v>
      </c>
      <c r="DM218" s="0" t="s">
        <v>147</v>
      </c>
      <c r="DN218" s="0" t="s">
        <v>148</v>
      </c>
      <c r="DO218" s="0" t="str">
        <f aca="false">_xlfn.CONCAT("Lower " , INT($DK$216 * 100) , "%")</f>
        <v>Lower 95%</v>
      </c>
      <c r="DP218" s="0" t="str">
        <f aca="false">_xlfn.CONCAT("Upper " , INT($DK$216 * 100) , "%")</f>
        <v>Upper 95%</v>
      </c>
      <c r="DR218" s="0" t="s">
        <v>146</v>
      </c>
      <c r="DS218" s="0" t="s">
        <v>106</v>
      </c>
      <c r="DT218" s="0" t="s">
        <v>147</v>
      </c>
      <c r="DU218" s="0" t="s">
        <v>148</v>
      </c>
      <c r="DV218" s="0" t="str">
        <f aca="false">_xlfn.CONCAT("Lower " , INT($DR$216 * 100) , "%")</f>
        <v>Lower 95%</v>
      </c>
      <c r="DW218" s="0" t="str">
        <f aca="false">_xlfn.CONCAT("Upper " , INT($DR$216 * 100) , "%")</f>
        <v>Upper 95%</v>
      </c>
      <c r="DY218" s="0" t="s">
        <v>146</v>
      </c>
      <c r="DZ218" s="0" t="s">
        <v>106</v>
      </c>
      <c r="EA218" s="0" t="s">
        <v>147</v>
      </c>
      <c r="EB218" s="0" t="s">
        <v>148</v>
      </c>
      <c r="EC218" s="0" t="str">
        <f aca="false">_xlfn.CONCAT("Lower " , INT($DY$216 * 100) , "%")</f>
        <v>Lower 95%</v>
      </c>
      <c r="ED218" s="0" t="str">
        <f aca="false">_xlfn.CONCAT("Upper " , INT($DY$216 * 100) , "%")</f>
        <v>Upper 95%</v>
      </c>
    </row>
    <row r="219" customFormat="false" ht="12.8" hidden="false" customHeight="false" outlineLevel="0" collapsed="false">
      <c r="A219" s="0" t="str">
        <f aca="false">A25</f>
        <v>N-Tol0957-conti</v>
      </c>
      <c r="B219" s="42" t="n">
        <f aca="false">BP25</f>
        <v>1.55630250076729</v>
      </c>
      <c r="C219" s="42" t="s">
        <v>241</v>
      </c>
      <c r="D219" s="42" t="n">
        <f aca="false">BN25</f>
        <v>8.02</v>
      </c>
      <c r="E219" s="42" t="s">
        <v>241</v>
      </c>
      <c r="F219" s="42" t="n">
        <f aca="false">BM25</f>
        <v>1.39269695325967</v>
      </c>
      <c r="G219" s="42" t="s">
        <v>241</v>
      </c>
      <c r="H219" s="42"/>
      <c r="I219" s="42" t="n">
        <f aca="false">BJ25</f>
        <v>2.70767614445813</v>
      </c>
      <c r="J219" s="42" t="s">
        <v>241</v>
      </c>
      <c r="K219" s="42" t="n">
        <f aca="false">BL25</f>
        <v>1.62445521813276</v>
      </c>
      <c r="L219" s="42" t="s">
        <v>241</v>
      </c>
      <c r="M219" s="42" t="n">
        <f aca="false">BC25</f>
        <v>0.378591177164426</v>
      </c>
      <c r="N219" s="42" t="s">
        <v>350</v>
      </c>
      <c r="P219" s="41" t="s">
        <v>368</v>
      </c>
      <c r="Q219" s="41"/>
      <c r="R219" s="41" t="n">
        <f aca="false">C125</f>
        <v>34.5378271964684</v>
      </c>
      <c r="S219" s="41" t="s">
        <v>352</v>
      </c>
      <c r="T219" s="41" t="n">
        <f aca="false">D125</f>
        <v>0.7483009085689</v>
      </c>
      <c r="U219" s="41" t="s">
        <v>353</v>
      </c>
      <c r="V219" s="41" t="n">
        <f aca="false">E125</f>
        <v>2.98272881594503</v>
      </c>
      <c r="W219" s="41" t="s">
        <v>352</v>
      </c>
      <c r="X219" s="41" t="n">
        <f aca="false">F125</f>
        <v>0.369016865277815</v>
      </c>
      <c r="Y219" s="41" t="s">
        <v>356</v>
      </c>
      <c r="Z219" s="41" t="n">
        <f aca="false">G125</f>
        <v>0.108540655952837</v>
      </c>
      <c r="AA219" s="41" t="s">
        <v>352</v>
      </c>
      <c r="AB219" s="41" t="n">
        <f aca="false">I125</f>
        <v>0.0451469467202428</v>
      </c>
      <c r="AC219" s="44" t="s">
        <v>369</v>
      </c>
      <c r="AD219" s="41" t="n">
        <f aca="false">J125</f>
        <v>0.234463384101598</v>
      </c>
      <c r="AE219" s="41" t="s">
        <v>352</v>
      </c>
      <c r="AF219" s="41" t="n">
        <f aca="false">K125</f>
        <v>0.122291507398216</v>
      </c>
      <c r="AG219" s="44" t="s">
        <v>367</v>
      </c>
      <c r="AH219" s="43" t="n">
        <f aca="false">B125</f>
        <v>0.283459418445854</v>
      </c>
      <c r="AI219" s="0" t="s">
        <v>350</v>
      </c>
      <c r="BI219" s="0" t="n">
        <v>1.24797326636181</v>
      </c>
      <c r="BJ219" s="0" t="n">
        <v>39.5199658393178</v>
      </c>
      <c r="BK219" s="0" t="n">
        <v>39.3876198532141</v>
      </c>
      <c r="BL219" s="0" t="n">
        <v>-0.132345986103665</v>
      </c>
      <c r="BM219" s="20" t="n">
        <f aca="false">(BL219)^2</f>
        <v>0.0175154600377516</v>
      </c>
      <c r="BZ219" s="0" t="n">
        <v>0.401459180881795</v>
      </c>
      <c r="CA219" s="0" t="n">
        <v>0.0409363634394292</v>
      </c>
      <c r="CB219" s="0" t="n">
        <v>0.570791336739758</v>
      </c>
      <c r="CG219" s="0" t="n">
        <v>0.458005371981016</v>
      </c>
      <c r="CH219" s="0" t="n">
        <v>0.0467023180873431</v>
      </c>
      <c r="CI219" s="0" t="n">
        <v>0.651188242682157</v>
      </c>
      <c r="CN219" s="0" t="n">
        <v>0.437365964265029</v>
      </c>
      <c r="CO219" s="0" t="n">
        <v>0.0445977397499381</v>
      </c>
      <c r="CP219" s="0" t="n">
        <v>0.621843303817268</v>
      </c>
      <c r="CU219" s="0" t="n">
        <v>0.0354058025460548</v>
      </c>
      <c r="CV219" s="0" t="n">
        <v>0.282248443132705</v>
      </c>
      <c r="DC219" s="0" t="str">
        <f aca="false">"Intercept"</f>
        <v>Intercept</v>
      </c>
      <c r="DD219" s="0" t="e">
        <f aca="false" t="array" ref="DD219:DD219">INDEX($DC$197:$DE$197, 1 , 222 - ROW())</f>
        <v>#VALUE!</v>
      </c>
      <c r="DE219" s="0" t="e">
        <f aca="false" t="array" ref="DE219:DE219">INDEX($DC$198:$DE$198, 1 , 222 - ROW())</f>
        <v>#VALUE!</v>
      </c>
      <c r="DF219" s="0" t="e">
        <f aca="false" t="array" ref="DF219:DF221">$DD$219:$DD$221 / $DE$219:$DE$221</f>
        <v>#VALUE!</v>
      </c>
      <c r="DG219" s="0" t="e">
        <f aca="false" t="array" ref="DG219:DG221">TDIST(ABS($DF$219:$DF$221) , $DD$200 , 2 )</f>
        <v>#VALUE!</v>
      </c>
      <c r="DH219" s="0" t="e">
        <f aca="false" t="array" ref="DH219:DH221">$DD$219:$DD$221 - $DE$219:$DE$221 * TINV(1 - $DD$216 , $DD$200)</f>
        <v>#VALUE!</v>
      </c>
      <c r="DI219" s="0" t="e">
        <f aca="false" t="array" ref="DI219:DI221">$DD$219:$DD$221 + $DE$219:$DE$221 * TINV(1 - $DD$216 , $DD$200)</f>
        <v>#VALUE!</v>
      </c>
      <c r="DJ219" s="0" t="str">
        <f aca="false">"Intercept"</f>
        <v>Intercept</v>
      </c>
      <c r="DK219" s="0" t="n">
        <f aca="false" t="array" ref="DK219:DK219">INDEX($DJ$197:$DL$197, 1 , 222 - ROW())</f>
        <v>36.7322951643822</v>
      </c>
      <c r="DL219" s="0" t="n">
        <f aca="false" t="array" ref="DL219:DL219">INDEX($DJ$198:$DL$198, 1 , 222 - ROW())</f>
        <v>0.983876902664754</v>
      </c>
      <c r="DM219" s="0" t="n">
        <f aca="false" t="array" ref="DM219:DM221">$DK$219:$DK$221 / $DL$219:$DL$221</f>
        <v>37.3342387293528</v>
      </c>
      <c r="DN219" s="0" t="n">
        <f aca="false" t="array" ref="DN219:DN221">TDIST(ABS($DM$219:$DM$221) , $DK$200 , 2 )</f>
        <v>1.3043716339777E-014</v>
      </c>
      <c r="DO219" s="0" t="n">
        <f aca="false" t="array" ref="DO219:DO221">$DK$219:$DK$221 - $DL$219:$DL$221 * TINV(1 - $DK$216 , $DK$200)</f>
        <v>34.6067583420476</v>
      </c>
      <c r="DP219" s="0" t="n">
        <f aca="false" t="array" ref="DP219:DP221">$DK$219:$DK$221 + $DL$219:$DL$221 * TINV(1 - $DK$216 , $DK$200)</f>
        <v>38.8578319867168</v>
      </c>
      <c r="DQ219" s="0" t="str">
        <f aca="false">"Intercept"</f>
        <v>Intercept</v>
      </c>
      <c r="DR219" s="0" t="n">
        <f aca="false" t="array" ref="DR219:DR219">INDEX($DQ$197:$DS$197, 1 , 222 - ROW())</f>
        <v>37.6976092758441</v>
      </c>
      <c r="DS219" s="0" t="n">
        <f aca="false" t="array" ref="DS219:DS219">INDEX($DQ$198:$DS$198, 1 , 222 - ROW())</f>
        <v>0.787593514406646</v>
      </c>
      <c r="DT219" s="0" t="n">
        <f aca="false" t="array" ref="DT219:DT221">$DR$219:$DR$221 / $DS$219:$DS$221</f>
        <v>47.8642962216932</v>
      </c>
      <c r="DU219" s="0" t="n">
        <f aca="false" t="array" ref="DU219:DU221">TDIST(ABS($DT$219:$DT$221) , $DR$200 , 2 )</f>
        <v>5.27468099300516E-016</v>
      </c>
      <c r="DV219" s="0" t="n">
        <f aca="false" t="array" ref="DV219:DV221">$DR$219:$DR$221 - $DS$219:$DS$221 * TINV(1 - $DR$216 , $DR$200)</f>
        <v>35.9961169332866</v>
      </c>
      <c r="DW219" s="0" t="n">
        <f aca="false" t="array" ref="DW219:DW221">$DR$219:$DR$221 + $DS$219:$DS$221 * TINV(1 - $DR$216 , $DR$200)</f>
        <v>39.3991016184016</v>
      </c>
      <c r="DX219" s="0" t="str">
        <f aca="false">"Intercept"</f>
        <v>Intercept</v>
      </c>
      <c r="DY219" s="0" t="n">
        <f aca="false" t="array" ref="DY219:DY219">INDEX($DX$197:$DZ$197, 1 , 222 - ROW())</f>
        <v>36.7619861016769</v>
      </c>
      <c r="DZ219" s="0" t="n">
        <f aca="false" t="array" ref="DZ219:DZ219">INDEX($DX$198:$DZ$198, 1 , 222 - ROW())</f>
        <v>0.920055415996491</v>
      </c>
      <c r="EA219" s="0" t="n">
        <f aca="false" t="array" ref="EA219:EA221">$DY$219:$DY$221 / $DZ$219:$DZ$221</f>
        <v>39.9562737879878</v>
      </c>
      <c r="EB219" s="0" t="n">
        <f aca="false" t="array" ref="EB219:EB221">TDIST(ABS($EA$219:$EA$221) , $DY$200 , 2 )</f>
        <v>5.43605710992585E-015</v>
      </c>
      <c r="EC219" s="0" t="n">
        <f aca="false" t="array" ref="EC219:EC221">$DY$219:$DY$221 - $DZ$219:$DZ$221 * TINV(1 - $DY$216 , $DY$200)</f>
        <v>34.7743272187492</v>
      </c>
      <c r="ED219" s="0" t="n">
        <f aca="false" t="array" ref="ED219:ED221">$DY$219:$DY$221 + $DZ$219:$DZ$221 * TINV(1 - $DY$216 , $DY$200)</f>
        <v>38.7496449846045</v>
      </c>
    </row>
    <row r="220" customFormat="false" ht="12.8" hidden="false" customHeight="false" outlineLevel="0" collapsed="false">
      <c r="A220" s="0" t="str">
        <f aca="false">A26</f>
        <v>N-Tol1004-conti Ha</v>
      </c>
      <c r="B220" s="42" t="n">
        <f aca="false">BP26</f>
        <v>1.49136169383427</v>
      </c>
      <c r="C220" s="42" t="s">
        <v>241</v>
      </c>
      <c r="D220" s="42" t="n">
        <f aca="false">BN26</f>
        <v>8.28</v>
      </c>
      <c r="E220" s="42" t="s">
        <v>241</v>
      </c>
      <c r="F220" s="42" t="n">
        <f aca="false">BM26</f>
        <v>1.50379068305718</v>
      </c>
      <c r="G220" s="42" t="s">
        <v>241</v>
      </c>
      <c r="H220" s="42"/>
      <c r="I220" s="42" t="n">
        <f aca="false">BJ26</f>
        <v>2.82411303198074</v>
      </c>
      <c r="J220" s="42" t="s">
        <v>241</v>
      </c>
      <c r="K220" s="42" t="n">
        <f aca="false">BL26</f>
        <v>1.8596134656703</v>
      </c>
      <c r="L220" s="42" t="s">
        <v>241</v>
      </c>
      <c r="M220" s="42" t="n">
        <f aca="false">BC26</f>
        <v>0.322136730360934</v>
      </c>
      <c r="N220" s="42" t="s">
        <v>350</v>
      </c>
      <c r="P220" s="41" t="s">
        <v>368</v>
      </c>
      <c r="Q220" s="41"/>
      <c r="R220" s="41" t="n">
        <f aca="false">C126</f>
        <v>36.3997311387295</v>
      </c>
      <c r="S220" s="41" t="s">
        <v>352</v>
      </c>
      <c r="T220" s="41" t="n">
        <f aca="false">D126</f>
        <v>0.915484996680457</v>
      </c>
      <c r="U220" s="41" t="s">
        <v>353</v>
      </c>
      <c r="V220" s="41" t="n">
        <f aca="false">E126</f>
        <v>2.31569951695457</v>
      </c>
      <c r="W220" s="41" t="s">
        <v>352</v>
      </c>
      <c r="X220" s="41" t="n">
        <f aca="false">F126</f>
        <v>0.451461971802199</v>
      </c>
      <c r="Y220" s="41" t="s">
        <v>356</v>
      </c>
      <c r="Z220" s="41" t="n">
        <f aca="false">G126</f>
        <v>0.0677140372697708</v>
      </c>
      <c r="AA220" s="41" t="s">
        <v>352</v>
      </c>
      <c r="AB220" s="41" t="n">
        <f aca="false">I126</f>
        <v>0.0552335990709393</v>
      </c>
      <c r="AC220" s="44" t="s">
        <v>369</v>
      </c>
      <c r="AD220" s="41" t="n">
        <f aca="false">J126</f>
        <v>0.142510537544196</v>
      </c>
      <c r="AE220" s="41" t="s">
        <v>352</v>
      </c>
      <c r="AF220" s="41" t="n">
        <f aca="false">K126</f>
        <v>0.149613663383913</v>
      </c>
      <c r="AG220" s="44" t="s">
        <v>367</v>
      </c>
      <c r="AH220" s="43" t="n">
        <f aca="false">B126</f>
        <v>0.346789428936065</v>
      </c>
      <c r="AI220" s="0" t="s">
        <v>350</v>
      </c>
      <c r="BI220" s="0" t="n">
        <v>1.3541084391474</v>
      </c>
      <c r="BJ220" s="0" t="n">
        <v>39.8176188197219</v>
      </c>
      <c r="BK220" s="0" t="n">
        <v>39.7992940202333</v>
      </c>
      <c r="BL220" s="0" t="n">
        <v>-0.018324799488596</v>
      </c>
      <c r="BM220" s="20" t="n">
        <f aca="false">(BL220)^2</f>
        <v>0.000335798276297248</v>
      </c>
      <c r="BZ220" s="0" t="n">
        <v>0.596179452936908</v>
      </c>
      <c r="CA220" s="0" t="n">
        <v>0.323646383390266</v>
      </c>
      <c r="CB220" s="0" t="e">
        <v>#N/A</v>
      </c>
      <c r="CG220" s="0" t="n">
        <v>0.414536968848539</v>
      </c>
      <c r="CH220" s="0" t="n">
        <v>0.369232512977737</v>
      </c>
      <c r="CI220" s="0" t="e">
        <v>#N/A</v>
      </c>
      <c r="CN220" s="0" t="n">
        <v>0.533250282468875</v>
      </c>
      <c r="CO220" s="0" t="n">
        <v>0.352593537010308</v>
      </c>
      <c r="CP220" s="0" t="e">
        <v>#N/A</v>
      </c>
      <c r="CU220" s="0" t="n">
        <v>0.183088723736057</v>
      </c>
      <c r="CV220" s="0" t="n">
        <v>0.253358196112374</v>
      </c>
      <c r="DC220" s="24" t="str">
        <f aca="false">$BM$137</f>
        <v>Log(σH) 2011</v>
      </c>
      <c r="DD220" s="0" t="n">
        <v>36.7338110279871</v>
      </c>
      <c r="DE220" s="0" t="n">
        <v>0.983876902664742</v>
      </c>
      <c r="DF220" s="0" t="n">
        <v>37.3357794338874</v>
      </c>
      <c r="DG220" s="0" t="e">
        <v>#VALUE!</v>
      </c>
      <c r="DH220" s="0" t="e">
        <v>#VALUE!</v>
      </c>
      <c r="DI220" s="0" t="e">
        <v>#VALUE!</v>
      </c>
      <c r="DJ220" s="24" t="str">
        <f aca="false">$BM$137</f>
        <v>Log(σH) 2011</v>
      </c>
      <c r="DK220" s="0" t="n">
        <v>36.6919345531664</v>
      </c>
      <c r="DL220" s="0" t="n">
        <v>0.976260534145772</v>
      </c>
      <c r="DM220" s="0" t="n">
        <v>37.5841624953854</v>
      </c>
      <c r="DN220" s="0" t="n">
        <v>1.19689376012024E-014</v>
      </c>
      <c r="DO220" s="0" t="n">
        <v>34.5828518946562</v>
      </c>
      <c r="DP220" s="0" t="n">
        <v>38.8010172116765</v>
      </c>
      <c r="DQ220" s="24" t="str">
        <f aca="false">$BM$137</f>
        <v>Log(σH) 2011</v>
      </c>
      <c r="DR220" s="0" t="n">
        <v>37.6976092758441</v>
      </c>
      <c r="DS220" s="0" t="n">
        <v>0.787593514406646</v>
      </c>
      <c r="DT220" s="0" t="n">
        <v>47.8642962216932</v>
      </c>
      <c r="DU220" s="0" t="n">
        <v>5.27468099300512E-016</v>
      </c>
      <c r="DV220" s="0" t="n">
        <v>35.9961169332866</v>
      </c>
      <c r="DW220" s="0" t="n">
        <v>39.3991016184016</v>
      </c>
      <c r="DX220" s="24" t="str">
        <f aca="false">$BM$137</f>
        <v>Log(σH) 2011</v>
      </c>
      <c r="DY220" s="0" t="n">
        <v>36.7619861016769</v>
      </c>
      <c r="DZ220" s="0" t="n">
        <v>0.920055415996491</v>
      </c>
      <c r="EA220" s="0" t="n">
        <v>39.9562737879879</v>
      </c>
      <c r="EB220" s="0" t="n">
        <v>5.43605710992575E-015</v>
      </c>
      <c r="EC220" s="0" t="n">
        <v>34.7743272187492</v>
      </c>
      <c r="ED220" s="0" t="n">
        <v>38.7496449846045</v>
      </c>
    </row>
    <row r="221" customFormat="false" ht="12.8" hidden="false" customHeight="false" outlineLevel="0" collapsed="false">
      <c r="A221" s="0" t="str">
        <f aca="false">A27</f>
        <v>N-Tol1025-conti  &amp;</v>
      </c>
      <c r="B221" s="42" t="n">
        <f aca="false">BP27</f>
        <v>0.778151250383644</v>
      </c>
      <c r="C221" s="42" t="s">
        <v>241</v>
      </c>
      <c r="D221" s="42" t="n">
        <f aca="false">BN27</f>
        <v>8.71</v>
      </c>
      <c r="E221" s="42" t="s">
        <v>241</v>
      </c>
      <c r="F221" s="42" t="n">
        <f aca="false">BM27</f>
        <v>1.76937732607614</v>
      </c>
      <c r="G221" s="42" t="s">
        <v>241</v>
      </c>
      <c r="H221" s="42"/>
      <c r="I221" s="42" t="n">
        <f aca="false">BJ27</f>
        <v>3.10408301855785</v>
      </c>
      <c r="J221" s="42" t="s">
        <v>241</v>
      </c>
      <c r="K221" s="42" t="n">
        <f aca="false">BL27</f>
        <v>2.46994216668405</v>
      </c>
      <c r="L221" s="42" t="s">
        <v>241</v>
      </c>
      <c r="M221" s="42" t="n">
        <f aca="false">BC27</f>
        <v>0.632993205944798</v>
      </c>
      <c r="N221" s="42" t="s">
        <v>350</v>
      </c>
      <c r="P221" s="41" t="s">
        <v>368</v>
      </c>
      <c r="Q221" s="41"/>
      <c r="R221" s="41" t="n">
        <f aca="false">C127</f>
        <v>35.7730409962397</v>
      </c>
      <c r="S221" s="41" t="s">
        <v>352</v>
      </c>
      <c r="T221" s="41" t="n">
        <f aca="false">D127</f>
        <v>0.884131347814266</v>
      </c>
      <c r="U221" s="41" t="s">
        <v>353</v>
      </c>
      <c r="V221" s="41" t="n">
        <f aca="false">E127</f>
        <v>2.7687620719672</v>
      </c>
      <c r="W221" s="41" t="s">
        <v>352</v>
      </c>
      <c r="X221" s="41" t="n">
        <f aca="false">F127</f>
        <v>0.436000243656298</v>
      </c>
      <c r="Y221" s="41" t="s">
        <v>356</v>
      </c>
      <c r="Z221" s="41" t="n">
        <f aca="false">G127</f>
        <v>0.0439568083399089</v>
      </c>
      <c r="AA221" s="41" t="s">
        <v>352</v>
      </c>
      <c r="AB221" s="41" t="n">
        <f aca="false">I127</f>
        <v>0.0533419516084843</v>
      </c>
      <c r="AC221" s="44" t="s">
        <v>369</v>
      </c>
      <c r="AD221" s="41" t="n">
        <f aca="false">J127</f>
        <v>0.140696410509156</v>
      </c>
      <c r="AE221" s="41" t="s">
        <v>352</v>
      </c>
      <c r="AF221" s="41" t="n">
        <f aca="false">K127</f>
        <v>0.144489675241744</v>
      </c>
      <c r="AG221" s="44" t="s">
        <v>367</v>
      </c>
      <c r="AH221" s="43" t="n">
        <f aca="false">B127</f>
        <v>0.334912539609867</v>
      </c>
      <c r="AI221" s="0" t="s">
        <v>350</v>
      </c>
      <c r="BI221" s="0" t="n">
        <v>1.20682587603185</v>
      </c>
      <c r="BJ221" s="0" t="n">
        <v>39.4045691894974</v>
      </c>
      <c r="BK221" s="0" t="n">
        <v>39.5414546476421</v>
      </c>
      <c r="BL221" s="0" t="n">
        <v>0.136885458144718</v>
      </c>
      <c r="BM221" s="20" t="n">
        <f aca="false">(BL221)^2</f>
        <v>0.0187376286514894</v>
      </c>
      <c r="BZ221" s="0" t="n">
        <v>25.8360811560334</v>
      </c>
      <c r="CA221" s="0" t="n">
        <v>35</v>
      </c>
      <c r="CB221" s="0" t="e">
        <v>#N/A</v>
      </c>
      <c r="CG221" s="0" t="n">
        <v>12.3908711034782</v>
      </c>
      <c r="CH221" s="0" t="n">
        <v>35</v>
      </c>
      <c r="CI221" s="0" t="e">
        <v>#N/A</v>
      </c>
      <c r="CN221" s="0" t="n">
        <v>19.993327457307</v>
      </c>
      <c r="CO221" s="0" t="n">
        <v>35</v>
      </c>
      <c r="CP221" s="0" t="e">
        <v>#N/A</v>
      </c>
      <c r="CU221" s="0" t="n">
        <v>8.06843318976102</v>
      </c>
      <c r="CV221" s="0" t="n">
        <v>36</v>
      </c>
      <c r="DC221" s="24" t="str">
        <f aca="false">$BN$137</f>
        <v>Log(Whβ)</v>
      </c>
      <c r="DD221" s="0" t="n">
        <v>36.7338110279871</v>
      </c>
      <c r="DE221" s="0" t="n">
        <v>0.983876902664742</v>
      </c>
      <c r="DF221" s="0" t="n">
        <v>37.3357794338874</v>
      </c>
      <c r="DG221" s="0" t="e">
        <v>#VALUE!</v>
      </c>
      <c r="DH221" s="0" t="e">
        <v>#VALUE!</v>
      </c>
      <c r="DI221" s="0" t="e">
        <v>#VALUE!</v>
      </c>
      <c r="DJ221" s="24" t="str">
        <f aca="false">$BN$137</f>
        <v>Log(Whβ)</v>
      </c>
      <c r="DK221" s="0" t="n">
        <v>36.6919345531664</v>
      </c>
      <c r="DL221" s="0" t="n">
        <v>0.976260534145772</v>
      </c>
      <c r="DM221" s="0" t="n">
        <v>37.5841624953854</v>
      </c>
      <c r="DN221" s="0" t="n">
        <v>1.19689376012024E-014</v>
      </c>
      <c r="DO221" s="0" t="n">
        <v>34.5828518946562</v>
      </c>
      <c r="DP221" s="0" t="n">
        <v>38.8010172116765</v>
      </c>
      <c r="DQ221" s="24" t="str">
        <f aca="false">$BN$137</f>
        <v>Log(Whβ)</v>
      </c>
      <c r="DR221" s="0" t="n">
        <v>37.6976092758441</v>
      </c>
      <c r="DS221" s="0" t="n">
        <v>0.787593514406646</v>
      </c>
      <c r="DT221" s="0" t="n">
        <v>47.8642962216932</v>
      </c>
      <c r="DU221" s="0" t="n">
        <v>5.27468099300512E-016</v>
      </c>
      <c r="DV221" s="0" t="n">
        <v>35.9961169332866</v>
      </c>
      <c r="DW221" s="0" t="n">
        <v>39.3991016184016</v>
      </c>
      <c r="DX221" s="24" t="str">
        <f aca="false">$BN$137</f>
        <v>Log(Whβ)</v>
      </c>
      <c r="DY221" s="0" t="n">
        <v>36.7619861016769</v>
      </c>
      <c r="DZ221" s="0" t="n">
        <v>0.920055415996491</v>
      </c>
      <c r="EA221" s="0" t="n">
        <v>39.9562737879879</v>
      </c>
      <c r="EB221" s="0" t="n">
        <v>5.43605710992575E-015</v>
      </c>
      <c r="EC221" s="0" t="n">
        <v>34.7743272187492</v>
      </c>
      <c r="ED221" s="0" t="n">
        <v>38.7496449846045</v>
      </c>
    </row>
    <row r="222" customFormat="false" ht="12.8" hidden="false" customHeight="false" outlineLevel="0" collapsed="false">
      <c r="A222" s="0" t="str">
        <f aca="false">A28</f>
        <v>N-Tol1147-conti</v>
      </c>
      <c r="B222" s="42" t="n">
        <f aca="false">BP28</f>
        <v>1.39794000867204</v>
      </c>
      <c r="C222" s="42" t="s">
        <v>241</v>
      </c>
      <c r="D222" s="42" t="n">
        <f aca="false">BN28</f>
        <v>7.88</v>
      </c>
      <c r="E222" s="42" t="s">
        <v>241</v>
      </c>
      <c r="F222" s="42" t="n">
        <f aca="false">BM28</f>
        <v>1.23044892137827</v>
      </c>
      <c r="G222" s="42" t="s">
        <v>241</v>
      </c>
      <c r="H222" s="42"/>
      <c r="I222" s="42" t="n">
        <f aca="false">BJ28</f>
        <v>2.56730132345877</v>
      </c>
      <c r="J222" s="42" t="s">
        <v>241</v>
      </c>
      <c r="K222" s="42" t="n">
        <f aca="false">BL28</f>
        <v>1.82381405372363</v>
      </c>
      <c r="L222" s="42" t="s">
        <v>241</v>
      </c>
      <c r="M222" s="42" t="n">
        <f aca="false">BC28</f>
        <v>0.472488853503185</v>
      </c>
      <c r="N222" s="42" t="s">
        <v>350</v>
      </c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4"/>
      <c r="AD222" s="41"/>
      <c r="AE222" s="41"/>
      <c r="AF222" s="41"/>
      <c r="AG222" s="44"/>
      <c r="AH222" s="43"/>
      <c r="BI222" s="0" t="n">
        <v>1.09691001300806</v>
      </c>
      <c r="BJ222" s="0" t="n">
        <v>39.0963133741626</v>
      </c>
      <c r="BK222" s="0" t="n">
        <v>39.2951320767752</v>
      </c>
      <c r="BL222" s="0" t="n">
        <v>0.198818702612627</v>
      </c>
      <c r="BM222" s="20" t="n">
        <f aca="false">(BL222)^2</f>
        <v>0.0395288765085682</v>
      </c>
      <c r="BZ222" s="0" t="n">
        <v>5.41250302881624</v>
      </c>
      <c r="CA222" s="0" t="n">
        <v>3.66614435185596</v>
      </c>
      <c r="CB222" s="0" t="e">
        <v>#N/A</v>
      </c>
      <c r="CG222" s="0" t="n">
        <v>3.37856055298446</v>
      </c>
      <c r="CH222" s="0" t="n">
        <v>4.77164270239492</v>
      </c>
      <c r="CI222" s="0" t="e">
        <v>#N/A</v>
      </c>
      <c r="CN222" s="0" t="n">
        <v>4.97122900325194</v>
      </c>
      <c r="CO222" s="0" t="n">
        <v>4.35127708195037</v>
      </c>
      <c r="CP222" s="0" t="e">
        <v>#N/A</v>
      </c>
      <c r="CU222" s="0" t="n">
        <v>0.517915756448505</v>
      </c>
      <c r="CV222" s="0" t="n">
        <v>2.31085351934338</v>
      </c>
    </row>
    <row r="223" customFormat="false" ht="12.8" hidden="false" customHeight="false" outlineLevel="0" collapsed="false">
      <c r="A223" s="0" t="str">
        <f aca="false">A29</f>
        <v>N-Tol1223-conti2 – 2stars</v>
      </c>
      <c r="B223" s="42" t="n">
        <f aca="false">BP29</f>
        <v>2.19589965240923</v>
      </c>
      <c r="C223" s="42" t="s">
        <v>241</v>
      </c>
      <c r="D223" s="42" t="n">
        <f aca="false">BN29</f>
        <v>7.54</v>
      </c>
      <c r="E223" s="42" t="s">
        <v>241</v>
      </c>
      <c r="F223" s="42" t="n">
        <f aca="false">BM29</f>
        <v>1.24303804868629</v>
      </c>
      <c r="G223" s="42" t="s">
        <v>241</v>
      </c>
      <c r="H223" s="42"/>
      <c r="I223" s="42" t="n">
        <f aca="false">BJ29</f>
        <v>2.59311533827612</v>
      </c>
      <c r="J223" s="42" t="s">
        <v>241</v>
      </c>
      <c r="K223" s="42" t="n">
        <f aca="false">BL29</f>
        <v>1.94462288151652</v>
      </c>
      <c r="L223" s="42" t="s">
        <v>241</v>
      </c>
      <c r="M223" s="42" t="n">
        <f aca="false">BC29</f>
        <v>0.250695116772824</v>
      </c>
      <c r="N223" s="42" t="s">
        <v>350</v>
      </c>
      <c r="P223" s="41" t="s">
        <v>370</v>
      </c>
      <c r="Q223" s="41"/>
      <c r="R223" s="41" t="n">
        <f aca="false">C129</f>
        <v>33.7484943122836</v>
      </c>
      <c r="S223" s="41" t="s">
        <v>352</v>
      </c>
      <c r="T223" s="41" t="n">
        <f aca="false">D129</f>
        <v>0.641129196456942</v>
      </c>
      <c r="U223" s="41" t="s">
        <v>353</v>
      </c>
      <c r="V223" s="41" t="n">
        <f aca="false">E129</f>
        <v>2.35535511784666</v>
      </c>
      <c r="W223" s="41" t="s">
        <v>352</v>
      </c>
      <c r="X223" s="41" t="n">
        <f aca="false">F129</f>
        <v>0.329390313926833</v>
      </c>
      <c r="Y223" s="41" t="s">
        <v>356</v>
      </c>
      <c r="Z223" s="41" t="n">
        <f aca="false">G129</f>
        <v>0.384183571247483</v>
      </c>
      <c r="AA223" s="41" t="s">
        <v>352</v>
      </c>
      <c r="AB223" s="41" t="n">
        <f aca="false">I129</f>
        <v>0.111594256694338</v>
      </c>
      <c r="AC223" s="44" t="s">
        <v>371</v>
      </c>
      <c r="AD223" s="41" t="n">
        <f aca="false">J129</f>
        <v>0.840256910795675</v>
      </c>
      <c r="AE223" s="41" t="s">
        <v>352</v>
      </c>
      <c r="AF223" s="41" t="n">
        <f aca="false">K129</f>
        <v>0.1824506887563</v>
      </c>
      <c r="AG223" s="44" t="s">
        <v>357</v>
      </c>
      <c r="AH223" s="43" t="n">
        <f aca="false">B129</f>
        <v>0.240611215859286</v>
      </c>
      <c r="AI223" s="0" t="s">
        <v>350</v>
      </c>
      <c r="BI223" s="0" t="n">
        <v>1.28330122870355</v>
      </c>
      <c r="BJ223" s="0" t="n">
        <v>39.6190420739593</v>
      </c>
      <c r="BK223" s="0" t="n">
        <v>39.0423920343584</v>
      </c>
      <c r="BL223" s="0" t="n">
        <v>-0.576650039600892</v>
      </c>
      <c r="BM223" s="20" t="n">
        <f aca="false">(BL223)^2</f>
        <v>0.332525268171711</v>
      </c>
      <c r="DC223" s="0" t="str">
        <f aca="false">$BM$137</f>
        <v>Log(σH) 2011</v>
      </c>
      <c r="DD223" s="0" t="str">
        <f aca="false">$BN$137</f>
        <v>Log(Whβ)</v>
      </c>
      <c r="DE223" s="0" t="s">
        <v>157</v>
      </c>
      <c r="DF223" s="0" t="n">
        <f aca="false">$BE$137</f>
        <v>0</v>
      </c>
      <c r="DG223" s="0" t="s">
        <v>133</v>
      </c>
      <c r="DJ223" s="0" t="str">
        <f aca="false">$BM$137</f>
        <v>Log(σH) 2011</v>
      </c>
      <c r="DK223" s="0" t="str">
        <f aca="false">$BN$137</f>
        <v>Log(Whβ)</v>
      </c>
      <c r="DL223" s="0" t="s">
        <v>157</v>
      </c>
      <c r="DM223" s="0" t="str">
        <f aca="false">$BF$137</f>
        <v>Log(LHβ) 2011</v>
      </c>
      <c r="DN223" s="0" t="s">
        <v>133</v>
      </c>
      <c r="DQ223" s="0" t="str">
        <f aca="false">$BM$137</f>
        <v>Log(σH) 2011</v>
      </c>
      <c r="DR223" s="0" t="str">
        <f aca="false">$BN$137</f>
        <v>Log(Whβ)</v>
      </c>
      <c r="DS223" s="0" t="s">
        <v>157</v>
      </c>
      <c r="DT223" s="0" t="str">
        <f aca="false">$BG$137</f>
        <v>Full Log(LHβ) 2007</v>
      </c>
      <c r="DU223" s="0" t="s">
        <v>133</v>
      </c>
      <c r="DX223" s="0" t="str">
        <f aca="false">$BM$137</f>
        <v>Log(σH) 2011</v>
      </c>
      <c r="DY223" s="0" t="str">
        <f aca="false">$BN$137</f>
        <v>Log(Whβ)</v>
      </c>
      <c r="DZ223" s="0" t="s">
        <v>157</v>
      </c>
      <c r="EA223" s="0" t="str">
        <f aca="false">$BH$137</f>
        <v>BK Log(LHβ) 2007</v>
      </c>
      <c r="EB223" s="0" t="s">
        <v>133</v>
      </c>
    </row>
    <row r="224" customFormat="false" ht="12.8" hidden="false" customHeight="false" outlineLevel="0" collapsed="false">
      <c r="A224" s="0" t="str">
        <f aca="false">A30</f>
        <v>N-Tol1345-conti2 – star</v>
      </c>
      <c r="B224" s="42" t="n">
        <f aca="false">BP30</f>
        <v>1.74036268949424</v>
      </c>
      <c r="C224" s="42" t="s">
        <v>241</v>
      </c>
      <c r="D224" s="42" t="n">
        <f aca="false">BN30</f>
        <v>8.26</v>
      </c>
      <c r="E224" s="42" t="s">
        <v>241</v>
      </c>
      <c r="F224" s="42" t="n">
        <f aca="false">BM30</f>
        <v>1.3096301674259</v>
      </c>
      <c r="G224" s="42" t="s">
        <v>241</v>
      </c>
      <c r="H224" s="42"/>
      <c r="I224" s="42" t="n">
        <f aca="false">BJ30</f>
        <v>2.59318251388042</v>
      </c>
      <c r="J224" s="42" t="s">
        <v>241</v>
      </c>
      <c r="K224" s="42" t="n">
        <f aca="false">BL30</f>
        <v>1.91210243315721</v>
      </c>
      <c r="L224" s="42" t="s">
        <v>241</v>
      </c>
      <c r="M224" s="42" t="n">
        <f aca="false">BC30</f>
        <v>0.322932252460915</v>
      </c>
      <c r="N224" s="42" t="s">
        <v>350</v>
      </c>
      <c r="P224" s="41" t="s">
        <v>370</v>
      </c>
      <c r="Q224" s="41"/>
      <c r="R224" s="41" t="n">
        <f aca="false">C130</f>
        <v>35.5920471084493</v>
      </c>
      <c r="S224" s="41" t="s">
        <v>352</v>
      </c>
      <c r="T224" s="41" t="n">
        <f aca="false">D130</f>
        <v>0.857048030808408</v>
      </c>
      <c r="U224" s="41" t="s">
        <v>353</v>
      </c>
      <c r="V224" s="41" t="n">
        <f aca="false">E130</f>
        <v>1.84363862057518</v>
      </c>
      <c r="W224" s="41" t="s">
        <v>352</v>
      </c>
      <c r="X224" s="41" t="n">
        <f aca="false">F130</f>
        <v>0.440322046599098</v>
      </c>
      <c r="Y224" s="41" t="s">
        <v>356</v>
      </c>
      <c r="Z224" s="41" t="n">
        <f aca="false">G130</f>
        <v>0.276844331079389</v>
      </c>
      <c r="AA224" s="41" t="s">
        <v>352</v>
      </c>
      <c r="AB224" s="41" t="n">
        <f aca="false">I130</f>
        <v>0.149176856206132</v>
      </c>
      <c r="AC224" s="44" t="s">
        <v>371</v>
      </c>
      <c r="AD224" s="41" t="n">
        <f aca="false">J130</f>
        <v>0.657663140088664</v>
      </c>
      <c r="AE224" s="41" t="s">
        <v>352</v>
      </c>
      <c r="AF224" s="41" t="n">
        <f aca="false">K130</f>
        <v>0.243896244910328</v>
      </c>
      <c r="AG224" s="44" t="s">
        <v>357</v>
      </c>
      <c r="AH224" s="43" t="n">
        <f aca="false">B130</f>
        <v>0.321644014782389</v>
      </c>
      <c r="AI224" s="0" t="s">
        <v>350</v>
      </c>
      <c r="BI224" s="0" t="n">
        <v>1.23552844690755</v>
      </c>
      <c r="BJ224" s="0" t="n">
        <v>39.4850647080158</v>
      </c>
      <c r="BK224" s="0" t="n">
        <v>39.7584397069598</v>
      </c>
      <c r="BL224" s="0" t="n">
        <v>0.273374998944043</v>
      </c>
      <c r="BM224" s="20" t="n">
        <f aca="false">(BL224)^2</f>
        <v>0.0747338900476553</v>
      </c>
      <c r="BZ224" s="0" t="s">
        <v>100</v>
      </c>
      <c r="CG224" s="0" t="s">
        <v>100</v>
      </c>
      <c r="CN224" s="0" t="s">
        <v>100</v>
      </c>
      <c r="CU224" s="0" t="s">
        <v>100</v>
      </c>
      <c r="DC224" s="0" t="n">
        <f aca="false" t="array" ref="DC224:DD239">$BM$138:$BN$153</f>
        <v>1.52762990087134</v>
      </c>
      <c r="DD224" s="0" t="n">
        <v>1.57978359661681</v>
      </c>
      <c r="DE224" s="0" t="e">
        <f aca="false" t="array" ref="DE224:DE239">MMULT($DC$224:$DD$239 , $DD$220:$DD$221) + $DD$219</f>
        <v>#VALUE!</v>
      </c>
      <c r="DF224" s="0" t="n">
        <f aca="false" t="array" ref="DF224:DF239">$BE$138:$BE$153</f>
        <v>0</v>
      </c>
      <c r="DG224" s="0" t="e">
        <f aca="false" t="array" ref="DG224:DG239">$DF$224:$DF$239 - $DE$224:$DE$239</f>
        <v>#VALUE!</v>
      </c>
      <c r="DJ224" s="0" t="n">
        <f aca="false" t="array" ref="DJ224:DK239">$BM$138:$BN$153</f>
        <v>1.52762990087134</v>
      </c>
      <c r="DK224" s="0" t="n">
        <v>1.57978359661681</v>
      </c>
      <c r="DL224" s="0" t="n">
        <f aca="false" t="array" ref="DL224:DL239">MMULT($DJ$224:$DK$239 , $DK$220:$DK$221) + $DK$219</f>
        <v>150.749307843843</v>
      </c>
      <c r="DM224" s="0" t="n">
        <f aca="false" t="array" ref="DM224:DM239">$BF$138:$BF$153</f>
        <v>39.9963150223595</v>
      </c>
      <c r="DN224" s="0" t="n">
        <f aca="false" t="array" ref="DN224:DN239">$DM$224:$DM$239 - $DL$224:$DL$239</f>
        <v>-110.752992821484</v>
      </c>
      <c r="DQ224" s="0" t="n">
        <f aca="false" t="array" ref="DQ224:DR239">$BM$138:$BN$153</f>
        <v>1.52762990087134</v>
      </c>
      <c r="DR224" s="0" t="n">
        <v>1.57978359661681</v>
      </c>
      <c r="DS224" s="0" t="n">
        <f aca="false" t="array" ref="DS224:DS239">MMULT($DQ$224:$DR$239 , $DR$220:$DR$221) + $DR$219</f>
        <v>154.839669162637</v>
      </c>
      <c r="DT224" s="0" t="n">
        <f aca="false" t="array" ref="DT224:DT239">$BG$138:$BG$153</f>
        <v>40.4667860464016</v>
      </c>
      <c r="DU224" s="0" t="n">
        <f aca="false" t="array" ref="DU224:DU239">$DT$224:$DT$239 - $DS$224:$DS$239</f>
        <v>-114.372883116235</v>
      </c>
      <c r="DX224" s="0" t="n">
        <f aca="false" t="array" ref="DX224:DY239">$BM$138:$BN$153</f>
        <v>1.52762990087134</v>
      </c>
      <c r="DY224" s="0" t="n">
        <v>1.57978359661681</v>
      </c>
      <c r="DZ224" s="0" t="n">
        <f aca="false" t="array" ref="DZ224:DZ239">MMULT($DX$224:$DY$239 , $DY$220:$DY$221) + $DY$219</f>
        <v>150.996677908499</v>
      </c>
      <c r="EA224" s="0" t="n">
        <f aca="false" t="array" ref="EA224:EA239">$BH$138:$BH$153</f>
        <v>40.4667860464016</v>
      </c>
      <c r="EB224" s="0" t="n">
        <f aca="false" t="array" ref="EB224:EB239">$EA$224:$EA$239 - $DZ$224:$DZ$239</f>
        <v>-110.529891862098</v>
      </c>
    </row>
    <row r="225" customFormat="false" ht="12.8" hidden="false" customHeight="false" outlineLevel="0" collapsed="false">
      <c r="A225" s="0" t="str">
        <f aca="false">A31</f>
        <v>N-Tol1924-conti – star Ha</v>
      </c>
      <c r="B225" s="42" t="n">
        <f aca="false">BP31</f>
        <v>2.00432137378264</v>
      </c>
      <c r="C225" s="42" t="s">
        <v>241</v>
      </c>
      <c r="D225" s="42" t="n">
        <f aca="false">BN31</f>
        <v>8.01</v>
      </c>
      <c r="E225" s="42" t="s">
        <v>241</v>
      </c>
      <c r="F225" s="42" t="n">
        <f aca="false">BM31</f>
        <v>1.54900326202579</v>
      </c>
      <c r="G225" s="42" t="s">
        <v>241</v>
      </c>
      <c r="H225" s="42"/>
      <c r="I225" s="42" t="n">
        <f aca="false">BJ31</f>
        <v>2.70206666441626</v>
      </c>
      <c r="J225" s="42" t="s">
        <v>241</v>
      </c>
      <c r="K225" s="42" t="n">
        <f aca="false">BL31</f>
        <v>2.04195187164556</v>
      </c>
      <c r="L225" s="42" t="s">
        <v>241</v>
      </c>
      <c r="M225" s="42" t="n">
        <f aca="false">BC31</f>
        <v>0.375723637650389</v>
      </c>
      <c r="N225" s="42" t="s">
        <v>350</v>
      </c>
      <c r="P225" s="41" t="s">
        <v>370</v>
      </c>
      <c r="Q225" s="41"/>
      <c r="R225" s="41" t="n">
        <f aca="false">C131</f>
        <v>35.0962367966217</v>
      </c>
      <c r="S225" s="41" t="s">
        <v>352</v>
      </c>
      <c r="T225" s="41" t="n">
        <f aca="false">D131</f>
        <v>0.851211816798261</v>
      </c>
      <c r="U225" s="41" t="s">
        <v>353</v>
      </c>
      <c r="V225" s="41" t="n">
        <f aca="false">E131</f>
        <v>2.42330127080051</v>
      </c>
      <c r="W225" s="41" t="s">
        <v>352</v>
      </c>
      <c r="X225" s="41" t="n">
        <f aca="false">F131</f>
        <v>0.437323598898432</v>
      </c>
      <c r="Y225" s="41" t="s">
        <v>356</v>
      </c>
      <c r="Z225" s="41" t="n">
        <f aca="false">G131</f>
        <v>0.247698062736662</v>
      </c>
      <c r="AA225" s="41" t="s">
        <v>352</v>
      </c>
      <c r="AB225" s="41" t="n">
        <f aca="false">I131</f>
        <v>0.148161011087908</v>
      </c>
      <c r="AC225" s="44" t="s">
        <v>371</v>
      </c>
      <c r="AD225" s="41" t="n">
        <f aca="false">J131</f>
        <v>0.491482218522119</v>
      </c>
      <c r="AE225" s="41" t="s">
        <v>352</v>
      </c>
      <c r="AF225" s="41" t="n">
        <f aca="false">K131</f>
        <v>0.242235392040478</v>
      </c>
      <c r="AG225" s="44" t="s">
        <v>357</v>
      </c>
      <c r="AH225" s="43" t="n">
        <f aca="false">B131</f>
        <v>0.319453725279499</v>
      </c>
      <c r="AI225" s="0" t="s">
        <v>350</v>
      </c>
      <c r="BI225" s="0" t="n">
        <v>1.22788670461367</v>
      </c>
      <c r="BJ225" s="0" t="n">
        <v>39.4636336657933</v>
      </c>
      <c r="BK225" s="0" t="n">
        <v>39.0217644408478</v>
      </c>
      <c r="BL225" s="0" t="n">
        <v>-0.441869224945521</v>
      </c>
      <c r="BM225" s="20" t="n">
        <f aca="false">(BL225)^2</f>
        <v>0.195248411953955</v>
      </c>
      <c r="BZ225" s="0" t="s">
        <v>103</v>
      </c>
      <c r="CA225" s="0" t="n">
        <f aca="false">$BZ$220</f>
        <v>0.596179452936908</v>
      </c>
      <c r="CG225" s="0" t="s">
        <v>103</v>
      </c>
      <c r="CH225" s="0" t="n">
        <f aca="false">$CG$220</f>
        <v>0.414536968848539</v>
      </c>
      <c r="CN225" s="0" t="s">
        <v>103</v>
      </c>
      <c r="CO225" s="0" t="n">
        <f aca="false">$CN$220</f>
        <v>0.533250282468875</v>
      </c>
      <c r="CU225" s="0" t="s">
        <v>103</v>
      </c>
      <c r="CV225" s="0" t="n">
        <f aca="false">$CU$220</f>
        <v>0.183088723736057</v>
      </c>
      <c r="DC225" s="0" t="n">
        <v>1.54530711646582</v>
      </c>
      <c r="DD225" s="0" t="n">
        <v>1.41497334797082</v>
      </c>
      <c r="DE225" s="0" t="e">
        <v>#VALUE!</v>
      </c>
      <c r="DF225" s="0" t="n">
        <v>0</v>
      </c>
      <c r="DG225" s="0" t="e">
        <v>#VALUE!</v>
      </c>
      <c r="DJ225" s="0" t="n">
        <v>1.54530711646582</v>
      </c>
      <c r="DK225" s="0" t="n">
        <v>1.41497334797082</v>
      </c>
      <c r="DL225" s="0" t="n">
        <v>145.350712224508</v>
      </c>
      <c r="DM225" s="0" t="n">
        <v>40.3308782653967</v>
      </c>
      <c r="DN225" s="0" t="n">
        <v>-105.019833959112</v>
      </c>
      <c r="DQ225" s="0" t="n">
        <v>1.54530711646582</v>
      </c>
      <c r="DR225" s="0" t="n">
        <v>1.41497334797082</v>
      </c>
      <c r="DS225" s="0" t="n">
        <v>149.293105571091</v>
      </c>
      <c r="DT225" s="0" t="n">
        <v>40.6750396842358</v>
      </c>
      <c r="DU225" s="0" t="n">
        <v>-108.618065886855</v>
      </c>
      <c r="DX225" s="0" t="n">
        <v>1.54530711646582</v>
      </c>
      <c r="DY225" s="0" t="n">
        <v>1.41497334797082</v>
      </c>
      <c r="DZ225" s="0" t="n">
        <v>145.587775392362</v>
      </c>
      <c r="EA225" s="0" t="n">
        <v>40.6750396842358</v>
      </c>
      <c r="EB225" s="0" t="n">
        <v>-104.912735708126</v>
      </c>
    </row>
    <row r="226" customFormat="false" ht="12.8" hidden="false" customHeight="false" outlineLevel="0" collapsed="false">
      <c r="A226" s="0" t="str">
        <f aca="false">A32</f>
        <v>N-Tol1937-conti</v>
      </c>
      <c r="B226" s="42" t="n">
        <f aca="false">BP32</f>
        <v>0.778151250383644</v>
      </c>
      <c r="C226" s="42" t="s">
        <v>241</v>
      </c>
      <c r="D226" s="42" t="n">
        <f aca="false">BN32</f>
        <v>8.48</v>
      </c>
      <c r="E226" s="42" t="s">
        <v>241</v>
      </c>
      <c r="F226" s="42" t="n">
        <f aca="false">BM32</f>
        <v>1.38021124171161</v>
      </c>
      <c r="G226" s="42" t="s">
        <v>241</v>
      </c>
      <c r="H226" s="42"/>
      <c r="I226" s="42" t="n">
        <f aca="false">BJ32</f>
        <v>2.85513640282165</v>
      </c>
      <c r="J226" s="42" t="s">
        <v>241</v>
      </c>
      <c r="K226" s="42" t="n">
        <f aca="false">BL32</f>
        <v>2.02175318417612</v>
      </c>
      <c r="L226" s="42" t="s">
        <v>241</v>
      </c>
      <c r="M226" s="42" t="n">
        <f aca="false">BC32</f>
        <v>0.358606446631924</v>
      </c>
      <c r="N226" s="42" t="s">
        <v>350</v>
      </c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4"/>
      <c r="AD226" s="41"/>
      <c r="AE226" s="41"/>
      <c r="AF226" s="41"/>
      <c r="AG226" s="44"/>
      <c r="AH226" s="43"/>
      <c r="BM226" s="0" t="n">
        <f aca="false">SQRT(SUM(BM188:BM225)/38)</f>
        <v>0.311337868152087</v>
      </c>
      <c r="BZ226" s="0" t="s">
        <v>106</v>
      </c>
      <c r="CA226" s="0" t="n">
        <f aca="false">$CA$220</f>
        <v>0.323646383390266</v>
      </c>
      <c r="CG226" s="0" t="s">
        <v>106</v>
      </c>
      <c r="CH226" s="0" t="n">
        <f aca="false">$CH$220</f>
        <v>0.369232512977737</v>
      </c>
      <c r="CN226" s="0" t="s">
        <v>106</v>
      </c>
      <c r="CO226" s="0" t="n">
        <f aca="false">$CO$220</f>
        <v>0.352593537010308</v>
      </c>
      <c r="CU226" s="0" t="s">
        <v>106</v>
      </c>
      <c r="CV226" s="0" t="n">
        <f aca="false">$CV$220</f>
        <v>0.253358196112374</v>
      </c>
      <c r="DC226" s="0" t="n">
        <v>1.53781909507327</v>
      </c>
      <c r="DD226" s="0" t="n">
        <v>2.03742649794062</v>
      </c>
      <c r="DE226" s="0" t="e">
        <v>#VALUE!</v>
      </c>
      <c r="DF226" s="0" t="n">
        <v>0</v>
      </c>
      <c r="DG226" s="0" t="e">
        <v>#VALUE!</v>
      </c>
      <c r="DJ226" s="0" t="n">
        <v>1.53781909507327</v>
      </c>
      <c r="DK226" s="0" t="n">
        <v>2.03742649794062</v>
      </c>
      <c r="DL226" s="0" t="n">
        <v>167.914972474744</v>
      </c>
      <c r="DM226" s="0" t="n">
        <v>40.5363222856562</v>
      </c>
      <c r="DN226" s="0" t="n">
        <v>-127.378650189088</v>
      </c>
      <c r="DQ226" s="0" t="n">
        <v>1.53781909507327</v>
      </c>
      <c r="DR226" s="0" t="n">
        <v>2.03742649794062</v>
      </c>
      <c r="DS226" s="0" t="n">
        <v>172.475820706465</v>
      </c>
      <c r="DT226" s="0" t="n">
        <v>40.8519069419647</v>
      </c>
      <c r="DU226" s="0" t="n">
        <v>-131.623913764501</v>
      </c>
      <c r="DX226" s="0" t="n">
        <v>1.53781909507327</v>
      </c>
      <c r="DY226" s="0" t="n">
        <v>2.03742649794062</v>
      </c>
      <c r="DZ226" s="0" t="n">
        <v>168.195114902135</v>
      </c>
      <c r="EA226" s="0" t="n">
        <v>40.8519069419647</v>
      </c>
      <c r="EB226" s="0" t="n">
        <v>-127.34320796017</v>
      </c>
    </row>
    <row r="227" customFormat="false" ht="17.9" hidden="false" customHeight="false" outlineLevel="0" collapsed="false">
      <c r="A227" s="0" t="str">
        <f aca="false">A33</f>
        <v>N-Tol2019-conti – star</v>
      </c>
      <c r="B227" s="42" t="n">
        <f aca="false">BP33</f>
        <v>1.25527250510331</v>
      </c>
      <c r="C227" s="42" t="s">
        <v>241</v>
      </c>
      <c r="D227" s="42" t="n">
        <f aca="false">BN33</f>
        <v>7.99</v>
      </c>
      <c r="E227" s="42" t="s">
        <v>241</v>
      </c>
      <c r="F227" s="42" t="n">
        <f aca="false">BM33</f>
        <v>1.41161970596323</v>
      </c>
      <c r="G227" s="42" t="s">
        <v>241</v>
      </c>
      <c r="H227" s="42"/>
      <c r="I227" s="42" t="n">
        <f aca="false">BJ33</f>
        <v>2.7281271270983</v>
      </c>
      <c r="J227" s="42" t="s">
        <v>241</v>
      </c>
      <c r="K227" s="42" t="n">
        <f aca="false">BL33</f>
        <v>2.07570236963626</v>
      </c>
      <c r="L227" s="42" t="s">
        <v>241</v>
      </c>
      <c r="M227" s="42" t="n">
        <f aca="false">BC33</f>
        <v>0.351583478093032</v>
      </c>
      <c r="N227" s="42" t="s">
        <v>350</v>
      </c>
      <c r="P227" s="41" t="s">
        <v>372</v>
      </c>
      <c r="Q227" s="41"/>
      <c r="R227" s="41" t="n">
        <f aca="false">C133</f>
        <v>35.1438733316032</v>
      </c>
      <c r="S227" s="41" t="s">
        <v>352</v>
      </c>
      <c r="T227" s="41" t="n">
        <f aca="false">D133</f>
        <v>0.526619660816757</v>
      </c>
      <c r="U227" s="41" t="s">
        <v>353</v>
      </c>
      <c r="V227" s="41" t="n">
        <f aca="false">E133</f>
        <v>1.97132423569941</v>
      </c>
      <c r="W227" s="41" t="s">
        <v>352</v>
      </c>
      <c r="X227" s="41" t="n">
        <f aca="false">F133</f>
        <v>0.402291250653496</v>
      </c>
      <c r="Y227" s="41" t="s">
        <v>356</v>
      </c>
      <c r="Z227" s="41" t="n">
        <f aca="false">G133</f>
        <v>0.258730741986869</v>
      </c>
      <c r="AA227" s="41" t="s">
        <v>352</v>
      </c>
      <c r="AB227" s="41" t="n">
        <f aca="false">I133</f>
        <v>0.108087138070962</v>
      </c>
      <c r="AC227" s="44" t="s">
        <v>373</v>
      </c>
      <c r="AD227" s="41" t="n">
        <f aca="false">J133</f>
        <v>0.805656232243408</v>
      </c>
      <c r="AE227" s="41" t="s">
        <v>352</v>
      </c>
      <c r="AF227" s="41" t="n">
        <f aca="false">K133</f>
        <v>0.208332890258679</v>
      </c>
      <c r="AG227" s="44" t="s">
        <v>359</v>
      </c>
      <c r="AH227" s="43" t="n">
        <f aca="false">B133</f>
        <v>0.255520155928181</v>
      </c>
      <c r="AI227" s="0" t="s">
        <v>350</v>
      </c>
      <c r="BZ227" s="0" t="s">
        <v>109</v>
      </c>
      <c r="CA227" s="0" t="n">
        <f aca="false">2</f>
        <v>2</v>
      </c>
      <c r="CG227" s="0" t="s">
        <v>109</v>
      </c>
      <c r="CH227" s="0" t="n">
        <f aca="false">2</f>
        <v>2</v>
      </c>
      <c r="CN227" s="0" t="s">
        <v>109</v>
      </c>
      <c r="CO227" s="0" t="n">
        <f aca="false">2</f>
        <v>2</v>
      </c>
      <c r="CU227" s="0" t="s">
        <v>109</v>
      </c>
      <c r="CV227" s="0" t="n">
        <f aca="false">1</f>
        <v>1</v>
      </c>
      <c r="DC227" s="0" t="n">
        <v>1.51719589794997</v>
      </c>
      <c r="DD227" s="0" t="n">
        <v>2.26481782300954</v>
      </c>
      <c r="DE227" s="0" t="e">
        <v>#VALUE!</v>
      </c>
      <c r="DF227" s="0" t="n">
        <v>0</v>
      </c>
      <c r="DG227" s="0" t="e">
        <v>#VALUE!</v>
      </c>
      <c r="DJ227" s="0" t="n">
        <v>1.51719589794997</v>
      </c>
      <c r="DK227" s="0" t="n">
        <v>2.26481782300954</v>
      </c>
      <c r="DL227" s="0" t="n">
        <v>175.501695093006</v>
      </c>
      <c r="DM227" s="0" t="n">
        <v>39.7119114592515</v>
      </c>
      <c r="DN227" s="0" t="n">
        <v>-135.789783633754</v>
      </c>
      <c r="DQ227" s="0" t="n">
        <v>1.51719589794997</v>
      </c>
      <c r="DR227" s="0" t="n">
        <v>2.26481782300954</v>
      </c>
      <c r="DS227" s="0" t="n">
        <v>180.270484804457</v>
      </c>
      <c r="DT227" s="0" t="n">
        <v>40.3675165950432</v>
      </c>
      <c r="DU227" s="0" t="n">
        <v>-139.902968209414</v>
      </c>
      <c r="DX227" s="0" t="n">
        <v>1.51719589794997</v>
      </c>
      <c r="DY227" s="0" t="n">
        <v>2.26481782300954</v>
      </c>
      <c r="DZ227" s="0" t="n">
        <v>175.796321947942</v>
      </c>
      <c r="EA227" s="0" t="n">
        <v>40.3675165950432</v>
      </c>
      <c r="EB227" s="0" t="n">
        <v>-135.428805352899</v>
      </c>
    </row>
    <row r="228" customFormat="false" ht="17.9" hidden="false" customHeight="false" outlineLevel="0" collapsed="false">
      <c r="A228" s="0" t="str">
        <f aca="false">A34</f>
        <v>N-Tol2041-conti – star Ha</v>
      </c>
      <c r="B228" s="42" t="n">
        <f aca="false">BP34</f>
        <v>2.02118929906994</v>
      </c>
      <c r="C228" s="42" t="s">
        <v>241</v>
      </c>
      <c r="D228" s="42" t="n">
        <f aca="false">BN34</f>
        <v>0</v>
      </c>
      <c r="E228" s="42" t="s">
        <v>241</v>
      </c>
      <c r="F228" s="42" t="n">
        <f aca="false">BM34</f>
        <v>1.45484486000851</v>
      </c>
      <c r="G228" s="42" t="s">
        <v>241</v>
      </c>
      <c r="H228" s="42"/>
      <c r="I228" s="42" t="n">
        <f aca="false">BJ34</f>
        <v>2.60593617253213</v>
      </c>
      <c r="J228" s="42" t="s">
        <v>241</v>
      </c>
      <c r="K228" s="42" t="n">
        <f aca="false">BL34</f>
        <v>2.30379853246947</v>
      </c>
      <c r="L228" s="42" t="s">
        <v>241</v>
      </c>
      <c r="M228" s="42" t="n">
        <f aca="false">BC34</f>
        <v>0.306902689313517</v>
      </c>
      <c r="N228" s="42" t="s">
        <v>350</v>
      </c>
      <c r="P228" s="41" t="s">
        <v>372</v>
      </c>
      <c r="Q228" s="41"/>
      <c r="R228" s="41" t="n">
        <f aca="false">C134</f>
        <v>36.8013278590557</v>
      </c>
      <c r="S228" s="41" t="s">
        <v>352</v>
      </c>
      <c r="T228" s="41" t="n">
        <f aca="false">D134</f>
        <v>0.701292493020111</v>
      </c>
      <c r="U228" s="41" t="s">
        <v>353</v>
      </c>
      <c r="V228" s="41" t="n">
        <f aca="false">E134</f>
        <v>1.72030129467864</v>
      </c>
      <c r="W228" s="41" t="s">
        <v>352</v>
      </c>
      <c r="X228" s="41" t="n">
        <f aca="false">F134</f>
        <v>0.53572598040379</v>
      </c>
      <c r="Y228" s="41" t="s">
        <v>356</v>
      </c>
      <c r="Z228" s="41" t="n">
        <f aca="false">G134</f>
        <v>0.152375533750732</v>
      </c>
      <c r="AA228" s="41" t="s">
        <v>352</v>
      </c>
      <c r="AB228" s="41" t="n">
        <f aca="false">I134</f>
        <v>0.143938223657718</v>
      </c>
      <c r="AC228" s="44" t="s">
        <v>373</v>
      </c>
      <c r="AD228" s="41" t="n">
        <f aca="false">J134</f>
        <v>0.470480643307818</v>
      </c>
      <c r="AE228" s="41" t="s">
        <v>352</v>
      </c>
      <c r="AF228" s="41" t="n">
        <f aca="false">K134</f>
        <v>0.277434176614291</v>
      </c>
      <c r="AG228" s="44" t="s">
        <v>359</v>
      </c>
      <c r="AH228" s="43" t="n">
        <f aca="false">B134</f>
        <v>0.340272839205891</v>
      </c>
      <c r="AI228" s="0" t="s">
        <v>350</v>
      </c>
      <c r="BZ228" s="0" t="s">
        <v>112</v>
      </c>
      <c r="CA228" s="0" t="n">
        <f aca="false">38</f>
        <v>38</v>
      </c>
      <c r="CG228" s="0" t="s">
        <v>112</v>
      </c>
      <c r="CH228" s="0" t="n">
        <f aca="false">38</f>
        <v>38</v>
      </c>
      <c r="CN228" s="0" t="s">
        <v>112</v>
      </c>
      <c r="CO228" s="0" t="n">
        <f aca="false">38</f>
        <v>38</v>
      </c>
      <c r="CU228" s="0" t="s">
        <v>112</v>
      </c>
      <c r="CV228" s="0" t="n">
        <f aca="false">38</f>
        <v>38</v>
      </c>
      <c r="DC228" s="0" t="n">
        <v>1.32221929473392</v>
      </c>
      <c r="DD228" s="0" t="n">
        <v>1.69019608002851</v>
      </c>
      <c r="DE228" s="0" t="e">
        <v>#VALUE!</v>
      </c>
      <c r="DF228" s="0" t="n">
        <v>0</v>
      </c>
      <c r="DG228" s="0" t="e">
        <v>#VALUE!</v>
      </c>
      <c r="DJ228" s="0" t="n">
        <v>1.32221929473392</v>
      </c>
      <c r="DK228" s="0" t="n">
        <v>1.69019608002851</v>
      </c>
      <c r="DL228" s="0" t="n">
        <v>147.263642942118</v>
      </c>
      <c r="DM228" s="0" t="n">
        <v>39.8158956218551</v>
      </c>
      <c r="DN228" s="0" t="n">
        <v>-107.447747320262</v>
      </c>
      <c r="DQ228" s="0" t="n">
        <v>1.32221929473392</v>
      </c>
      <c r="DR228" s="0" t="n">
        <v>1.69019608002851</v>
      </c>
      <c r="DS228" s="0" t="n">
        <v>151.258467050184</v>
      </c>
      <c r="DT228" s="0" t="n">
        <v>40.2813702480347</v>
      </c>
      <c r="DU228" s="0" t="n">
        <v>-110.977096802149</v>
      </c>
      <c r="DX228" s="0" t="n">
        <v>1.32221929473392</v>
      </c>
      <c r="DY228" s="0" t="n">
        <v>1.69019608002851</v>
      </c>
      <c r="DZ228" s="0" t="n">
        <v>147.504358241171</v>
      </c>
      <c r="EA228" s="0" t="n">
        <v>40.2813702480347</v>
      </c>
      <c r="EB228" s="0" t="n">
        <v>-107.222987993136</v>
      </c>
    </row>
    <row r="229" customFormat="false" ht="17.9" hidden="false" customHeight="false" outlineLevel="0" collapsed="false">
      <c r="A229" s="0" t="str">
        <f aca="false">A35</f>
        <v>N-UM439-conti</v>
      </c>
      <c r="B229" s="42" t="n">
        <f aca="false">BP35</f>
        <v>1.85125834871908</v>
      </c>
      <c r="C229" s="42" t="s">
        <v>241</v>
      </c>
      <c r="D229" s="42" t="n">
        <f aca="false">BN35</f>
        <v>8.01</v>
      </c>
      <c r="E229" s="42" t="s">
        <v>241</v>
      </c>
      <c r="F229" s="42" t="n">
        <f aca="false">BM35</f>
        <v>1.24797326636181</v>
      </c>
      <c r="G229" s="42" t="s">
        <v>241</v>
      </c>
      <c r="H229" s="42"/>
      <c r="I229" s="42" t="n">
        <f aca="false">BJ35</f>
        <v>2.81672091333267</v>
      </c>
      <c r="J229" s="42" t="s">
        <v>241</v>
      </c>
      <c r="K229" s="42" t="n">
        <f aca="false">BL35</f>
        <v>1.58373370004733</v>
      </c>
      <c r="L229" s="42" t="s">
        <v>241</v>
      </c>
      <c r="M229" s="42" t="n">
        <f aca="false">BC35</f>
        <v>0.79856</v>
      </c>
      <c r="N229" s="42" t="s">
        <v>350</v>
      </c>
      <c r="P229" s="41" t="s">
        <v>372</v>
      </c>
      <c r="Q229" s="41"/>
      <c r="R229" s="41" t="n">
        <f aca="false">C135</f>
        <v>35.7423383577494</v>
      </c>
      <c r="S229" s="41" t="s">
        <v>352</v>
      </c>
      <c r="T229" s="41" t="n">
        <f aca="false">D135</f>
        <v>0.626804715913535</v>
      </c>
      <c r="U229" s="41" t="s">
        <v>353</v>
      </c>
      <c r="V229" s="41" t="n">
        <f aca="false">E135</f>
        <v>1.94130075512432</v>
      </c>
      <c r="W229" s="41" t="s">
        <v>352</v>
      </c>
      <c r="X229" s="41" t="n">
        <f aca="false">F135</f>
        <v>0.47882384924498</v>
      </c>
      <c r="Y229" s="41" t="s">
        <v>356</v>
      </c>
      <c r="Z229" s="41" t="n">
        <f aca="false">G135</f>
        <v>0.21247654772805</v>
      </c>
      <c r="AA229" s="41" t="s">
        <v>352</v>
      </c>
      <c r="AB229" s="41" t="n">
        <f aca="false">I135</f>
        <v>0.128649826266267</v>
      </c>
      <c r="AC229" s="44" t="s">
        <v>373</v>
      </c>
      <c r="AD229" s="41" t="n">
        <f aca="false">J135</f>
        <v>0.703727797663138</v>
      </c>
      <c r="AE229" s="41" t="s">
        <v>352</v>
      </c>
      <c r="AF229" s="41" t="n">
        <f aca="false">K135</f>
        <v>0.247966507538872</v>
      </c>
      <c r="AG229" s="44" t="s">
        <v>359</v>
      </c>
      <c r="AH229" s="43" t="n">
        <f aca="false">B135</f>
        <v>0.304130762034871</v>
      </c>
      <c r="AI229" s="0" t="s">
        <v>350</v>
      </c>
      <c r="BZ229" s="0" t="s">
        <v>115</v>
      </c>
      <c r="CA229" s="0" t="n">
        <f aca="false">1 - (1 - $BZ$220)*($CA$228 - 1)/($CA$228 - $CA$227 - 1)</f>
        <v>0.573103993104731</v>
      </c>
      <c r="CG229" s="0" t="s">
        <v>115</v>
      </c>
      <c r="CH229" s="0" t="n">
        <f aca="false">1 - (1 - $CG$220)*($CH$228 - 1)/($CH$228 - $CH$227 - 1)</f>
        <v>0.381081938497027</v>
      </c>
      <c r="CN229" s="0" t="s">
        <v>115</v>
      </c>
      <c r="CO229" s="0" t="n">
        <f aca="false">1 - (1 - $CN$220)*($CO$228 - 1)/($CO$228 - $CO$227 - 1)</f>
        <v>0.506578870038525</v>
      </c>
      <c r="CU229" s="0" t="s">
        <v>115</v>
      </c>
      <c r="CV229" s="0" t="n">
        <f aca="false">1 - (1 - $CU$220)*($CV$228 - 1)/($CV$228 - $CV$227 - 1)</f>
        <v>0.160396743839836</v>
      </c>
      <c r="DC229" s="0" t="n">
        <v>1.23299611039215</v>
      </c>
      <c r="DD229" s="0" t="n">
        <v>1.83250891270624</v>
      </c>
      <c r="DE229" s="0" t="e">
        <v>#VALUE!</v>
      </c>
      <c r="DF229" s="0" t="n">
        <v>0</v>
      </c>
      <c r="DG229" s="0" t="e">
        <v>#VALUE!</v>
      </c>
      <c r="DJ229" s="0" t="n">
        <v>1.23299611039215</v>
      </c>
      <c r="DK229" s="0" t="n">
        <v>1.83250891270624</v>
      </c>
      <c r="DL229" s="0" t="n">
        <v>149.211604844311</v>
      </c>
      <c r="DM229" s="0" t="n">
        <v>39.9770046637507</v>
      </c>
      <c r="DN229" s="0" t="n">
        <v>-109.23460018056</v>
      </c>
      <c r="DQ229" s="0" t="n">
        <v>1.23299611039215</v>
      </c>
      <c r="DR229" s="0" t="n">
        <v>1.83250891270624</v>
      </c>
      <c r="DS229" s="0" t="n">
        <v>153.259819869745</v>
      </c>
      <c r="DT229" s="0" t="n">
        <v>40.5618565782759</v>
      </c>
      <c r="DU229" s="0" t="n">
        <v>-112.697963291469</v>
      </c>
      <c r="DX229" s="0" t="n">
        <v>1.23299611039215</v>
      </c>
      <c r="DY229" s="0" t="n">
        <v>1.83250891270624</v>
      </c>
      <c r="DZ229" s="0" t="n">
        <v>149.456039155441</v>
      </c>
      <c r="EA229" s="0" t="n">
        <v>40.2717584423895</v>
      </c>
      <c r="EB229" s="0" t="n">
        <v>-109.184280713051</v>
      </c>
    </row>
    <row r="230" customFormat="false" ht="12.8" hidden="false" customHeight="false" outlineLevel="0" collapsed="false">
      <c r="A230" s="0" t="str">
        <f aca="false">A36</f>
        <v>N-UM455-conti – star</v>
      </c>
      <c r="B230" s="42" t="n">
        <f aca="false">BP36</f>
        <v>1.51851393987789</v>
      </c>
      <c r="C230" s="42" t="s">
        <v>241</v>
      </c>
      <c r="D230" s="42" t="n">
        <f aca="false">BN36</f>
        <v>7.74</v>
      </c>
      <c r="E230" s="42" t="s">
        <v>241</v>
      </c>
      <c r="F230" s="42" t="n">
        <f aca="false">BM36</f>
        <v>1.3541084391474</v>
      </c>
      <c r="G230" s="42" t="s">
        <v>241</v>
      </c>
      <c r="H230" s="42"/>
      <c r="I230" s="42" t="n">
        <f aca="false">BJ36</f>
        <v>2.81967486601435</v>
      </c>
      <c r="J230" s="42" t="s">
        <v>241</v>
      </c>
      <c r="K230" s="42" t="n">
        <f aca="false">BL36</f>
        <v>2.07441923117618</v>
      </c>
      <c r="L230" s="42" t="s">
        <v>241</v>
      </c>
      <c r="M230" s="42" t="n">
        <f aca="false">BC36</f>
        <v>1.25902</v>
      </c>
      <c r="N230" s="42" t="s">
        <v>350</v>
      </c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DC230" s="0" t="n">
        <v>1.23299611039215</v>
      </c>
      <c r="DD230" s="0" t="n">
        <v>1.79239168949825</v>
      </c>
      <c r="DE230" s="0" t="e">
        <v>#VALUE!</v>
      </c>
      <c r="DF230" s="0" t="n">
        <v>0</v>
      </c>
      <c r="DG230" s="0" t="e">
        <v>#VALUE!</v>
      </c>
      <c r="DJ230" s="0" t="n">
        <v>1.23299611039215</v>
      </c>
      <c r="DK230" s="0" t="n">
        <v>1.79239168949825</v>
      </c>
      <c r="DL230" s="0" t="n">
        <v>147.739626315909</v>
      </c>
      <c r="DM230" s="0" t="n">
        <v>39.0888685217564</v>
      </c>
      <c r="DN230" s="0" t="n">
        <v>-108.650757794152</v>
      </c>
      <c r="DQ230" s="0" t="n">
        <v>1.23299611039215</v>
      </c>
      <c r="DR230" s="0" t="n">
        <v>1.79239168949825</v>
      </c>
      <c r="DS230" s="0" t="n">
        <v>151.747496464018</v>
      </c>
      <c r="DT230" s="0" t="n">
        <v>39.807392282766</v>
      </c>
      <c r="DU230" s="0" t="n">
        <v>-111.940104181252</v>
      </c>
      <c r="DX230" s="0" t="n">
        <v>1.23299611039215</v>
      </c>
      <c r="DY230" s="0" t="n">
        <v>1.79239168949825</v>
      </c>
      <c r="DZ230" s="0" t="n">
        <v>147.981250353431</v>
      </c>
      <c r="EA230" s="0" t="n">
        <v>39.2678630647137</v>
      </c>
      <c r="EB230" s="0" t="n">
        <v>-108.713387288717</v>
      </c>
    </row>
    <row r="231" customFormat="false" ht="12.8" hidden="false" customHeight="false" outlineLevel="0" collapsed="false">
      <c r="A231" s="0" t="str">
        <f aca="false">A37</f>
        <v>N-UM456-conti</v>
      </c>
      <c r="B231" s="42" t="n">
        <f aca="false">BP37</f>
        <v>1.69897000433602</v>
      </c>
      <c r="C231" s="42" t="s">
        <v>241</v>
      </c>
      <c r="D231" s="42" t="n">
        <f aca="false">BN37</f>
        <v>7.95</v>
      </c>
      <c r="E231" s="42" t="s">
        <v>241</v>
      </c>
      <c r="F231" s="42" t="n">
        <f aca="false">BM37</f>
        <v>1.20682587603185</v>
      </c>
      <c r="G231" s="42" t="s">
        <v>241</v>
      </c>
      <c r="H231" s="42"/>
      <c r="I231" s="42" t="n">
        <f aca="false">BJ37</f>
        <v>2.98153856858654</v>
      </c>
      <c r="J231" s="42" t="s">
        <v>241</v>
      </c>
      <c r="K231" s="42" t="n">
        <f aca="false">BL37</f>
        <v>1.91822534255641</v>
      </c>
      <c r="L231" s="42" t="s">
        <v>241</v>
      </c>
      <c r="M231" s="42" t="n">
        <f aca="false">BC37</f>
        <v>0.7559433</v>
      </c>
      <c r="N231" s="42" t="s">
        <v>350</v>
      </c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BZ231" s="0" t="s">
        <v>120</v>
      </c>
      <c r="CG231" s="0" t="s">
        <v>120</v>
      </c>
      <c r="CN231" s="0" t="s">
        <v>120</v>
      </c>
      <c r="CU231" s="0" t="s">
        <v>120</v>
      </c>
      <c r="DC231" s="0" t="n">
        <v>1.48572142648158</v>
      </c>
      <c r="DD231" s="0" t="n">
        <v>1.34242268082221</v>
      </c>
      <c r="DE231" s="0" t="e">
        <v>#VALUE!</v>
      </c>
      <c r="DF231" s="0" t="n">
        <v>0</v>
      </c>
      <c r="DG231" s="0" t="e">
        <v>#VALUE!</v>
      </c>
      <c r="DJ231" s="0" t="n">
        <v>1.48572142648158</v>
      </c>
      <c r="DK231" s="0" t="n">
        <v>1.34242268082221</v>
      </c>
      <c r="DL231" s="0" t="n">
        <v>140.502373656496</v>
      </c>
      <c r="DM231" s="0" t="n">
        <v>40.3263420583806</v>
      </c>
      <c r="DN231" s="0" t="n">
        <v>-100.176031598115</v>
      </c>
      <c r="DQ231" s="0" t="n">
        <v>1.48572142648158</v>
      </c>
      <c r="DR231" s="0" t="n">
        <v>1.34242268082221</v>
      </c>
      <c r="DS231" s="0" t="n">
        <v>144.311880808763</v>
      </c>
      <c r="DT231" s="0" t="n">
        <v>40.3264007404092</v>
      </c>
      <c r="DU231" s="0" t="n">
        <v>-103.985480068354</v>
      </c>
      <c r="DX231" s="0" t="n">
        <v>1.48572142648158</v>
      </c>
      <c r="DY231" s="0" t="n">
        <v>1.34242268082221</v>
      </c>
      <c r="DZ231" s="0" t="n">
        <v>140.730180467918</v>
      </c>
      <c r="EA231" s="0" t="n">
        <v>40.3264007404092</v>
      </c>
      <c r="EB231" s="0" t="n">
        <v>-100.403779727509</v>
      </c>
    </row>
    <row r="232" customFormat="false" ht="12.8" hidden="false" customHeight="false" outlineLevel="0" collapsed="false">
      <c r="A232" s="0" t="str">
        <f aca="false">A38</f>
        <v>N-UM461-conti</v>
      </c>
      <c r="B232" s="42" t="n">
        <f aca="false">BP38</f>
        <v>2.05307844348342</v>
      </c>
      <c r="C232" s="42" t="s">
        <v>241</v>
      </c>
      <c r="D232" s="42" t="n">
        <f aca="false">BN38</f>
        <v>7.77</v>
      </c>
      <c r="E232" s="42" t="s">
        <v>241</v>
      </c>
      <c r="F232" s="42" t="n">
        <f aca="false">BM38</f>
        <v>1.09691001300806</v>
      </c>
      <c r="G232" s="42" t="s">
        <v>241</v>
      </c>
      <c r="H232" s="42"/>
      <c r="I232" s="42" t="n">
        <f aca="false">BJ38</f>
        <v>2.5381406092624</v>
      </c>
      <c r="J232" s="42" t="s">
        <v>241</v>
      </c>
      <c r="K232" s="42" t="n">
        <f aca="false">BL38</f>
        <v>1.53606284006086</v>
      </c>
      <c r="L232" s="42" t="s">
        <v>241</v>
      </c>
      <c r="M232" s="42" t="n">
        <f aca="false">BC38</f>
        <v>0.7925869</v>
      </c>
      <c r="N232" s="42" t="s">
        <v>350</v>
      </c>
      <c r="P232" s="41" t="s">
        <v>374</v>
      </c>
      <c r="Q232" s="41"/>
      <c r="R232" s="41" t="n">
        <f aca="false">E137</f>
        <v>0.935539659275274</v>
      </c>
      <c r="S232" s="41" t="s">
        <v>352</v>
      </c>
      <c r="T232" s="41" t="n">
        <f aca="false">F137</f>
        <v>0.242116640315938</v>
      </c>
      <c r="U232" s="41" t="s">
        <v>375</v>
      </c>
      <c r="V232" s="43" t="n">
        <f aca="false">B137</f>
        <v>0.407475766510562</v>
      </c>
      <c r="W232" s="41" t="s">
        <v>350</v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BE232" s="0" t="s">
        <v>376</v>
      </c>
      <c r="BF232" s="0" t="str">
        <f aca="false">BG94</f>
        <v>log (LHβ) (erg s-¹) KTC</v>
      </c>
      <c r="BG232" s="0" t="str">
        <f aca="false">BH94</f>
        <v>log (LHβ) (erg s-¹) NTT</v>
      </c>
      <c r="BH232" s="0" t="str">
        <f aca="false">BI94</f>
        <v>log(LHβ) B.K (erg s-¹) NTT</v>
      </c>
      <c r="BI232" s="0" t="str">
        <f aca="false">BJ94</f>
        <v>log (R)</v>
      </c>
      <c r="BJ232" s="0" t="str">
        <f aca="false">BK94</f>
        <v>log (Whβ) FEROS</v>
      </c>
      <c r="BK232" s="0" t="str">
        <f aca="false">BL94</f>
        <v>log (σHβ) (Km s-¹)</v>
      </c>
      <c r="BL232" s="0" t="str">
        <f aca="false">BM94</f>
        <v>log(O/H)</v>
      </c>
      <c r="BM232" s="0" t="str">
        <f aca="false">BN94</f>
        <v>log (r)</v>
      </c>
      <c r="CA232" s="0" t="s">
        <v>123</v>
      </c>
      <c r="CB232" s="0" t="s">
        <v>124</v>
      </c>
      <c r="CC232" s="0" t="s">
        <v>125</v>
      </c>
      <c r="CD232" s="0" t="s">
        <v>126</v>
      </c>
      <c r="CE232" s="0" t="s">
        <v>127</v>
      </c>
      <c r="CH232" s="0" t="s">
        <v>123</v>
      </c>
      <c r="CI232" s="0" t="s">
        <v>124</v>
      </c>
      <c r="CJ232" s="0" t="s">
        <v>125</v>
      </c>
      <c r="CK232" s="0" t="s">
        <v>126</v>
      </c>
      <c r="CL232" s="0" t="s">
        <v>127</v>
      </c>
      <c r="CO232" s="0" t="s">
        <v>123</v>
      </c>
      <c r="CP232" s="0" t="s">
        <v>124</v>
      </c>
      <c r="CQ232" s="0" t="s">
        <v>125</v>
      </c>
      <c r="CR232" s="0" t="s">
        <v>126</v>
      </c>
      <c r="CS232" s="0" t="s">
        <v>127</v>
      </c>
      <c r="CV232" s="0" t="s">
        <v>123</v>
      </c>
      <c r="CW232" s="0" t="s">
        <v>124</v>
      </c>
      <c r="CX232" s="0" t="s">
        <v>125</v>
      </c>
      <c r="CY232" s="0" t="s">
        <v>126</v>
      </c>
      <c r="CZ232" s="0" t="s">
        <v>127</v>
      </c>
      <c r="DC232" s="0" t="n">
        <v>1.25527250510331</v>
      </c>
      <c r="DD232" s="0" t="n">
        <v>1.32221929473392</v>
      </c>
      <c r="DE232" s="0" t="e">
        <v>#VALUE!</v>
      </c>
      <c r="DF232" s="0" t="n">
        <v>0</v>
      </c>
      <c r="DG232" s="0" t="e">
        <v>#VALUE!</v>
      </c>
      <c r="DJ232" s="0" t="n">
        <v>1.25527250510331</v>
      </c>
      <c r="DK232" s="0" t="n">
        <v>1.32221929473392</v>
      </c>
      <c r="DL232" s="0" t="n">
        <v>131.305455595333</v>
      </c>
      <c r="DM232" s="0" t="n">
        <v>39.8138398098754</v>
      </c>
      <c r="DN232" s="0" t="n">
        <v>-91.4916157854575</v>
      </c>
      <c r="DQ232" s="0" t="n">
        <v>1.25527250510331</v>
      </c>
      <c r="DR232" s="0" t="n">
        <v>1.32221929473392</v>
      </c>
      <c r="DS232" s="0" t="n">
        <v>134.8628880578</v>
      </c>
      <c r="DT232" s="0" t="n">
        <v>40.2861528339909</v>
      </c>
      <c r="DU232" s="0" t="n">
        <v>-94.5767352238093</v>
      </c>
      <c r="DX232" s="0" t="n">
        <v>1.25527250510331</v>
      </c>
      <c r="DY232" s="0" t="n">
        <v>1.32221929473392</v>
      </c>
      <c r="DZ232" s="0" t="n">
        <v>131.515703824479</v>
      </c>
      <c r="EA232" s="0" t="n">
        <v>39.8999512285901</v>
      </c>
      <c r="EB232" s="0" t="n">
        <v>-91.6157525958892</v>
      </c>
    </row>
    <row r="233" customFormat="false" ht="12.8" hidden="false" customHeight="false" outlineLevel="0" collapsed="false">
      <c r="A233" s="0" t="str">
        <f aca="false">A39</f>
        <v>N-UM463-conti $</v>
      </c>
      <c r="B233" s="42" t="n">
        <f aca="false">BP39</f>
        <v>1.97772360528885</v>
      </c>
      <c r="C233" s="42" t="s">
        <v>241</v>
      </c>
      <c r="D233" s="42" t="n">
        <f aca="false">BN39</f>
        <v>7.92</v>
      </c>
      <c r="E233" s="42" t="s">
        <v>241</v>
      </c>
      <c r="F233" s="42" t="n">
        <f aca="false">BM39</f>
        <v>1.28330122870355</v>
      </c>
      <c r="G233" s="42" t="s">
        <v>241</v>
      </c>
      <c r="H233" s="42"/>
      <c r="I233" s="42" t="n">
        <f aca="false">BJ39</f>
        <v>2.37977395062333</v>
      </c>
      <c r="J233" s="42" t="s">
        <v>241</v>
      </c>
      <c r="K233" s="42" t="n">
        <f aca="false">BL39</f>
        <v>1.58559671011752</v>
      </c>
      <c r="L233" s="42" t="s">
        <v>241</v>
      </c>
      <c r="M233" s="42" t="n">
        <f aca="false">BC39</f>
        <v>0.8389066</v>
      </c>
      <c r="N233" s="42" t="s">
        <v>350</v>
      </c>
      <c r="P233" s="41" t="s">
        <v>377</v>
      </c>
      <c r="Q233" s="41"/>
      <c r="R233" s="41" t="n">
        <f aca="false">E138</f>
        <v>0.757908368362654</v>
      </c>
      <c r="S233" s="41" t="s">
        <v>352</v>
      </c>
      <c r="T233" s="41" t="n">
        <f aca="false">F138</f>
        <v>0.241948253216289</v>
      </c>
      <c r="U233" s="41" t="s">
        <v>375</v>
      </c>
      <c r="V233" s="43" t="n">
        <f aca="false">B138</f>
        <v>0.40719237556969</v>
      </c>
      <c r="W233" s="41" t="s">
        <v>350</v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BE233" s="0" t="str">
        <f aca="false">BF232</f>
        <v>log (LHβ) (erg s-¹) KTC</v>
      </c>
      <c r="BF233" s="0" t="n">
        <f aca="false">CORREL(Sheet1!$BG$95:$BG$132, Sheet1!$BG$95:$BG$132)</f>
        <v>1</v>
      </c>
      <c r="BZ233" s="0" t="s">
        <v>130</v>
      </c>
      <c r="CA233" s="0" t="n">
        <f aca="false">$CA$227</f>
        <v>2</v>
      </c>
      <c r="CB233" s="0" t="n">
        <f aca="false">$BZ$222</f>
        <v>5.41250302881624</v>
      </c>
      <c r="CC233" s="0" t="n">
        <f aca="false">$BZ$222 / $CA$233</f>
        <v>2.70625151440812</v>
      </c>
      <c r="CD233" s="0" t="n">
        <f aca="false">$BZ$221</f>
        <v>25.8360811560334</v>
      </c>
      <c r="CE233" s="0" t="n">
        <f aca="false">FDIST($BZ$221 , $CA$233 , $CA$221)</f>
        <v>1.28320848886629E-007</v>
      </c>
      <c r="CG233" s="0" t="s">
        <v>130</v>
      </c>
      <c r="CH233" s="0" t="n">
        <f aca="false">$CH$227</f>
        <v>2</v>
      </c>
      <c r="CI233" s="0" t="n">
        <f aca="false">$CG$222</f>
        <v>3.37856055298446</v>
      </c>
      <c r="CJ233" s="0" t="n">
        <f aca="false">$CG$222 / $CH$233</f>
        <v>1.68928027649223</v>
      </c>
      <c r="CK233" s="0" t="n">
        <f aca="false">$CG$221</f>
        <v>12.3908711034782</v>
      </c>
      <c r="CL233" s="0" t="n">
        <f aca="false">FDIST($CG$221 , $CH$233 , $CH$221)</f>
        <v>8.53573347391867E-005</v>
      </c>
      <c r="CN233" s="0" t="s">
        <v>130</v>
      </c>
      <c r="CO233" s="0" t="n">
        <f aca="false">$CO$227</f>
        <v>2</v>
      </c>
      <c r="CP233" s="0" t="n">
        <f aca="false">$CN$222</f>
        <v>4.97122900325194</v>
      </c>
      <c r="CQ233" s="0" t="n">
        <f aca="false">$CN$222 / $CO$233</f>
        <v>2.48561450162597</v>
      </c>
      <c r="CR233" s="0" t="n">
        <f aca="false">$CN$221</f>
        <v>19.993327457307</v>
      </c>
      <c r="CS233" s="0" t="n">
        <f aca="false">FDIST($CN$221 , $CO$233 , $CO$221)</f>
        <v>1.61797242761833E-006</v>
      </c>
      <c r="CU233" s="0" t="s">
        <v>130</v>
      </c>
      <c r="CV233" s="0" t="n">
        <f aca="false">$CV$227</f>
        <v>1</v>
      </c>
      <c r="CW233" s="0" t="n">
        <f aca="false">$CU$222</f>
        <v>0.517915756448505</v>
      </c>
      <c r="CX233" s="0" t="n">
        <f aca="false">$CU$222 / $CV$233</f>
        <v>0.517915756448505</v>
      </c>
      <c r="CY233" s="0" t="n">
        <f aca="false">$CU$221</f>
        <v>8.06843318976102</v>
      </c>
      <c r="CZ233" s="0" t="n">
        <f aca="false">FDIST($CU$221 , $CV$233 , $CV$221)</f>
        <v>0.0073663455702001</v>
      </c>
      <c r="DC233" s="0" t="n">
        <v>1.39269695325967</v>
      </c>
      <c r="DD233" s="0" t="n">
        <v>1.55630250076729</v>
      </c>
      <c r="DE233" s="0" t="e">
        <v>#VALUE!</v>
      </c>
      <c r="DF233" s="0" t="n">
        <v>0</v>
      </c>
      <c r="DG233" s="0" t="e">
        <v>#VALUE!</v>
      </c>
      <c r="DJ233" s="0" t="n">
        <v>1.39269695325967</v>
      </c>
      <c r="DK233" s="0" t="n">
        <v>1.55630250076729</v>
      </c>
      <c r="DL233" s="0" t="n">
        <v>144.936790128863</v>
      </c>
      <c r="DM233" s="0" t="n">
        <v>39.5808250944804</v>
      </c>
      <c r="DN233" s="0" t="n">
        <v>-105.355965034382</v>
      </c>
      <c r="DQ233" s="0" t="n">
        <v>1.39269695325967</v>
      </c>
      <c r="DR233" s="0" t="n">
        <v>1.55630250076729</v>
      </c>
      <c r="DS233" s="0" t="n">
        <v>148.86783844843</v>
      </c>
      <c r="DT233" s="0" t="n">
        <v>40.2880850465456</v>
      </c>
      <c r="DU233" s="0" t="n">
        <v>-108.579753401884</v>
      </c>
      <c r="DX233" s="0" t="n">
        <v>1.39269695325967</v>
      </c>
      <c r="DY233" s="0" t="n">
        <v>1.55630250076729</v>
      </c>
      <c r="DZ233" s="0" t="n">
        <v>145.173063044469</v>
      </c>
      <c r="EA233" s="0" t="n">
        <v>39.4996349548837</v>
      </c>
      <c r="EB233" s="0" t="n">
        <v>-105.673428089585</v>
      </c>
    </row>
    <row r="234" customFormat="false" ht="12.8" hidden="false" customHeight="false" outlineLevel="0" collapsed="false">
      <c r="A234" s="0" t="str">
        <f aca="false">A40</f>
        <v>N-UM483-conti</v>
      </c>
      <c r="B234" s="42" t="n">
        <f aca="false">BP40</f>
        <v>1.07918124604762</v>
      </c>
      <c r="C234" s="42" t="s">
        <v>241</v>
      </c>
      <c r="D234" s="42" t="n">
        <f aca="false">BN40</f>
        <v>7.85</v>
      </c>
      <c r="E234" s="42" t="s">
        <v>241</v>
      </c>
      <c r="F234" s="42" t="n">
        <f aca="false">BM40</f>
        <v>1.23552844690755</v>
      </c>
      <c r="G234" s="42" t="s">
        <v>241</v>
      </c>
      <c r="H234" s="42"/>
      <c r="I234" s="42" t="n">
        <f aca="false">BJ40</f>
        <v>2.77079593079515</v>
      </c>
      <c r="J234" s="42" t="s">
        <v>241</v>
      </c>
      <c r="K234" s="42" t="n">
        <f aca="false">BL40</f>
        <v>1.92192076742725</v>
      </c>
      <c r="L234" s="42" t="s">
        <v>241</v>
      </c>
      <c r="M234" s="42" t="n">
        <f aca="false">BC40</f>
        <v>0.5630975</v>
      </c>
      <c r="N234" s="42" t="s">
        <v>350</v>
      </c>
      <c r="P234" s="41" t="s">
        <v>378</v>
      </c>
      <c r="Q234" s="41"/>
      <c r="R234" s="41" t="n">
        <f aca="false">E139</f>
        <v>0.709454264634644</v>
      </c>
      <c r="S234" s="41" t="s">
        <v>352</v>
      </c>
      <c r="T234" s="41" t="n">
        <f aca="false">F139</f>
        <v>0.266072389491026</v>
      </c>
      <c r="U234" s="41" t="s">
        <v>375</v>
      </c>
      <c r="V234" s="43" t="n">
        <f aca="false">B139</f>
        <v>0.447792645369926</v>
      </c>
      <c r="W234" s="41" t="s">
        <v>350</v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BE234" s="0" t="str">
        <f aca="false">BG232</f>
        <v>log (LHβ) (erg s-¹) NTT</v>
      </c>
      <c r="BF234" s="0" t="n">
        <f aca="false">CORREL(Sheet1!$BG$95:$BG$132, Sheet1!$BH$95:$BH$132)</f>
        <v>0.880365103735788</v>
      </c>
      <c r="BG234" s="0" t="n">
        <f aca="false">CORREL(Sheet1!$BH$95:$BH$132, Sheet1!$BH$95:$BH$132)</f>
        <v>1</v>
      </c>
      <c r="BZ234" s="0" t="s">
        <v>133</v>
      </c>
      <c r="CA234" s="0" t="n">
        <f aca="false">$CA$221</f>
        <v>35</v>
      </c>
      <c r="CB234" s="0" t="n">
        <f aca="false">$CA$222</f>
        <v>3.66614435185596</v>
      </c>
      <c r="CC234" s="0" t="n">
        <f aca="false">$CA$222 / $CA$221</f>
        <v>0.104746981481599</v>
      </c>
      <c r="CG234" s="0" t="s">
        <v>133</v>
      </c>
      <c r="CH234" s="0" t="n">
        <f aca="false">$CH$221</f>
        <v>35</v>
      </c>
      <c r="CI234" s="0" t="n">
        <f aca="false">$CH$222</f>
        <v>4.77164270239492</v>
      </c>
      <c r="CJ234" s="0" t="n">
        <f aca="false">$CH$222 / $CH$221</f>
        <v>0.136332648639855</v>
      </c>
      <c r="CN234" s="0" t="s">
        <v>133</v>
      </c>
      <c r="CO234" s="0" t="n">
        <f aca="false">$CO$221</f>
        <v>35</v>
      </c>
      <c r="CP234" s="0" t="n">
        <f aca="false">$CO$222</f>
        <v>4.35127708195037</v>
      </c>
      <c r="CQ234" s="0" t="n">
        <f aca="false">$CO$222 / $CO$221</f>
        <v>0.124322202341439</v>
      </c>
      <c r="CU234" s="0" t="s">
        <v>133</v>
      </c>
      <c r="CV234" s="0" t="n">
        <f aca="false">$CV$221</f>
        <v>36</v>
      </c>
      <c r="CW234" s="0" t="n">
        <f aca="false">$CV$222</f>
        <v>2.31085351934338</v>
      </c>
      <c r="CX234" s="0" t="n">
        <f aca="false">$CV$222 / $CV$221</f>
        <v>0.0641903755373161</v>
      </c>
      <c r="DC234" s="0" t="n">
        <v>1.50379068305718</v>
      </c>
      <c r="DD234" s="0" t="n">
        <v>1.79239168949825</v>
      </c>
      <c r="DE234" s="0" t="e">
        <v>#VALUE!</v>
      </c>
      <c r="DF234" s="0" t="n">
        <v>0</v>
      </c>
      <c r="DG234" s="0" t="e">
        <v>#VALUE!</v>
      </c>
      <c r="DJ234" s="0" t="n">
        <v>1.50379068305718</v>
      </c>
      <c r="DK234" s="0" t="n">
        <v>1.79239168949825</v>
      </c>
      <c r="DL234" s="0" t="n">
        <v>157.675603053487</v>
      </c>
      <c r="DM234" s="0" t="n">
        <v>40.3643638589132</v>
      </c>
      <c r="DN234" s="0" t="n">
        <v>-117.311239194574</v>
      </c>
      <c r="DQ234" s="0" t="n">
        <v>1.50379068305718</v>
      </c>
      <c r="DR234" s="0" t="n">
        <v>1.79239168949825</v>
      </c>
      <c r="DS234" s="0" t="n">
        <v>161.955804458363</v>
      </c>
      <c r="DT234" s="0" t="n">
        <v>41.0286745143046</v>
      </c>
      <c r="DU234" s="0" t="n">
        <v>-120.927129944059</v>
      </c>
      <c r="DX234" s="0" t="n">
        <v>1.50379068305718</v>
      </c>
      <c r="DY234" s="0" t="n">
        <v>1.79239168949825</v>
      </c>
      <c r="DZ234" s="0" t="n">
        <v>157.936196670152</v>
      </c>
      <c r="EA234" s="0" t="n">
        <v>40.3849932800756</v>
      </c>
      <c r="EB234" s="0" t="n">
        <v>-117.551203390076</v>
      </c>
    </row>
    <row r="235" customFormat="false" ht="12.8" hidden="false" customHeight="false" outlineLevel="0" collapsed="false">
      <c r="A235" s="0" t="str">
        <f aca="false">A41</f>
        <v>N-UM559-conti</v>
      </c>
      <c r="B235" s="42" t="n">
        <f aca="false">BP41</f>
        <v>1.7160033436348</v>
      </c>
      <c r="C235" s="42" t="s">
        <v>241</v>
      </c>
      <c r="D235" s="42" t="n">
        <f aca="false">BN41</f>
        <v>7.72</v>
      </c>
      <c r="E235" s="42" t="s">
        <v>241</v>
      </c>
      <c r="F235" s="42" t="n">
        <f aca="false">BM41</f>
        <v>1.22788670461367</v>
      </c>
      <c r="G235" s="42" t="s">
        <v>241</v>
      </c>
      <c r="H235" s="42"/>
      <c r="I235" s="42" t="n">
        <f aca="false">BJ41</f>
        <v>1.8572240799594</v>
      </c>
      <c r="J235" s="42" t="s">
        <v>241</v>
      </c>
      <c r="K235" s="42" t="n">
        <f aca="false">BL41</f>
        <v>1.75461831766389</v>
      </c>
      <c r="L235" s="42" t="s">
        <v>241</v>
      </c>
      <c r="M235" s="42" t="n">
        <f aca="false">BC41</f>
        <v>0.7322602</v>
      </c>
      <c r="N235" s="42" t="s">
        <v>350</v>
      </c>
      <c r="P235" s="41"/>
      <c r="Q235" s="41"/>
      <c r="R235" s="41"/>
      <c r="S235" s="41"/>
      <c r="T235" s="41"/>
      <c r="U235" s="41"/>
      <c r="V235" s="43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BE235" s="0" t="str">
        <f aca="false">BH232</f>
        <v>log(LHβ) B.K (erg s-¹) NTT</v>
      </c>
      <c r="BF235" s="0" t="n">
        <f aca="false">CORREL(Sheet1!$BG$95:$BG$132, Sheet1!$BI$95:$BI$132)</f>
        <v>0.886913482338502</v>
      </c>
      <c r="BG235" s="0" t="n">
        <f aca="false">CORREL(Sheet1!$BH$95:$BH$132, Sheet1!$BI$95:$BI$132)</f>
        <v>0.871775101673153</v>
      </c>
      <c r="BH235" s="0" t="n">
        <f aca="false">CORREL(Sheet1!$BI$95:$BI$132, Sheet1!$BI$95:$BI$132)</f>
        <v>1</v>
      </c>
      <c r="BZ235" s="0" t="s">
        <v>136</v>
      </c>
      <c r="CA235" s="0" t="n">
        <f aca="false">$CA$233 + $CA$221</f>
        <v>37</v>
      </c>
      <c r="CB235" s="0" t="n">
        <f aca="false">$BZ$222 + $CA$222</f>
        <v>9.07864738067219</v>
      </c>
      <c r="CG235" s="0" t="s">
        <v>136</v>
      </c>
      <c r="CH235" s="0" t="n">
        <f aca="false">$CH$233 + $CH$221</f>
        <v>37</v>
      </c>
      <c r="CI235" s="0" t="n">
        <f aca="false">$CG$222 + $CH$222</f>
        <v>8.15020325537938</v>
      </c>
      <c r="CN235" s="0" t="s">
        <v>136</v>
      </c>
      <c r="CO235" s="0" t="n">
        <f aca="false">$CO$233 + $CO$221</f>
        <v>37</v>
      </c>
      <c r="CP235" s="0" t="n">
        <f aca="false">$CN$222 + $CO$222</f>
        <v>9.32250608520231</v>
      </c>
      <c r="CU235" s="0" t="s">
        <v>136</v>
      </c>
      <c r="CV235" s="0" t="n">
        <f aca="false">$CV$233 + $CV$221</f>
        <v>37</v>
      </c>
      <c r="CW235" s="0" t="n">
        <f aca="false">$CU$222 + $CV$222</f>
        <v>2.82876927579188</v>
      </c>
      <c r="DC235" s="0" t="n">
        <v>1.24303804868629</v>
      </c>
      <c r="DD235" s="0" t="n">
        <v>2.11058971029925</v>
      </c>
      <c r="DE235" s="0" t="e">
        <v>#VALUE!</v>
      </c>
      <c r="DF235" s="0" t="n">
        <v>0</v>
      </c>
      <c r="DG235" s="0" t="e">
        <v>#VALUE!</v>
      </c>
      <c r="DJ235" s="0" t="n">
        <v>1.24303804868629</v>
      </c>
      <c r="DK235" s="0" t="n">
        <v>2.11058971029925</v>
      </c>
      <c r="DL235" s="0" t="n">
        <v>159.783385412762</v>
      </c>
      <c r="DM235" s="0" t="n">
        <v>39.8907352023789</v>
      </c>
      <c r="DN235" s="0" t="n">
        <v>-119.892650210383</v>
      </c>
      <c r="DQ235" s="0" t="n">
        <v>1.24303804868629</v>
      </c>
      <c r="DR235" s="0" t="n">
        <v>2.11058971029925</v>
      </c>
      <c r="DS235" s="0" t="n">
        <v>164.121358190706</v>
      </c>
      <c r="DT235" s="0" t="n">
        <v>40.3666338830954</v>
      </c>
      <c r="DU235" s="0" t="n">
        <v>-123.75472430761</v>
      </c>
      <c r="DX235" s="0" t="n">
        <v>1.24303804868629</v>
      </c>
      <c r="DY235" s="0" t="n">
        <v>2.11058971029925</v>
      </c>
      <c r="DZ235" s="0" t="n">
        <v>160.048003167701</v>
      </c>
      <c r="EA235" s="0" t="n">
        <v>40.0674853105121</v>
      </c>
      <c r="EB235" s="0" t="n">
        <v>-119.980517857189</v>
      </c>
    </row>
    <row r="236" customFormat="false" ht="12.8" hidden="false" customHeight="false" outlineLevel="0" collapsed="false">
      <c r="A236" s="0" t="n">
        <f aca="false">A42</f>
        <v>0</v>
      </c>
      <c r="P236" s="41" t="s">
        <v>379</v>
      </c>
      <c r="Q236" s="41"/>
      <c r="R236" s="41" t="n">
        <f aca="false">E141</f>
        <v>1.1992092723776</v>
      </c>
      <c r="S236" s="41" t="s">
        <v>352</v>
      </c>
      <c r="T236" s="41" t="n">
        <f aca="false">F141</f>
        <v>0.21175132544547</v>
      </c>
      <c r="U236" s="41" t="s">
        <v>375</v>
      </c>
      <c r="V236" s="43" t="n">
        <f aca="false">B141</f>
        <v>0.353312848757567</v>
      </c>
      <c r="W236" s="41" t="s">
        <v>350</v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BE236" s="0" t="str">
        <f aca="false">BI232</f>
        <v>log (R)</v>
      </c>
      <c r="BF236" s="0" t="n">
        <f aca="false">CORREL(Sheet1!$BG$95:$BG$132, Sheet1!$BJ$95:$BJ$132)</f>
        <v>0.538560276559802</v>
      </c>
      <c r="BG236" s="0" t="n">
        <f aca="false">CORREL(Sheet1!$BH$95:$BH$132, Sheet1!$BJ$95:$BJ$132)</f>
        <v>0.456357777433903</v>
      </c>
      <c r="BH236" s="0" t="n">
        <f aca="false">CORREL(Sheet1!$BI$95:$BI$132, Sheet1!$BJ$95:$BJ$132)</f>
        <v>0.402199796816799</v>
      </c>
      <c r="BI236" s="0" t="n">
        <f aca="false">CORREL(Sheet1!$BJ$95:$BJ$132, Sheet1!$BJ$95:$BJ$132)</f>
        <v>1</v>
      </c>
      <c r="DC236" s="0" t="n">
        <v>1.3096301674259</v>
      </c>
      <c r="DD236" s="0" t="n">
        <v>1.70757017609794</v>
      </c>
      <c r="DE236" s="0" t="e">
        <v>#VALUE!</v>
      </c>
      <c r="DF236" s="0" t="n">
        <v>0</v>
      </c>
      <c r="DG236" s="0" t="e">
        <v>#VALUE!</v>
      </c>
      <c r="DJ236" s="0" t="n">
        <v>1.3096301674259</v>
      </c>
      <c r="DK236" s="0" t="n">
        <v>1.70757017609794</v>
      </c>
      <c r="DL236" s="0" t="n">
        <v>147.43921270275</v>
      </c>
      <c r="DM236" s="0" t="n">
        <v>39.8855611883631</v>
      </c>
      <c r="DN236" s="0" t="n">
        <v>-107.553651514387</v>
      </c>
      <c r="DQ236" s="0" t="n">
        <v>1.3096301674259</v>
      </c>
      <c r="DR236" s="0" t="n">
        <v>1.70757017609794</v>
      </c>
      <c r="DS236" s="0" t="n">
        <v>151.438848932948</v>
      </c>
      <c r="DT236" s="0" t="n">
        <v>40.3210963526474</v>
      </c>
      <c r="DU236" s="0" t="n">
        <v>-111.117752580301</v>
      </c>
      <c r="DX236" s="0" t="n">
        <v>1.3096301674259</v>
      </c>
      <c r="DY236" s="0" t="n">
        <v>1.70757017609794</v>
      </c>
      <c r="DZ236" s="0" t="n">
        <v>147.680263196275</v>
      </c>
      <c r="EA236" s="0" t="n">
        <v>40.3210963526474</v>
      </c>
      <c r="EB236" s="0" t="n">
        <v>-107.359166843628</v>
      </c>
    </row>
    <row r="237" customFormat="false" ht="12.8" hidden="false" customHeight="false" outlineLevel="0" collapsed="false">
      <c r="P237" s="41" t="s">
        <v>380</v>
      </c>
      <c r="Q237" s="41"/>
      <c r="R237" s="41" t="n">
        <f aca="false">E142</f>
        <v>0.831104775191189</v>
      </c>
      <c r="S237" s="41" t="s">
        <v>352</v>
      </c>
      <c r="T237" s="41" t="n">
        <f aca="false">F142</f>
        <v>0.238082876868777</v>
      </c>
      <c r="U237" s="41" t="s">
        <v>375</v>
      </c>
      <c r="V237" s="43" t="n">
        <f aca="false">B142</f>
        <v>0.397247758850825</v>
      </c>
      <c r="W237" s="41" t="s">
        <v>350</v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BE237" s="0" t="str">
        <f aca="false">BJ232</f>
        <v>log (Whβ) FEROS</v>
      </c>
      <c r="BF237" s="0" t="n">
        <f aca="false">CORREL(Sheet1!$BG$95:$BG$132, Sheet1!$BK$95:$BK$132)</f>
        <v>-0.00195736501011874</v>
      </c>
      <c r="BG237" s="0" t="n">
        <f aca="false">CORREL(Sheet1!$BH$95:$BH$132, Sheet1!$BK$95:$BK$132)</f>
        <v>-0.0238678739398539</v>
      </c>
      <c r="BH237" s="0" t="n">
        <f aca="false">CORREL(Sheet1!$BI$95:$BI$132, Sheet1!$BK$95:$BK$132)</f>
        <v>-0.0220768122712901</v>
      </c>
      <c r="BI237" s="0" t="n">
        <f aca="false">CORREL(Sheet1!$BJ$95:$BJ$132, Sheet1!$BK$95:$BK$132)</f>
        <v>-0.514969688072873</v>
      </c>
      <c r="BJ237" s="0" t="n">
        <f aca="false">CORREL(Sheet1!$BK$95:$BK$132, Sheet1!$BK$95:$BK$132)</f>
        <v>1</v>
      </c>
      <c r="BZ237" s="0" t="s">
        <v>141</v>
      </c>
      <c r="CA237" s="0" t="n">
        <v>0.95</v>
      </c>
      <c r="CG237" s="0" t="s">
        <v>141</v>
      </c>
      <c r="CH237" s="0" t="n">
        <v>0.95</v>
      </c>
      <c r="CN237" s="0" t="s">
        <v>141</v>
      </c>
      <c r="CO237" s="0" t="n">
        <v>0.95</v>
      </c>
      <c r="CU237" s="0" t="s">
        <v>141</v>
      </c>
      <c r="CV237" s="0" t="n">
        <v>0.95</v>
      </c>
      <c r="DC237" s="0" t="n">
        <v>1.54900326202579</v>
      </c>
      <c r="DD237" s="0" t="n">
        <v>2</v>
      </c>
      <c r="DE237" s="0" t="e">
        <v>#VALUE!</v>
      </c>
      <c r="DF237" s="0" t="n">
        <v>0</v>
      </c>
      <c r="DG237" s="0" t="e">
        <v>#VALUE!</v>
      </c>
      <c r="DJ237" s="0" t="n">
        <v>1.54900326202579</v>
      </c>
      <c r="DK237" s="0" t="n">
        <v>2</v>
      </c>
      <c r="DL237" s="0" t="n">
        <v>166.952090583607</v>
      </c>
      <c r="DM237" s="0" t="n">
        <v>40.8602418490241</v>
      </c>
      <c r="DN237" s="0" t="n">
        <v>-126.091848734582</v>
      </c>
      <c r="DQ237" s="0" t="n">
        <v>1.54900326202579</v>
      </c>
      <c r="DR237" s="0" t="n">
        <v>2</v>
      </c>
      <c r="DS237" s="0" t="n">
        <v>171.486547566388</v>
      </c>
      <c r="DT237" s="0" t="n">
        <v>41.2889669095893</v>
      </c>
      <c r="DU237" s="0" t="n">
        <v>-130.197580656799</v>
      </c>
      <c r="DX237" s="0" t="n">
        <v>1.54900326202579</v>
      </c>
      <c r="DY237" s="0" t="n">
        <v>2</v>
      </c>
      <c r="DZ237" s="0" t="n">
        <v>167.230394695075</v>
      </c>
      <c r="EA237" s="0" t="n">
        <v>40.7432526092177</v>
      </c>
      <c r="EB237" s="0" t="n">
        <v>-126.487142085857</v>
      </c>
    </row>
    <row r="238" customFormat="false" ht="12.8" hidden="false" customHeight="false" outlineLevel="0" collapsed="false">
      <c r="P238" s="41" t="s">
        <v>381</v>
      </c>
      <c r="Q238" s="41"/>
      <c r="R238" s="41" t="n">
        <f aca="false">E143</f>
        <v>1.10775660010363</v>
      </c>
      <c r="S238" s="41" t="s">
        <v>352</v>
      </c>
      <c r="T238" s="41" t="n">
        <f aca="false">F143</f>
        <v>0.229565022218769</v>
      </c>
      <c r="U238" s="41" t="s">
        <v>375</v>
      </c>
      <c r="V238" s="43" t="n">
        <f aca="false">B143</f>
        <v>0.383035486576419</v>
      </c>
      <c r="W238" s="41" t="s">
        <v>350</v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BE238" s="0" t="str">
        <f aca="false">BK232</f>
        <v>log (σHβ) (Km s-¹)</v>
      </c>
      <c r="BF238" s="0" t="n">
        <f aca="false">CORREL(Sheet1!$BG$95:$BG$132, Sheet1!$BL$95:$BL$132)</f>
        <v>0.770895627777412</v>
      </c>
      <c r="BG238" s="0" t="n">
        <f aca="false">CORREL(Sheet1!$BH$95:$BH$132, Sheet1!$BL$95:$BL$132)</f>
        <v>0.64006426964024</v>
      </c>
      <c r="BH238" s="0" t="n">
        <f aca="false">CORREL(Sheet1!$BI$95:$BI$132, Sheet1!$BL$95:$BL$132)</f>
        <v>0.725713018462778</v>
      </c>
      <c r="BI238" s="0" t="n">
        <f aca="false">CORREL(Sheet1!$BJ$95:$BJ$132, Sheet1!$BL$95:$BL$132)</f>
        <v>0.358395436419874</v>
      </c>
      <c r="BJ238" s="0" t="n">
        <f aca="false">CORREL(Sheet1!$BK$95:$BK$132, Sheet1!$BL$95:$BL$132)</f>
        <v>-0.144507325053967</v>
      </c>
      <c r="BK238" s="0" t="n">
        <f aca="false">CORREL(Sheet1!$BL$95:$BL$132, Sheet1!$BL$95:$BL$132)</f>
        <v>1</v>
      </c>
      <c r="DC238" s="0" t="n">
        <v>1.38021124171161</v>
      </c>
      <c r="DD238" s="0" t="n">
        <v>0.698970004336019</v>
      </c>
      <c r="DE238" s="0" t="e">
        <v>#VALUE!</v>
      </c>
      <c r="DF238" s="0" t="n">
        <v>0</v>
      </c>
      <c r="DG238" s="0" t="e">
        <v>#VALUE!</v>
      </c>
      <c r="DJ238" s="0" t="n">
        <v>1.38021124171161</v>
      </c>
      <c r="DK238" s="0" t="n">
        <v>0.698970004336019</v>
      </c>
      <c r="DL238" s="0" t="n">
        <v>113.021477368533</v>
      </c>
      <c r="DM238" s="0" t="n">
        <v>39.5307026003539</v>
      </c>
      <c r="DN238" s="0" t="n">
        <v>-73.4907747681789</v>
      </c>
      <c r="DQ238" s="0" t="n">
        <v>1.38021124171161</v>
      </c>
      <c r="DR238" s="0" t="n">
        <v>0.698970004336019</v>
      </c>
      <c r="DS238" s="0" t="n">
        <v>116.07777150301</v>
      </c>
      <c r="DT238" s="0" t="n">
        <v>40.3112205857885</v>
      </c>
      <c r="DU238" s="0" t="n">
        <v>-75.7665509172218</v>
      </c>
      <c r="DX238" s="0" t="n">
        <v>1.38021124171161</v>
      </c>
      <c r="DY238" s="0" t="n">
        <v>0.698970004336019</v>
      </c>
      <c r="DZ238" s="0" t="n">
        <v>113.196818171747</v>
      </c>
      <c r="EA238" s="0" t="n">
        <v>39.8411325938</v>
      </c>
      <c r="EB238" s="0" t="n">
        <v>-73.3556855779471</v>
      </c>
    </row>
    <row r="239" customFormat="false" ht="12.8" hidden="false" customHeight="false" outlineLevel="0" collapsed="false">
      <c r="P239" s="41"/>
      <c r="Q239" s="41"/>
      <c r="R239" s="41"/>
      <c r="S239" s="41"/>
      <c r="T239" s="41"/>
      <c r="U239" s="41"/>
      <c r="V239" s="43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BE239" s="0" t="str">
        <f aca="false">BL232</f>
        <v>log(O/H)</v>
      </c>
      <c r="BF239" s="0" t="n">
        <f aca="false">CORREL(Sheet1!$BG$95:$BG$132, Sheet1!$BM$95:$BM$132)</f>
        <v>0.124287411380854</v>
      </c>
      <c r="BG239" s="0" t="n">
        <f aca="false">CORREL(Sheet1!$BH$95:$BH$132, Sheet1!$BM$95:$BM$132)</f>
        <v>0.07331041488553</v>
      </c>
      <c r="BH239" s="0" t="n">
        <f aca="false">CORREL(Sheet1!$BI$95:$BI$132, Sheet1!$BM$95:$BM$132)</f>
        <v>0.00433630269801804</v>
      </c>
      <c r="BI239" s="0" t="n">
        <f aca="false">CORREL(Sheet1!$BJ$95:$BJ$132, Sheet1!$BM$95:$BM$132)</f>
        <v>0.302933688680378</v>
      </c>
      <c r="BJ239" s="0" t="n">
        <f aca="false">CORREL(Sheet1!$BK$95:$BK$132, Sheet1!$BM$95:$BM$132)</f>
        <v>-0.351689464477657</v>
      </c>
      <c r="BK239" s="0" t="n">
        <f aca="false">CORREL(Sheet1!$BL$95:$BL$132, Sheet1!$BM$95:$BM$132)</f>
        <v>-0.073942717261153</v>
      </c>
      <c r="BL239" s="0" t="n">
        <f aca="false">CORREL(Sheet1!$BM$95:$BM$132, Sheet1!$BM$95:$BM$132)</f>
        <v>1</v>
      </c>
      <c r="CA239" s="0" t="s">
        <v>146</v>
      </c>
      <c r="CB239" s="0" t="s">
        <v>106</v>
      </c>
      <c r="CC239" s="0" t="s">
        <v>147</v>
      </c>
      <c r="CD239" s="0" t="s">
        <v>148</v>
      </c>
      <c r="CE239" s="0" t="str">
        <f aca="false">_xlfn.CONCAT("Lower " , INT($CA$237 * 100) , "%")</f>
        <v>Lower 95%</v>
      </c>
      <c r="CF239" s="0" t="str">
        <f aca="false">_xlfn.CONCAT("Upper " , INT($CA$237 * 100) , "%")</f>
        <v>Upper 95%</v>
      </c>
      <c r="CH239" s="0" t="s">
        <v>146</v>
      </c>
      <c r="CI239" s="0" t="s">
        <v>106</v>
      </c>
      <c r="CJ239" s="0" t="s">
        <v>147</v>
      </c>
      <c r="CK239" s="0" t="s">
        <v>148</v>
      </c>
      <c r="CL239" s="0" t="str">
        <f aca="false">_xlfn.CONCAT("Lower " , INT($CH$237 * 100) , "%")</f>
        <v>Lower 95%</v>
      </c>
      <c r="CM239" s="0" t="str">
        <f aca="false">_xlfn.CONCAT("Upper " , INT($CH$237 * 100) , "%")</f>
        <v>Upper 95%</v>
      </c>
      <c r="CO239" s="0" t="s">
        <v>146</v>
      </c>
      <c r="CP239" s="0" t="s">
        <v>106</v>
      </c>
      <c r="CQ239" s="0" t="s">
        <v>147</v>
      </c>
      <c r="CR239" s="0" t="s">
        <v>148</v>
      </c>
      <c r="CS239" s="0" t="str">
        <f aca="false">_xlfn.CONCAT("Lower " , INT($CO$237 * 100) , "%")</f>
        <v>Lower 95%</v>
      </c>
      <c r="CT239" s="0" t="str">
        <f aca="false">_xlfn.CONCAT("Upper " , INT($CO$237 * 100) , "%")</f>
        <v>Upper 95%</v>
      </c>
      <c r="CV239" s="0" t="s">
        <v>146</v>
      </c>
      <c r="CW239" s="0" t="s">
        <v>106</v>
      </c>
      <c r="CX239" s="0" t="s">
        <v>147</v>
      </c>
      <c r="CY239" s="0" t="s">
        <v>148</v>
      </c>
      <c r="CZ239" s="0" t="str">
        <f aca="false">_xlfn.CONCAT("Lower " , INT($CV$237 * 100) , "%")</f>
        <v>Lower 95%</v>
      </c>
      <c r="DA239" s="0" t="str">
        <f aca="false">_xlfn.CONCAT("Upper " , INT($CV$237 * 100) , "%")</f>
        <v>Upper 95%</v>
      </c>
      <c r="DC239" s="0" t="n">
        <v>1.23552844690755</v>
      </c>
      <c r="DD239" s="0" t="n">
        <v>1.27875360095283</v>
      </c>
      <c r="DE239" s="0" t="e">
        <v>#VALUE!</v>
      </c>
      <c r="DF239" s="0" t="n">
        <v>0</v>
      </c>
      <c r="DG239" s="0" t="e">
        <v>#VALUE!</v>
      </c>
      <c r="DJ239" s="0" t="n">
        <v>1.23552844690755</v>
      </c>
      <c r="DK239" s="0" t="n">
        <v>1.27875360095283</v>
      </c>
      <c r="DL239" s="0" t="n">
        <v>128.986167512676</v>
      </c>
      <c r="DM239" s="0" t="n">
        <v>39.7584397069598</v>
      </c>
      <c r="DN239" s="0" t="n">
        <v>-89.2277278057166</v>
      </c>
      <c r="DQ239" s="0" t="n">
        <v>1.23552844690755</v>
      </c>
      <c r="DR239" s="0" t="n">
        <v>1.27875360095283</v>
      </c>
      <c r="DS239" s="0" t="n">
        <v>132.480031525354</v>
      </c>
      <c r="DT239" s="0" t="n">
        <v>40.1263375099171</v>
      </c>
      <c r="DU239" s="0" t="n">
        <v>-92.3536940154367</v>
      </c>
      <c r="DX239" s="0" t="n">
        <v>1.23552844690755</v>
      </c>
      <c r="DY239" s="0" t="n">
        <v>1.27875360095283</v>
      </c>
      <c r="DZ239" s="0" t="n">
        <v>129.191987800816</v>
      </c>
      <c r="EA239" s="0" t="n">
        <v>39.9044887603007</v>
      </c>
      <c r="EB239" s="0" t="n">
        <v>-89.2874990405152</v>
      </c>
    </row>
    <row r="240" customFormat="false" ht="12.8" hidden="false" customHeight="false" outlineLevel="0" collapsed="false">
      <c r="P240" s="41" t="s">
        <v>382</v>
      </c>
      <c r="Q240" s="41"/>
      <c r="R240" s="41" t="n">
        <f aca="false">E145</f>
        <v>0.728237192502976</v>
      </c>
      <c r="S240" s="41" t="s">
        <v>352</v>
      </c>
      <c r="T240" s="41" t="n">
        <f aca="false">F145</f>
        <v>0.319301629977701</v>
      </c>
      <c r="U240" s="41" t="s">
        <v>375</v>
      </c>
      <c r="V240" s="43" t="n">
        <f aca="false">B145</f>
        <v>0.259067114703249</v>
      </c>
      <c r="W240" s="41" t="s">
        <v>350</v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BE240" s="0" t="str">
        <f aca="false">BM232</f>
        <v>log (r)</v>
      </c>
      <c r="BF240" s="0" t="n">
        <f aca="false">CORREL(Sheet1!$BG$95:$BG$132, Sheet1!$BN$95:$BN$132)</f>
        <v>0.688061167382532</v>
      </c>
      <c r="BG240" s="0" t="n">
        <f aca="false">CORREL(Sheet1!$BH$95:$BH$132, Sheet1!$BN$95:$BN$132)</f>
        <v>0.519880990287581</v>
      </c>
      <c r="BH240" s="0" t="n">
        <f aca="false">CORREL(Sheet1!$BI$95:$BI$132, Sheet1!$BN$95:$BN$132)</f>
        <v>0.631766711753577</v>
      </c>
      <c r="BI240" s="0" t="n">
        <f aca="false">CORREL(Sheet1!$BJ$95:$BJ$132, Sheet1!$BN$95:$BN$132)</f>
        <v>0.630554931426512</v>
      </c>
      <c r="BJ240" s="0" t="n">
        <f aca="false">CORREL(Sheet1!$BK$95:$BK$132, Sheet1!$BN$95:$BN$132)</f>
        <v>-0.338605010057168</v>
      </c>
      <c r="BK240" s="0" t="n">
        <f aca="false">CORREL(Sheet1!$BL$95:$BL$132, Sheet1!$BN$95:$BN$132)</f>
        <v>0.58271041895589</v>
      </c>
      <c r="BL240" s="0" t="n">
        <f aca="false">CORREL(Sheet1!$BM$95:$BM$132, Sheet1!$BN$95:$BN$132)</f>
        <v>0.427888681476919</v>
      </c>
      <c r="BM240" s="0" t="n">
        <f aca="false">CORREL(Sheet1!$BN$95:$BN$132, Sheet1!$BN$95:$BN$132)</f>
        <v>1</v>
      </c>
      <c r="BZ240" s="0" t="str">
        <f aca="false">"Intercept"</f>
        <v>Intercept</v>
      </c>
      <c r="CA240" s="0" t="n">
        <f aca="false" t="array" ref="CA240:CA242">INDEX($BZ$218:$CB$218, 1 , 243 - ROW())</f>
        <v>35.9403189107826</v>
      </c>
      <c r="CB240" s="0" t="n">
        <f aca="false" t="array" ref="CB240:CB242">INDEX($BZ$219:$CB$219, 1 , 243 - ROW())</f>
        <v>0.570791336739758</v>
      </c>
      <c r="CC240" s="0" t="n">
        <f aca="false" t="array" ref="CC240:CC242">$CA$240:$CA$242 / $CB$240:$CB$242</f>
        <v>62.9657750519941</v>
      </c>
      <c r="CD240" s="0" t="n">
        <f aca="false" t="array" ref="CD240:CD242">TDIST(ABS($CC$240:$CC$242) , $CA$221 , 2 )</f>
        <v>1.30119245013984E-037</v>
      </c>
      <c r="CE240" s="0" t="n">
        <f aca="false" t="array" ref="CE240:CE242">$CA$240:$CA$242 - $CB$240:$CB$242 * TINV(1 - $CA$237 , $CA$221)</f>
        <v>34.7815508926906</v>
      </c>
      <c r="CF240" s="0" t="n">
        <f aca="false" t="array" ref="CF240:CF242">$CA$240:$CA$242 + $CB$240:$CB$242 * TINV(1 - $CA$237 , $CA$221)</f>
        <v>37.0990869288746</v>
      </c>
      <c r="CG240" s="0" t="str">
        <f aca="false">"Intercept"</f>
        <v>Intercept</v>
      </c>
      <c r="CH240" s="0" t="n">
        <f aca="false" t="array" ref="CH240:CH242">INDEX($CG$218:$CI$218, 1 , 243 - ROW())</f>
        <v>37.1951161570463</v>
      </c>
      <c r="CI240" s="0" t="n">
        <f aca="false" t="array" ref="CI240:CI242">INDEX($CG$219:$CI$219, 1 , 243 - ROW())</f>
        <v>0.651188242682157</v>
      </c>
      <c r="CJ240" s="0" t="n">
        <f aca="false" t="array" ref="CJ240:CJ242">$CH$240:$CH$242 / $CI$240:$CI$242</f>
        <v>57.1188386384936</v>
      </c>
      <c r="CK240" s="0" t="n">
        <f aca="false" t="array" ref="CK240:CK242">TDIST(ABS($CJ$240:$CJ$242) , $CH$221 , 2 )</f>
        <v>3.81777258574514E-036</v>
      </c>
      <c r="CL240" s="0" t="n">
        <f aca="false" t="array" ref="CL240:CL242">$CH$240:$CH$242 - $CI$240:$CI$242 * TINV(1 - $CH$237 , $CH$221)</f>
        <v>35.8731337427938</v>
      </c>
      <c r="CM240" s="0" t="n">
        <f aca="false" t="array" ref="CM240:CM242">$CH$240:$CH$242 + $CI$240:$CI$242 * TINV(1 - $CH$237 , $CH$221)</f>
        <v>38.5170985712987</v>
      </c>
      <c r="CN240" s="0" t="str">
        <f aca="false">"Intercept"</f>
        <v>Intercept</v>
      </c>
      <c r="CO240" s="0" t="n">
        <f aca="false" t="array" ref="CO240:CO242">INDEX($CN$218:$CP$218, 1 , 243 - ROW())</f>
        <v>36.326495870113</v>
      </c>
      <c r="CP240" s="0" t="n">
        <f aca="false" t="array" ref="CP240:CP242">INDEX($CN$219:$CP$219, 1 , 243 - ROW())</f>
        <v>0.621843303817268</v>
      </c>
      <c r="CQ240" s="0" t="n">
        <f aca="false" t="array" ref="CQ240:CQ242">$CO$240:$CO$242 / $CP$240:$CP$242</f>
        <v>58.4174431840272</v>
      </c>
      <c r="CR240" s="0" t="n">
        <f aca="false" t="array" ref="CR240:CR242">TDIST(ABS($CQ$240:$CQ$242) , $CO$221 , 2 )</f>
        <v>1.75206596328801E-036</v>
      </c>
      <c r="CS240" s="0" t="n">
        <f aca="false" t="array" ref="CS240:CS242">$CO$240:$CO$242 - $CP$240:$CP$242 * TINV(1 - $CO$237 , $CO$221)</f>
        <v>35.0640868489042</v>
      </c>
      <c r="CT240" s="0" t="n">
        <f aca="false" t="array" ref="CT240:CT242">$CO$240:$CO$242 + $CP$240:$CP$242 * TINV(1 - $CO$237 , $CO$221)</f>
        <v>37.5889048913218</v>
      </c>
      <c r="CU240" s="0" t="str">
        <f aca="false">"Intercept"</f>
        <v>Intercept</v>
      </c>
      <c r="CV240" s="0" t="n">
        <f aca="false" t="array" ref="CV240:CV241">INDEX($CU$218:$CV$218, 1 , 242 - ROW())</f>
        <v>1.18125332154873</v>
      </c>
      <c r="CW240" s="0" t="n">
        <f aca="false" t="array" ref="CW240:CW241">INDEX($CU$219:$CV$219, 1 , 242 - ROW())</f>
        <v>0.282248443132705</v>
      </c>
      <c r="CX240" s="0" t="n">
        <f aca="false" t="array" ref="CX240:CX241">$CV$240:$CV$241 / $CW$240:$CW$241</f>
        <v>4.1851544279142</v>
      </c>
      <c r="CY240" s="0" t="n">
        <f aca="false" t="array" ref="CY240:CY241">TDIST(ABS($CX$240:$CX$241) , $CV$221 , 2 )</f>
        <v>0.000175010533495927</v>
      </c>
      <c r="CZ240" s="0" t="n">
        <f aca="false" t="array" ref="CZ240:CZ241">$CV$240:$CV$241 - $CW$240:$CW$241 * TINV(1 - $CV$237 , $CV$221)</f>
        <v>0.608826947245218</v>
      </c>
      <c r="DA240" s="0" t="n">
        <f aca="false" t="array" ref="DA240:DA241">$CV$240:$CV$241 + $CW$240:$CW$241 * TINV(1 - $CV$237 , $CV$221)</f>
        <v>1.75367969585224</v>
      </c>
    </row>
    <row r="241" customFormat="false" ht="12.8" hidden="false" customHeight="false" outlineLevel="0" collapsed="false">
      <c r="P241" s="41" t="s">
        <v>383</v>
      </c>
      <c r="Q241" s="41"/>
      <c r="R241" s="41" t="n">
        <f aca="false">E146</f>
        <v>1.21147947536406</v>
      </c>
      <c r="S241" s="41" t="s">
        <v>352</v>
      </c>
      <c r="T241" s="41" t="n">
        <f aca="false">F146</f>
        <v>0.273188467012815</v>
      </c>
      <c r="U241" s="41" t="s">
        <v>375</v>
      </c>
      <c r="V241" s="43" t="n">
        <f aca="false">B146</f>
        <v>0.221652949044314</v>
      </c>
      <c r="W241" s="41" t="s">
        <v>350</v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BS241" s="24"/>
      <c r="BZ241" s="24" t="str">
        <f aca="false">$BO$52</f>
        <v>log(O/H)</v>
      </c>
      <c r="CA241" s="0" t="n">
        <v>0.0166094581361699</v>
      </c>
      <c r="CB241" s="0" t="n">
        <v>0.0409363634394292</v>
      </c>
      <c r="CC241" s="0" t="n">
        <v>0.405738486290943</v>
      </c>
      <c r="CD241" s="0" t="n">
        <v>0.68740460161798</v>
      </c>
      <c r="CE241" s="0" t="n">
        <v>-0.0664957778359528</v>
      </c>
      <c r="CF241" s="0" t="n">
        <v>0.0997146941082925</v>
      </c>
      <c r="CG241" s="24" t="str">
        <f aca="false">$BO$52</f>
        <v>log(O/H)</v>
      </c>
      <c r="CH241" s="0" t="n">
        <v>0.0251596097844438</v>
      </c>
      <c r="CI241" s="0" t="n">
        <v>0.0467023180873431</v>
      </c>
      <c r="CJ241" s="0" t="n">
        <v>0.538722933139851</v>
      </c>
      <c r="CK241" s="0" t="n">
        <v>0.593488271934548</v>
      </c>
      <c r="CL241" s="0" t="n">
        <v>-0.0696511364323409</v>
      </c>
      <c r="CM241" s="0" t="n">
        <v>0.119970356001229</v>
      </c>
      <c r="CN241" s="24" t="str">
        <f aca="false">$BO$52</f>
        <v>log(O/H)</v>
      </c>
      <c r="CO241" s="0" t="n">
        <v>0.0313528562647741</v>
      </c>
      <c r="CP241" s="0" t="n">
        <v>0.0445977397499381</v>
      </c>
      <c r="CQ241" s="0" t="n">
        <v>0.703014467562061</v>
      </c>
      <c r="CR241" s="0" t="n">
        <v>0.486696947151566</v>
      </c>
      <c r="CS241" s="0" t="n">
        <v>-0.0591853687836208</v>
      </c>
      <c r="CT241" s="0" t="n">
        <v>0.121891081313169</v>
      </c>
      <c r="CU241" s="0" t="str">
        <f aca="false">$BM$94</f>
        <v>log(O/H)</v>
      </c>
      <c r="CV241" s="0" t="n">
        <v>0.100570138130399</v>
      </c>
      <c r="CW241" s="0" t="n">
        <v>0.0354058025460548</v>
      </c>
      <c r="CX241" s="0" t="n">
        <v>2.84049875721871</v>
      </c>
      <c r="CY241" s="0" t="n">
        <v>0.0073663455702001</v>
      </c>
      <c r="CZ241" s="0" t="n">
        <v>0.0287638423868475</v>
      </c>
      <c r="DA241" s="0" t="n">
        <v>0.172376433873951</v>
      </c>
      <c r="DC241" s="14" t="s">
        <v>384</v>
      </c>
      <c r="DJ241" s="14" t="s">
        <v>385</v>
      </c>
      <c r="DQ241" s="14" t="s">
        <v>386</v>
      </c>
      <c r="DX241" s="14" t="s">
        <v>387</v>
      </c>
    </row>
    <row r="242" customFormat="false" ht="12.8" hidden="false" customHeight="false" outlineLevel="0" collapsed="false">
      <c r="BS242" s="24"/>
      <c r="BZ242" s="24" t="str">
        <f aca="false">$BP$52</f>
        <v>log (σHβ) (Km s-¹)</v>
      </c>
      <c r="CA242" s="0" t="n">
        <v>2.76712445313536</v>
      </c>
      <c r="CB242" s="0" t="n">
        <v>0.401459180881795</v>
      </c>
      <c r="CC242" s="0" t="n">
        <v>6.89266701301348</v>
      </c>
      <c r="CD242" s="0" t="n">
        <v>5.25803010911697E-008</v>
      </c>
      <c r="CE242" s="0" t="n">
        <v>1.95211898715834</v>
      </c>
      <c r="CF242" s="0" t="n">
        <v>3.58212991911238</v>
      </c>
      <c r="CG242" s="24" t="str">
        <f aca="false">$BP$52</f>
        <v>log (σHβ) (Km s-¹)</v>
      </c>
      <c r="CH242" s="0" t="n">
        <v>2.1496677967723</v>
      </c>
      <c r="CI242" s="0" t="n">
        <v>0.458005371981016</v>
      </c>
      <c r="CJ242" s="0" t="n">
        <v>4.69354275796879</v>
      </c>
      <c r="CK242" s="0" t="n">
        <v>4.03429673355965E-005</v>
      </c>
      <c r="CL242" s="0" t="n">
        <v>1.21986745993239</v>
      </c>
      <c r="CM242" s="0" t="n">
        <v>3.07946813361221</v>
      </c>
      <c r="CN242" s="24" t="str">
        <f aca="false">$BP$52</f>
        <v>log (σHβ) (Km s-¹)</v>
      </c>
      <c r="CO242" s="0" t="n">
        <v>2.60482498308636</v>
      </c>
      <c r="CP242" s="0" t="n">
        <v>0.437365964265029</v>
      </c>
      <c r="CQ242" s="0" t="n">
        <v>5.9557103110747</v>
      </c>
      <c r="CR242" s="0" t="n">
        <v>8.83094686907578E-007</v>
      </c>
      <c r="CS242" s="0" t="n">
        <v>1.71692487148507</v>
      </c>
      <c r="CT242" s="0" t="n">
        <v>3.49272509468766</v>
      </c>
      <c r="DC242" s="0" t="s">
        <v>78</v>
      </c>
      <c r="DD242" s="0" t="s">
        <v>79</v>
      </c>
      <c r="DJ242" s="0" t="s">
        <v>78</v>
      </c>
      <c r="DK242" s="0" t="s">
        <v>79</v>
      </c>
      <c r="DQ242" s="0" t="s">
        <v>78</v>
      </c>
      <c r="DR242" s="0" t="s">
        <v>79</v>
      </c>
      <c r="DX242" s="0" t="s">
        <v>78</v>
      </c>
      <c r="DY242" s="0" t="s">
        <v>79</v>
      </c>
    </row>
    <row r="243" customFormat="false" ht="12.8" hidden="false" customHeight="false" outlineLevel="0" collapsed="false">
      <c r="CU243" s="0" t="str">
        <f aca="false">$BM$94</f>
        <v>log(O/H)</v>
      </c>
      <c r="CV243" s="0" t="s">
        <v>157</v>
      </c>
      <c r="CW243" s="0" t="str">
        <f aca="false">$BN$94</f>
        <v>log (r)</v>
      </c>
      <c r="CX243" s="0" t="s">
        <v>133</v>
      </c>
      <c r="CY243" s="26" t="s">
        <v>158</v>
      </c>
    </row>
    <row r="244" customFormat="false" ht="13.2" hidden="false" customHeight="false" outlineLevel="0" collapsed="false">
      <c r="B244" s="0" t="str">
        <f aca="false">P197</f>
        <v>L-$\sigma$  &amp; (</v>
      </c>
      <c r="C244" s="41" t="n">
        <f aca="false">R197</f>
        <v>36.0424923949622</v>
      </c>
      <c r="D244" s="0" t="str">
        <f aca="false">S197</f>
        <v>$\pm$</v>
      </c>
      <c r="E244" s="41" t="n">
        <f aca="false">T197</f>
        <v>0.521855169017054</v>
      </c>
      <c r="F244" s="0" t="str">
        <f aca="false">U197</f>
        <v>) + (</v>
      </c>
      <c r="G244" s="41" t="n">
        <f aca="false">V197</f>
        <v>2.78520569316395</v>
      </c>
      <c r="H244" s="41"/>
      <c r="I244" s="0" t="str">
        <f aca="false">W197</f>
        <v>$\pm$</v>
      </c>
      <c r="J244" s="41" t="n">
        <f aca="false">X197</f>
        <v>0.379921730218534</v>
      </c>
      <c r="K244" s="0" t="str">
        <f aca="false">Y197</f>
        <v>)log $\sigma$ &amp;</v>
      </c>
      <c r="L244" s="43" t="n">
        <f aca="false">Z197</f>
        <v>0.308251562848756</v>
      </c>
      <c r="M244" s="0" t="str">
        <f aca="false">AA197</f>
        <v>\\</v>
      </c>
      <c r="N244" s="41"/>
      <c r="O244" s="41"/>
      <c r="P244" s="41"/>
      <c r="Q244" s="41"/>
      <c r="R244" s="41"/>
      <c r="S244" s="41"/>
      <c r="T244" s="41"/>
      <c r="U244" s="41"/>
      <c r="V244" s="41"/>
      <c r="BG244" s="0" t="s">
        <v>388</v>
      </c>
      <c r="BZ244" s="0" t="str">
        <f aca="false">$BO$52</f>
        <v>log(O/H)</v>
      </c>
      <c r="CA244" s="0" t="str">
        <f aca="false">$BP$52</f>
        <v>log (σHβ) (Km s-¹)</v>
      </c>
      <c r="CB244" s="0" t="s">
        <v>157</v>
      </c>
      <c r="CC244" s="0" t="str">
        <f aca="false">$BG$94</f>
        <v>log (LHβ) (erg s-¹) KTC</v>
      </c>
      <c r="CD244" s="0" t="s">
        <v>133</v>
      </c>
      <c r="CE244" s="26" t="s">
        <v>158</v>
      </c>
      <c r="CG244" s="0" t="str">
        <f aca="false">$BO$52</f>
        <v>log(O/H)</v>
      </c>
      <c r="CH244" s="0" t="str">
        <f aca="false">$BP$52</f>
        <v>log (σHβ) (Km s-¹)</v>
      </c>
      <c r="CI244" s="0" t="s">
        <v>157</v>
      </c>
      <c r="CJ244" s="0" t="str">
        <f aca="false">$BH$94</f>
        <v>log (LHβ) (erg s-¹) NTT</v>
      </c>
      <c r="CK244" s="0" t="s">
        <v>133</v>
      </c>
      <c r="CL244" s="26" t="s">
        <v>158</v>
      </c>
      <c r="CN244" s="0" t="str">
        <f aca="false">$BO$52</f>
        <v>log(O/H)</v>
      </c>
      <c r="CO244" s="0" t="str">
        <f aca="false">$BP$52</f>
        <v>log (σHβ) (Km s-¹)</v>
      </c>
      <c r="CP244" s="0" t="s">
        <v>157</v>
      </c>
      <c r="CQ244" s="0" t="str">
        <f aca="false">$BI$94</f>
        <v>log(LHβ) B.K (erg s-¹) NTT</v>
      </c>
      <c r="CR244" s="0" t="s">
        <v>133</v>
      </c>
      <c r="CS244" s="26" t="s">
        <v>158</v>
      </c>
      <c r="CU244" s="0" t="n">
        <f aca="false" t="array" ref="CU244:CU281">$BM$95:$BM$132</f>
        <v>7.73</v>
      </c>
      <c r="CV244" s="0" t="n">
        <f aca="false" t="array" ref="CV244:CV281">MMULT($CU$244:$CU$281 , $CV$241) + $CV$240</f>
        <v>1.95866048929672</v>
      </c>
      <c r="CW244" s="0" t="n">
        <f aca="false" t="array" ref="CW244:CW281">$BN$95:$BN$132</f>
        <v>2.05463340928398</v>
      </c>
      <c r="CX244" s="0" t="n">
        <f aca="false" t="array" ref="CX244:CX281">$CW$244:$CW$281 - $CV$244:$CV$281</f>
        <v>0.095972919987263</v>
      </c>
      <c r="CY244" s="20" t="n">
        <f aca="false">(CX244)^2</f>
        <v>0.00921080137088158</v>
      </c>
      <c r="DC244" s="0" t="s">
        <v>84</v>
      </c>
      <c r="DJ244" s="0" t="s">
        <v>84</v>
      </c>
      <c r="DQ244" s="0" t="s">
        <v>84</v>
      </c>
      <c r="DX244" s="0" t="s">
        <v>84</v>
      </c>
    </row>
    <row r="245" customFormat="false" ht="12.8" hidden="false" customHeight="false" outlineLevel="0" collapsed="false">
      <c r="B245" s="0" t="str">
        <f aca="false">P201</f>
        <v>L-$\sigma$-R$_{}$ &amp; (</v>
      </c>
      <c r="C245" s="41" t="n">
        <f aca="false">R201</f>
        <v>35.1485966452735</v>
      </c>
      <c r="D245" s="0" t="str">
        <f aca="false">S201</f>
        <v>$\pm$</v>
      </c>
      <c r="E245" s="41" t="n">
        <f aca="false">T201</f>
        <v>0.560737580969055</v>
      </c>
      <c r="F245" s="0" t="str">
        <f aca="false">U201</f>
        <v>) + (</v>
      </c>
      <c r="G245" s="41" t="n">
        <f aca="false">V201</f>
        <v>2.39969109427706</v>
      </c>
      <c r="H245" s="41"/>
      <c r="I245" s="0" t="str">
        <f aca="false">W201</f>
        <v>$\pm$</v>
      </c>
      <c r="J245" s="41" t="n">
        <f aca="false">X201</f>
        <v>0.368391117050374</v>
      </c>
      <c r="K245" s="0" t="str">
        <f aca="false">Y201</f>
        <v>)log $\sigma$ + (</v>
      </c>
      <c r="L245" s="41" t="n">
        <f aca="false">Z201</f>
        <v>0.529380540922198</v>
      </c>
      <c r="M245" s="0" t="str">
        <f aca="false">AA201</f>
        <v>$\pm$</v>
      </c>
      <c r="N245" s="41" t="n">
        <f aca="false">AB201</f>
        <v>0.177600079491109</v>
      </c>
      <c r="O245" s="0" t="str">
        <f aca="false">AC201</f>
        <v>)log R$_{50}$ &amp;</v>
      </c>
      <c r="P245" s="43" t="n">
        <f aca="false">AD201</f>
        <v>0.276062040988976</v>
      </c>
      <c r="Q245" s="43"/>
      <c r="R245" s="0" t="str">
        <f aca="false">AE201</f>
        <v>\\</v>
      </c>
      <c r="S245" s="41"/>
      <c r="T245" s="41"/>
      <c r="U245" s="41"/>
      <c r="BG245" s="0" t="s">
        <v>389</v>
      </c>
      <c r="BH245" s="0" t="s">
        <v>390</v>
      </c>
      <c r="BI245" s="0" t="s">
        <v>391</v>
      </c>
      <c r="BJ245" s="0" t="s">
        <v>392</v>
      </c>
      <c r="BK245" s="0" t="str">
        <f aca="false">BM2</f>
        <v>log (σHβ) (Km s-¹)</v>
      </c>
      <c r="BL245" s="0" t="s">
        <v>393</v>
      </c>
      <c r="BM245" s="0" t="str">
        <f aca="false">BK245</f>
        <v>log (σHβ) (Km s-¹)</v>
      </c>
      <c r="BN245" s="0" t="s">
        <v>394</v>
      </c>
      <c r="BZ245" s="0" t="n">
        <f aca="false" t="array" ref="BZ245:CA282">$BO$53:$BP$90</f>
        <v>7.73</v>
      </c>
      <c r="CA245" s="0" t="n">
        <v>1.18752072083646</v>
      </c>
      <c r="CB245" s="0" t="n">
        <f aca="false" t="array" ref="CB245:CB282">MMULT($BZ$245:$CA$282 , $CA$241:$CA$242) + $CA$240</f>
        <v>39.3547276474067</v>
      </c>
      <c r="CC245" s="0" t="n">
        <f aca="false" t="array" ref="CC245:CC282">$BG$95:$BG$132</f>
        <v>39.4693811697741</v>
      </c>
      <c r="CD245" s="0" t="n">
        <f aca="false" t="array" ref="CD245:CD282">$CC$245:$CC$282 - $CB$245:$CB$282</f>
        <v>0.114653522367426</v>
      </c>
      <c r="CE245" s="20" t="n">
        <f aca="false">(CD245)^2</f>
        <v>0.0131454301912579</v>
      </c>
      <c r="CG245" s="0" t="n">
        <f aca="false" t="array" ref="CG245:CH282">$BO$53:$BP$90</f>
        <v>7.73</v>
      </c>
      <c r="CH245" s="0" t="n">
        <v>1.18752072083646</v>
      </c>
      <c r="CI245" s="0" t="n">
        <f aca="false" t="array" ref="CI245:CI282">MMULT($CG$245:$CH$282 , $CH$241:$CH$242) + $CH$240</f>
        <v>39.942374992262</v>
      </c>
      <c r="CJ245" s="0" t="n">
        <f aca="false" t="array" ref="CJ245:CJ282">$BH$95:$BH$132</f>
        <v>39.926839874903</v>
      </c>
      <c r="CK245" s="0" t="n">
        <f aca="false" t="array" ref="CK245:CK282">$CJ$245:$CJ$282 - $CI$245:$CI$282</f>
        <v>-0.0155351173590077</v>
      </c>
      <c r="CL245" s="20" t="n">
        <f aca="false">(CK245)^2</f>
        <v>0.000241339871358142</v>
      </c>
      <c r="CN245" s="0" t="n">
        <f aca="false" t="array" ref="CN245:CO282">$BO$53:$BP$90</f>
        <v>7.73</v>
      </c>
      <c r="CO245" s="0" t="n">
        <v>1.18752072083646</v>
      </c>
      <c r="CP245" s="0" t="n">
        <f aca="false" t="array" ref="CP245:CP282">MMULT($CN$245:$CO$282 , $CO$241:$CO$242) + $CO$240</f>
        <v>39.6621370906072</v>
      </c>
      <c r="CQ245" s="0" t="n">
        <f aca="false" t="array" ref="CQ245:CQ282">$BI$95:$BI$132</f>
        <v>39.926839874903</v>
      </c>
      <c r="CR245" s="0" t="n">
        <f aca="false" t="array" ref="CR245:CR282">$CQ$245:$CQ$282 - $CP$245:$CP$282</f>
        <v>0.264702784295764</v>
      </c>
      <c r="CS245" s="20" t="n">
        <f aca="false">(CR245)^2</f>
        <v>0.0700675640139298</v>
      </c>
      <c r="CU245" s="0" t="n">
        <v>8.18</v>
      </c>
      <c r="CV245" s="0" t="n">
        <v>2.0039170514554</v>
      </c>
      <c r="CW245" s="0" t="n">
        <v>2.08700408042741</v>
      </c>
      <c r="CX245" s="0" t="n">
        <v>0.0830870289720131</v>
      </c>
      <c r="CY245" s="20" t="n">
        <f aca="false">(CX245)^2</f>
        <v>0.00690345438339615</v>
      </c>
      <c r="DC245" s="0" t="e">
        <f aca="false" t="array" ref="DC245:DF249">LINEST($BE$138:$BE$153 , $BL$138:$BN$153 , 1 , 1)</f>
        <v>#VALUE!</v>
      </c>
      <c r="DD245" s="0" t="e">
        <v>#VALUE!</v>
      </c>
      <c r="DE245" s="0" t="e">
        <v>#VALUE!</v>
      </c>
      <c r="DF245" s="0" t="e">
        <v>#VALUE!</v>
      </c>
      <c r="DJ245" s="0" t="n">
        <f aca="false" t="array" ref="DJ245:DM249">LINEST($BF$138:$BF$153 , $BL$138:$BN$153 , 1 , 1)</f>
        <v>0.243496068558343</v>
      </c>
      <c r="DK245" s="0" t="n">
        <v>1.89656133274364</v>
      </c>
      <c r="DL245" s="0" t="n">
        <v>0.204669244305863</v>
      </c>
      <c r="DM245" s="0" t="n">
        <v>35.2633684157625</v>
      </c>
      <c r="DQ245" s="0" t="n">
        <f aca="false" t="array" ref="DQ245:DT249">LINEST($BG$138:$BG$153 , $BL$138:$BN$153 , 1 , 1)</f>
        <v>0.251775324079826</v>
      </c>
      <c r="DR245" s="0" t="n">
        <v>1.58614530984263</v>
      </c>
      <c r="DS245" s="0" t="n">
        <v>0.147295356877079</v>
      </c>
      <c r="DT245" s="0" t="n">
        <v>36.6404592853898</v>
      </c>
      <c r="DX245" s="0" t="n">
        <f aca="false" t="array" ref="DX245:EA249">LINEST($BH$138:$BH$153 , $BL$138:$BN$153 , 1 , 1)</f>
        <v>0.43031800657067</v>
      </c>
      <c r="DY245" s="0" t="n">
        <v>1.61436762413071</v>
      </c>
      <c r="DZ245" s="0" t="n">
        <v>0.508790410635221</v>
      </c>
      <c r="EA245" s="0" t="n">
        <v>33.1103585884274</v>
      </c>
    </row>
    <row r="246" customFormat="false" ht="12.8" hidden="false" customHeight="false" outlineLevel="0" collapsed="false">
      <c r="B246" s="0" t="str">
        <f aca="false">P205</f>
        <v>L-$\sigma$-r$_{}$  &amp;  (</v>
      </c>
      <c r="C246" s="41" t="n">
        <f aca="false">R205</f>
        <v>35.8416994123029</v>
      </c>
      <c r="D246" s="0" t="str">
        <f aca="false">S205</f>
        <v>$\pm$</v>
      </c>
      <c r="E246" s="41" t="n">
        <f aca="false">T205</f>
        <v>0.479409493845342</v>
      </c>
      <c r="F246" s="0" t="str">
        <f aca="false">U205</f>
        <v>) + (</v>
      </c>
      <c r="G246" s="41" t="n">
        <f aca="false">V205</f>
        <v>2.04055656410502</v>
      </c>
      <c r="H246" s="41"/>
      <c r="I246" s="0" t="str">
        <f aca="false">W205</f>
        <v>$\pm$</v>
      </c>
      <c r="J246" s="41" t="n">
        <f aca="false">X205</f>
        <v>0.427569645176809</v>
      </c>
      <c r="K246" s="0" t="str">
        <f aca="false">Y205</f>
        <v>)log $\sigma$ + (</v>
      </c>
      <c r="L246" s="41" t="n">
        <f aca="false">Z205</f>
        <v>0.614660953158255</v>
      </c>
      <c r="M246" s="0" t="str">
        <f aca="false">AA205</f>
        <v>$\pm$</v>
      </c>
      <c r="N246" s="41" t="n">
        <f aca="false">AB205</f>
        <v>0.207914474105837</v>
      </c>
      <c r="O246" s="0" t="str">
        <f aca="false">AC205</f>
        <v>)log r$_{50}$ &amp;</v>
      </c>
      <c r="P246" s="43" t="n">
        <f aca="false">AD205</f>
        <v>0.276509138007338</v>
      </c>
      <c r="Q246" s="43"/>
      <c r="R246" s="0" t="str">
        <f aca="false">AE205</f>
        <v>\\</v>
      </c>
      <c r="S246" s="41"/>
      <c r="T246" s="41"/>
      <c r="U246" s="41"/>
      <c r="BG246" s="0" t="n">
        <v>0.786934370583133</v>
      </c>
      <c r="BH246" s="0" t="n">
        <v>0.417184567436605</v>
      </c>
      <c r="BI246" s="0" t="n">
        <v>0.550024417270589</v>
      </c>
      <c r="BJ246" s="0" t="n">
        <f aca="false">LOG((BG246*PI())/(180*3600)*(Sheet2!N3*10^6))</f>
        <v>2.2376031663819</v>
      </c>
      <c r="BK246" s="0" t="n">
        <f aca="false">BM3</f>
        <v>1.18752072083646</v>
      </c>
      <c r="BL246" s="0" t="n">
        <f aca="false">LOG((BH246*PI())/(180*3600)*(Sheet2!N3*10^6))</f>
        <v>1.96199288672569</v>
      </c>
      <c r="BM246" s="0" t="n">
        <f aca="false">BK246</f>
        <v>1.18752072083646</v>
      </c>
      <c r="BN246" s="0" t="n">
        <f aca="false">LOG((BI246*PI())/(180*3600)*(Sheet2!N3*10^6))</f>
        <v>2.08204662175641</v>
      </c>
      <c r="BZ246" s="0" t="n">
        <v>8.18</v>
      </c>
      <c r="CA246" s="0" t="n">
        <v>1.32633586092875</v>
      </c>
      <c r="CB246" s="0" t="n">
        <v>39.7463206721827</v>
      </c>
      <c r="CC246" s="0" t="n">
        <v>40.1317447055601</v>
      </c>
      <c r="CD246" s="0" t="n">
        <v>0.385424033377362</v>
      </c>
      <c r="CE246" s="20" t="n">
        <f aca="false">(CD246)^2</f>
        <v>0.148551685504874</v>
      </c>
      <c r="CG246" s="0" t="n">
        <v>8.18</v>
      </c>
      <c r="CH246" s="0" t="n">
        <v>1.32633586092875</v>
      </c>
      <c r="CI246" s="0" t="n">
        <v>40.2521032530258</v>
      </c>
      <c r="CJ246" s="0" t="n">
        <v>40.6654832485069</v>
      </c>
      <c r="CK246" s="0" t="n">
        <v>0.413379995481066</v>
      </c>
      <c r="CL246" s="20" t="n">
        <f aca="false">(CK246)^2</f>
        <v>0.170883020663926</v>
      </c>
      <c r="CN246" s="0" t="n">
        <v>8.18</v>
      </c>
      <c r="CO246" s="0" t="n">
        <v>1.32633586092875</v>
      </c>
      <c r="CP246" s="0" t="n">
        <v>40.0378350208694</v>
      </c>
      <c r="CQ246" s="0" t="n">
        <v>40.0250782651027</v>
      </c>
      <c r="CR246" s="0" t="n">
        <v>-0.0127567557667234</v>
      </c>
      <c r="CS246" s="20" t="n">
        <f aca="false">(CR246)^2</f>
        <v>0.000162734817691831</v>
      </c>
      <c r="CU246" s="0" t="n">
        <v>8.08</v>
      </c>
      <c r="CV246" s="0" t="n">
        <v>1.99386003764236</v>
      </c>
      <c r="CW246" s="0" t="n">
        <v>2.3176102420111</v>
      </c>
      <c r="CX246" s="0" t="n">
        <v>0.323750204368743</v>
      </c>
      <c r="CY246" s="20" t="n">
        <f aca="false">(CX246)^2</f>
        <v>0.104814194828803</v>
      </c>
      <c r="DC246" s="0" t="e">
        <v>#VALUE!</v>
      </c>
      <c r="DD246" s="0" t="e">
        <v>#VALUE!</v>
      </c>
      <c r="DE246" s="0" t="e">
        <v>#VALUE!</v>
      </c>
      <c r="DF246" s="0" t="e">
        <v>#VALUE!</v>
      </c>
      <c r="DJ246" s="0" t="n">
        <v>0.291610037569458</v>
      </c>
      <c r="DK246" s="0" t="n">
        <v>0.898307489986422</v>
      </c>
      <c r="DL246" s="0" t="n">
        <v>0.511617072393086</v>
      </c>
      <c r="DM246" s="0" t="n">
        <v>3.81022802000357</v>
      </c>
      <c r="DQ246" s="0" t="n">
        <v>0.233732119092165</v>
      </c>
      <c r="DR246" s="0" t="n">
        <v>0.720014012483637</v>
      </c>
      <c r="DS246" s="0" t="n">
        <v>0.410072792729854</v>
      </c>
      <c r="DT246" s="0" t="n">
        <v>3.05398496143211</v>
      </c>
      <c r="DX246" s="0" t="n">
        <v>0.261429694694206</v>
      </c>
      <c r="DY246" s="0" t="n">
        <v>0.805336657153755</v>
      </c>
      <c r="DZ246" s="0" t="n">
        <v>0.458666979198922</v>
      </c>
      <c r="EA246" s="0" t="n">
        <v>3.41588635386935</v>
      </c>
    </row>
    <row r="247" customFormat="false" ht="12.8" hidden="false" customHeight="false" outlineLevel="0" collapsed="false">
      <c r="B247" s="0" t="str">
        <f aca="false">P210</f>
        <v>L-$\sigma$-O/H &amp; (</v>
      </c>
      <c r="C247" s="41" t="n">
        <f aca="false">R210</f>
        <v>35.9403189107826</v>
      </c>
      <c r="D247" s="0" t="str">
        <f aca="false">S210</f>
        <v>$\pm$</v>
      </c>
      <c r="E247" s="41" t="n">
        <f aca="false">T210</f>
        <v>0.570791336739758</v>
      </c>
      <c r="F247" s="0" t="str">
        <f aca="false">U210</f>
        <v>) + (</v>
      </c>
      <c r="G247" s="41" t="n">
        <f aca="false">V210</f>
        <v>2.76712445313536</v>
      </c>
      <c r="H247" s="41"/>
      <c r="I247" s="0" t="str">
        <f aca="false">W210</f>
        <v>$\pm$</v>
      </c>
      <c r="J247" s="41" t="n">
        <f aca="false">X210</f>
        <v>0.401459180881795</v>
      </c>
      <c r="K247" s="0" t="str">
        <f aca="false">Y210</f>
        <v>)log $\sigma$ + (</v>
      </c>
      <c r="L247" s="41" t="n">
        <f aca="false">Z210</f>
        <v>0.0166094581361699</v>
      </c>
      <c r="M247" s="0" t="str">
        <f aca="false">AA210</f>
        <v>$\pm$</v>
      </c>
      <c r="N247" s="41" t="n">
        <f aca="false">AB210</f>
        <v>0.0409363634394292</v>
      </c>
      <c r="O247" s="0" t="str">
        <f aca="false">AC210</f>
        <v>)log O/H &amp;</v>
      </c>
      <c r="P247" s="43" t="n">
        <f aca="false">AD210</f>
        <v>0.310608246741096</v>
      </c>
      <c r="Q247" s="43"/>
      <c r="R247" s="0" t="str">
        <f aca="false">AE210</f>
        <v>\\</v>
      </c>
      <c r="S247" s="41"/>
      <c r="T247" s="41"/>
      <c r="U247" s="41"/>
      <c r="BG247" s="0" t="n">
        <v>0.470891333758976</v>
      </c>
      <c r="BH247" s="0" t="n">
        <v>0.638217088195641</v>
      </c>
      <c r="BI247" s="0" t="n">
        <v>0.760039606162752</v>
      </c>
      <c r="BJ247" s="0" t="n">
        <f aca="false">LOG((BG247*PI())/(180*3600)*(Sheet2!N4*10^6))</f>
        <v>2.09548626931625</v>
      </c>
      <c r="BK247" s="0" t="n">
        <f aca="false">BM4</f>
        <v>1.32633586092875</v>
      </c>
      <c r="BL247" s="0" t="n">
        <f aca="false">LOG((BH247*PI())/(180*3600)*(Sheet2!N4*10^6))</f>
        <v>2.22753399971829</v>
      </c>
      <c r="BM247" s="0" t="n">
        <f aca="false">BK247</f>
        <v>1.32633586092875</v>
      </c>
      <c r="BN247" s="0" t="n">
        <f aca="false">LOG((BI247*PI())/(180*3600)*(Sheet2!N4*10^6))</f>
        <v>2.30340179575688</v>
      </c>
      <c r="BZ247" s="0" t="n">
        <v>8.08</v>
      </c>
      <c r="CA247" s="0" t="n">
        <v>1.52762990087134</v>
      </c>
      <c r="CB247" s="0" t="n">
        <v>40.3016653865647</v>
      </c>
      <c r="CC247" s="0" t="n">
        <v>39.9963150223595</v>
      </c>
      <c r="CD247" s="0" t="n">
        <v>-0.305350364205168</v>
      </c>
      <c r="CE247" s="20" t="n">
        <f aca="false">(CD247)^2</f>
        <v>0.0932388449202288</v>
      </c>
      <c r="CG247" s="0" t="n">
        <v>8.08</v>
      </c>
      <c r="CH247" s="0" t="n">
        <v>1.52762990087134</v>
      </c>
      <c r="CI247" s="0" t="n">
        <v>40.6823026073942</v>
      </c>
      <c r="CJ247" s="0" t="n">
        <v>40.4667860464016</v>
      </c>
      <c r="CK247" s="0" t="n">
        <v>-0.215516560992576</v>
      </c>
      <c r="CL247" s="20" t="n">
        <f aca="false">(CK247)^2</f>
        <v>0.0464473880620667</v>
      </c>
      <c r="CN247" s="0" t="n">
        <v>8.08</v>
      </c>
      <c r="CO247" s="0" t="n">
        <v>1.52762990087134</v>
      </c>
      <c r="CP247" s="0" t="n">
        <v>40.5590354794318</v>
      </c>
      <c r="CQ247" s="0" t="n">
        <v>40.4667860464016</v>
      </c>
      <c r="CR247" s="0" t="n">
        <v>-0.0922494330301831</v>
      </c>
      <c r="CS247" s="20" t="n">
        <f aca="false">(CR247)^2</f>
        <v>0.00850995789439023</v>
      </c>
      <c r="CU247" s="0" t="n">
        <v>8.36</v>
      </c>
      <c r="CV247" s="0" t="n">
        <v>2.02201967631887</v>
      </c>
      <c r="CW247" s="0" t="n">
        <v>2.39479758741265</v>
      </c>
      <c r="CX247" s="0" t="n">
        <v>0.372777911093781</v>
      </c>
      <c r="CY247" s="20" t="n">
        <f aca="false">(CX247)^2</f>
        <v>0.138963370999443</v>
      </c>
      <c r="DC247" s="0" t="e">
        <v>#VALUE!</v>
      </c>
      <c r="DD247" s="0" t="e">
        <v>#VALUE!</v>
      </c>
      <c r="DE247" s="0" t="e">
        <v>#VALUE!</v>
      </c>
      <c r="DF247" s="0" t="e">
        <v>#VALUE!</v>
      </c>
      <c r="DJ247" s="0" t="n">
        <v>0.46302587807308</v>
      </c>
      <c r="DK247" s="0" t="n">
        <v>0.355250176034705</v>
      </c>
      <c r="DL247" s="0" t="e">
        <v>#N/A</v>
      </c>
      <c r="DM247" s="0" t="e">
        <v>#N/A</v>
      </c>
      <c r="DQ247" s="0" t="n">
        <v>0.494920643381111</v>
      </c>
      <c r="DR247" s="0" t="n">
        <v>0.284741146582372</v>
      </c>
      <c r="DS247" s="0" t="e">
        <v>#N/A</v>
      </c>
      <c r="DT247" s="0" t="e">
        <v>#N/A</v>
      </c>
      <c r="DX247" s="0" t="n">
        <v>0.566018071362409</v>
      </c>
      <c r="DY247" s="0" t="n">
        <v>0.318483361666501</v>
      </c>
      <c r="DZ247" s="0" t="e">
        <v>#N/A</v>
      </c>
      <c r="EA247" s="0" t="e">
        <v>#N/A</v>
      </c>
    </row>
    <row r="248" customFormat="false" ht="12.8" hidden="false" customHeight="false" outlineLevel="0" collapsed="false">
      <c r="B248" s="0" t="str">
        <f aca="false">P215</f>
        <v>L-$\sigma$-W$_{H\beta}$ &amp; (</v>
      </c>
      <c r="C248" s="41" t="n">
        <f aca="false">R215</f>
        <v>35.7332799820453</v>
      </c>
      <c r="D248" s="0" t="str">
        <f aca="false">S215</f>
        <v>$\pm$</v>
      </c>
      <c r="E248" s="41" t="n">
        <f aca="false">T215</f>
        <v>0.596163117880086</v>
      </c>
      <c r="F248" s="0" t="str">
        <f aca="false">U215</f>
        <v>) + (</v>
      </c>
      <c r="G248" s="41" t="n">
        <f aca="false">V215</f>
        <v>2.86323275530589</v>
      </c>
      <c r="H248" s="41"/>
      <c r="I248" s="0" t="str">
        <f aca="false">W215</f>
        <v>$\pm$</v>
      </c>
      <c r="J248" s="41" t="n">
        <f aca="false">X215</f>
        <v>0.389824320497522</v>
      </c>
      <c r="K248" s="0" t="str">
        <f aca="false">Y215</f>
        <v>)log $\sigma$ + (</v>
      </c>
      <c r="L248" s="41" t="n">
        <f aca="false">Z215</f>
        <v>0.126496308380099</v>
      </c>
      <c r="M248" s="0" t="str">
        <f aca="false">AA215</f>
        <v>$\pm$</v>
      </c>
      <c r="N248" s="41" t="n">
        <f aca="false">AB215</f>
        <v>0.121266134223776</v>
      </c>
      <c r="O248" s="0" t="str">
        <f aca="false">AC215</f>
        <v>)log W$_{H\beta}$ &amp;</v>
      </c>
      <c r="P248" s="43" t="n">
        <f aca="false">AD215</f>
        <v>0.306608254498952</v>
      </c>
      <c r="Q248" s="43"/>
      <c r="R248" s="0" t="str">
        <f aca="false">AE215</f>
        <v>\\</v>
      </c>
      <c r="S248" s="41"/>
      <c r="T248" s="41"/>
      <c r="U248" s="41"/>
      <c r="BG248" s="0" t="n">
        <v>0.798480761285086</v>
      </c>
      <c r="BH248" s="0" t="n">
        <v>0.628646603154563</v>
      </c>
      <c r="BI248" s="0" t="n">
        <v>0.43689341109235</v>
      </c>
      <c r="BJ248" s="0" t="n">
        <f aca="false">LOG((BG248*PI())/(180*3600)*(Sheet2!N5*10^6))</f>
        <v>2.63851828298318</v>
      </c>
      <c r="BK248" s="0" t="n">
        <f aca="false">BM5</f>
        <v>1.52762990087134</v>
      </c>
      <c r="BL248" s="0" t="n">
        <f aca="false">LOG((BH248*PI())/(180*3600)*(Sheet2!N5*10^6))</f>
        <v>2.53466039955659</v>
      </c>
      <c r="BM248" s="0" t="n">
        <f aca="false">BK248</f>
        <v>1.52762990087134</v>
      </c>
      <c r="BN248" s="0" t="n">
        <f aca="false">LOG((BI248*PI())/(180*3600)*(Sheet2!N5*10^6))</f>
        <v>2.3766293213853</v>
      </c>
      <c r="BZ248" s="0" t="n">
        <v>8.36</v>
      </c>
      <c r="CA248" s="0" t="n">
        <v>1.54530711646582</v>
      </c>
      <c r="CB248" s="0" t="n">
        <v>40.3552310903776</v>
      </c>
      <c r="CC248" s="0" t="n">
        <v>40.3308782653967</v>
      </c>
      <c r="CD248" s="0" t="n">
        <v>-0.0243528249809302</v>
      </c>
      <c r="CE248" s="20" t="n">
        <f aca="false">(CD248)^2</f>
        <v>0.000593060084551816</v>
      </c>
      <c r="CG248" s="0" t="n">
        <v>8.36</v>
      </c>
      <c r="CH248" s="0" t="n">
        <v>1.54530711646582</v>
      </c>
      <c r="CI248" s="0" t="n">
        <v>40.7273474392339</v>
      </c>
      <c r="CJ248" s="0" t="n">
        <v>40.6750396842358</v>
      </c>
      <c r="CK248" s="0" t="n">
        <v>-0.0523077549980755</v>
      </c>
      <c r="CL248" s="20" t="n">
        <f aca="false">(CK248)^2</f>
        <v>0.00273610123293869</v>
      </c>
      <c r="CN248" s="0" t="n">
        <v>8.36</v>
      </c>
      <c r="CO248" s="0" t="n">
        <v>1.54530711646582</v>
      </c>
      <c r="CP248" s="0" t="n">
        <v>40.6138603319978</v>
      </c>
      <c r="CQ248" s="0" t="n">
        <v>40.6750396842358</v>
      </c>
      <c r="CR248" s="0" t="n">
        <v>0.0611793522379713</v>
      </c>
      <c r="CS248" s="20" t="n">
        <f aca="false">(CR248)^2</f>
        <v>0.00374291314025777</v>
      </c>
      <c r="CU248" s="0" t="n">
        <v>7.98</v>
      </c>
      <c r="CV248" s="0" t="n">
        <v>1.98380302382932</v>
      </c>
      <c r="CW248" s="0" t="n">
        <v>2.41617635379349</v>
      </c>
      <c r="CX248" s="0" t="n">
        <v>0.432373329964173</v>
      </c>
      <c r="CY248" s="20" t="n">
        <f aca="false">(CX248)^2</f>
        <v>0.186946696464308</v>
      </c>
      <c r="DC248" s="0" t="e">
        <v>#VALUE!</v>
      </c>
      <c r="DD248" s="0" t="e">
        <v>#VALUE!</v>
      </c>
      <c r="DE248" s="0" t="e">
        <v>#VALUE!</v>
      </c>
      <c r="DF248" s="0" t="e">
        <v>#VALUE!</v>
      </c>
      <c r="DJ248" s="0" t="n">
        <v>3.44914854676066</v>
      </c>
      <c r="DK248" s="0" t="n">
        <v>12</v>
      </c>
      <c r="DL248" s="0" t="e">
        <v>#N/A</v>
      </c>
      <c r="DM248" s="0" t="e">
        <v>#N/A</v>
      </c>
      <c r="DQ248" s="0" t="n">
        <v>3.91954758708981</v>
      </c>
      <c r="DR248" s="0" t="n">
        <v>12</v>
      </c>
      <c r="DS248" s="0" t="e">
        <v>#N/A</v>
      </c>
      <c r="DT248" s="0" t="e">
        <v>#N/A</v>
      </c>
      <c r="DX248" s="0" t="n">
        <v>5.21697364809011</v>
      </c>
      <c r="DY248" s="0" t="n">
        <v>12</v>
      </c>
      <c r="DZ248" s="0" t="e">
        <v>#N/A</v>
      </c>
      <c r="EA248" s="0" t="e">
        <v>#N/A</v>
      </c>
    </row>
    <row r="249" customFormat="false" ht="12.8" hidden="false" customHeight="false" outlineLevel="0" collapsed="false">
      <c r="B249" s="0" t="str">
        <f aca="false">P219</f>
        <v>L-$\sigma$-O/H-W$_{H\beta}$  &amp; (</v>
      </c>
      <c r="C249" s="41" t="n">
        <f aca="false">R219</f>
        <v>34.5378271964684</v>
      </c>
      <c r="D249" s="0" t="str">
        <f aca="false">S219</f>
        <v>$\pm$</v>
      </c>
      <c r="E249" s="41" t="n">
        <f aca="false">T219</f>
        <v>0.7483009085689</v>
      </c>
      <c r="F249" s="0" t="str">
        <f aca="false">U219</f>
        <v>) + (</v>
      </c>
      <c r="G249" s="41" t="n">
        <f aca="false">V219</f>
        <v>2.98272881594503</v>
      </c>
      <c r="H249" s="41"/>
      <c r="I249" s="0" t="str">
        <f aca="false">W219</f>
        <v>$\pm$</v>
      </c>
      <c r="J249" s="41" t="n">
        <f aca="false">X219</f>
        <v>0.369016865277815</v>
      </c>
      <c r="K249" s="0" t="str">
        <f aca="false">Y219</f>
        <v>)log $\sigma$ + (</v>
      </c>
      <c r="L249" s="41" t="n">
        <f aca="false">Z219</f>
        <v>0.108540655952837</v>
      </c>
      <c r="M249" s="0" t="str">
        <f aca="false">AA219</f>
        <v>$\pm$</v>
      </c>
      <c r="N249" s="41" t="n">
        <f aca="false">AB219</f>
        <v>0.0451469467202428</v>
      </c>
      <c r="O249" s="0" t="str">
        <f aca="false">AC219</f>
        <v>)log O/H  + (</v>
      </c>
      <c r="P249" s="41" t="n">
        <f aca="false">AD219</f>
        <v>0.234463384101598</v>
      </c>
      <c r="Q249" s="41"/>
      <c r="R249" s="0" t="str">
        <f aca="false">AE219</f>
        <v>$\pm$</v>
      </c>
      <c r="S249" s="41" t="n">
        <f aca="false">AF219</f>
        <v>0.122291507398216</v>
      </c>
      <c r="T249" s="0" t="str">
        <f aca="false">AG219</f>
        <v>)log W$_{H\beta}$ &amp;</v>
      </c>
      <c r="U249" s="43" t="n">
        <f aca="false">AH219</f>
        <v>0.283459418445854</v>
      </c>
      <c r="V249" s="0" t="str">
        <f aca="false">AI219</f>
        <v>\\</v>
      </c>
      <c r="BG249" s="0" t="n">
        <v>0.639348769846222</v>
      </c>
      <c r="BH249" s="0" t="n">
        <v>0.506027554083707</v>
      </c>
      <c r="BI249" s="0" t="n">
        <v>0.486823844614094</v>
      </c>
      <c r="BJ249" s="0" t="n">
        <f aca="false">LOG((BG249*PI())/(180*3600)*(Sheet2!N6*10^6))</f>
        <v>2.63967668258401</v>
      </c>
      <c r="BK249" s="0" t="n">
        <f aca="false">BM6</f>
        <v>1.54530711646582</v>
      </c>
      <c r="BL249" s="0" t="n">
        <f aca="false">LOG((BH249*PI())/(180*3600)*(Sheet2!N6*10^6))</f>
        <v>2.53811301426108</v>
      </c>
      <c r="BM249" s="0" t="n">
        <f aca="false">BK249</f>
        <v>1.54530711646582</v>
      </c>
      <c r="BN249" s="0" t="n">
        <f aca="false">LOG((BI249*PI())/(180*3600)*(Sheet2!N6*10^6))</f>
        <v>2.52131069049153</v>
      </c>
      <c r="BZ249" s="0" t="n">
        <v>7.98</v>
      </c>
      <c r="CA249" s="0" t="n">
        <v>1.44247976906445</v>
      </c>
      <c r="CB249" s="0" t="n">
        <v>40.0643834288405</v>
      </c>
      <c r="CC249" s="0" t="n">
        <v>40.4850090486329</v>
      </c>
      <c r="CD249" s="0" t="n">
        <v>0.420625619792389</v>
      </c>
      <c r="CE249" s="20" t="n">
        <f aca="false">(CD249)^2</f>
        <v>0.176925912025732</v>
      </c>
      <c r="CG249" s="0" t="n">
        <v>7.98</v>
      </c>
      <c r="CH249" s="0" t="n">
        <v>1.44247976906445</v>
      </c>
      <c r="CI249" s="0" t="n">
        <v>40.4967421501795</v>
      </c>
      <c r="CJ249" s="0" t="n">
        <v>40.9096967114523</v>
      </c>
      <c r="CK249" s="0" t="n">
        <v>0.412954561272755</v>
      </c>
      <c r="CL249" s="20" t="n">
        <f aca="false">(CK249)^2</f>
        <v>0.170531469675974</v>
      </c>
      <c r="CN249" s="0" t="n">
        <v>7.98</v>
      </c>
      <c r="CO249" s="0" t="n">
        <v>1.44247976906445</v>
      </c>
      <c r="CP249" s="0" t="n">
        <v>40.3340990031616</v>
      </c>
      <c r="CQ249" s="0" t="n">
        <v>40.9096967114523</v>
      </c>
      <c r="CR249" s="0" t="n">
        <v>0.575597708290673</v>
      </c>
      <c r="CS249" s="20" t="n">
        <f aca="false">(CR249)^2</f>
        <v>0.331312721789474</v>
      </c>
      <c r="CU249" s="0" t="n">
        <v>8.25</v>
      </c>
      <c r="CV249" s="0" t="n">
        <v>2.01095696112452</v>
      </c>
      <c r="CW249" s="0" t="n">
        <v>2.17640387683549</v>
      </c>
      <c r="CX249" s="0" t="n">
        <v>0.165446915710965</v>
      </c>
      <c r="CY249" s="20" t="n">
        <f aca="false">(CX249)^2</f>
        <v>0.0273726819182713</v>
      </c>
      <c r="DC249" s="0" t="e">
        <v>#VALUE!</v>
      </c>
      <c r="DD249" s="0" t="e">
        <v>#VALUE!</v>
      </c>
      <c r="DE249" s="0" t="e">
        <v>#VALUE!</v>
      </c>
      <c r="DF249" s="0" t="e">
        <v>#VALUE!</v>
      </c>
      <c r="DJ249" s="0" t="n">
        <v>1.30587544931589</v>
      </c>
      <c r="DK249" s="0" t="n">
        <v>1.51443225087227</v>
      </c>
      <c r="DL249" s="0" t="e">
        <v>#N/A</v>
      </c>
      <c r="DM249" s="0" t="e">
        <v>#N/A</v>
      </c>
      <c r="DQ249" s="0" t="n">
        <v>0.953361600199757</v>
      </c>
      <c r="DR249" s="0" t="n">
        <v>0.972930246684525</v>
      </c>
      <c r="DS249" s="0" t="e">
        <v>#N/A</v>
      </c>
      <c r="DT249" s="0" t="e">
        <v>#N/A</v>
      </c>
      <c r="DX249" s="0" t="n">
        <v>1.58749876135231</v>
      </c>
      <c r="DY249" s="0" t="n">
        <v>1.21717981990074</v>
      </c>
      <c r="DZ249" s="0" t="e">
        <v>#N/A</v>
      </c>
      <c r="EA249" s="0" t="e">
        <v>#N/A</v>
      </c>
    </row>
    <row r="250" customFormat="false" ht="12.8" hidden="false" customHeight="false" outlineLevel="0" collapsed="false">
      <c r="B250" s="0" t="str">
        <f aca="false">P223</f>
        <v>L-$\sigma$-W$_{H\beta}$-R$_{}$  &amp; (</v>
      </c>
      <c r="C250" s="41" t="n">
        <f aca="false">R223</f>
        <v>33.7484943122836</v>
      </c>
      <c r="D250" s="0" t="str">
        <f aca="false">S223</f>
        <v>$\pm$</v>
      </c>
      <c r="E250" s="41" t="n">
        <f aca="false">T223</f>
        <v>0.641129196456942</v>
      </c>
      <c r="F250" s="0" t="str">
        <f aca="false">U223</f>
        <v>) + (</v>
      </c>
      <c r="G250" s="41" t="n">
        <f aca="false">V223</f>
        <v>2.35535511784666</v>
      </c>
      <c r="H250" s="41"/>
      <c r="I250" s="0" t="str">
        <f aca="false">W223</f>
        <v>$\pm$</v>
      </c>
      <c r="J250" s="41" t="n">
        <f aca="false">X223</f>
        <v>0.329390313926833</v>
      </c>
      <c r="K250" s="0" t="str">
        <f aca="false">Y223</f>
        <v>)log $\sigma$ + (</v>
      </c>
      <c r="L250" s="41" t="n">
        <f aca="false">Z223</f>
        <v>0.384183571247483</v>
      </c>
      <c r="M250" s="0" t="str">
        <f aca="false">AA223</f>
        <v>$\pm$</v>
      </c>
      <c r="N250" s="41" t="n">
        <f aca="false">AB223</f>
        <v>0.111594256694338</v>
      </c>
      <c r="O250" s="0" t="str">
        <f aca="false">AC223</f>
        <v>)log W$_{H\beta}$  + (</v>
      </c>
      <c r="P250" s="41" t="n">
        <f aca="false">AD223</f>
        <v>0.840256910795675</v>
      </c>
      <c r="Q250" s="41"/>
      <c r="R250" s="0" t="str">
        <f aca="false">AE223</f>
        <v>$\pm$</v>
      </c>
      <c r="S250" s="41" t="n">
        <f aca="false">AF223</f>
        <v>0.1824506887563</v>
      </c>
      <c r="T250" s="0" t="str">
        <f aca="false">AG223</f>
        <v>)log R$_{50}$ &amp;</v>
      </c>
      <c r="U250" s="43" t="n">
        <f aca="false">AH223</f>
        <v>0.240611215859286</v>
      </c>
      <c r="V250" s="0" t="str">
        <f aca="false">AI223</f>
        <v>\\</v>
      </c>
      <c r="BG250" s="0" t="n">
        <v>0.49246017710122</v>
      </c>
      <c r="BH250" s="0" t="n">
        <v>0.704940116303739</v>
      </c>
      <c r="BI250" s="0" t="n">
        <v>0.484276352851211</v>
      </c>
      <c r="BJ250" s="0" t="n">
        <f aca="false">LOG((BG250*PI())/(180*3600)*(Sheet2!N7*10^6))</f>
        <v>2.53662459118991</v>
      </c>
      <c r="BK250" s="0" t="n">
        <f aca="false">BM7</f>
        <v>1.44247976906445</v>
      </c>
      <c r="BL250" s="0" t="n">
        <f aca="false">LOG((BH250*PI())/(180*3600)*(Sheet2!N7*10^6))</f>
        <v>2.69240570009122</v>
      </c>
      <c r="BM250" s="0" t="n">
        <f aca="false">BK250</f>
        <v>1.44247976906445</v>
      </c>
      <c r="BN250" s="0" t="n">
        <f aca="false">LOG((BI250*PI())/(180*3600)*(Sheet2!N7*10^6))</f>
        <v>2.52934673727713</v>
      </c>
      <c r="BZ250" s="0" t="n">
        <v>8.25</v>
      </c>
      <c r="CA250" s="0" t="n">
        <v>1.53781909507327</v>
      </c>
      <c r="CB250" s="0" t="n">
        <v>40.3326837628817</v>
      </c>
      <c r="CC250" s="0" t="n">
        <v>40.5363222856562</v>
      </c>
      <c r="CD250" s="0" t="n">
        <v>0.203638522774476</v>
      </c>
      <c r="CE250" s="20" t="n">
        <f aca="false">(CD250)^2</f>
        <v>0.0414686479577708</v>
      </c>
      <c r="CG250" s="0" t="n">
        <v>8.25</v>
      </c>
      <c r="CH250" s="0" t="n">
        <v>1.53781909507327</v>
      </c>
      <c r="CI250" s="0" t="n">
        <v>40.7084831237085</v>
      </c>
      <c r="CJ250" s="0" t="n">
        <v>40.8519069419647</v>
      </c>
      <c r="CK250" s="0" t="n">
        <v>0.143423818256217</v>
      </c>
      <c r="CL250" s="20" t="n">
        <f aca="false">(CK250)^2</f>
        <v>0.0205703916431923</v>
      </c>
      <c r="CN250" s="0" t="n">
        <v>8.25</v>
      </c>
      <c r="CO250" s="0" t="n">
        <v>1.53781909507327</v>
      </c>
      <c r="CP250" s="0" t="n">
        <v>40.5909065326115</v>
      </c>
      <c r="CQ250" s="0" t="n">
        <v>40.8519069419647</v>
      </c>
      <c r="CR250" s="0" t="n">
        <v>0.261000409353194</v>
      </c>
      <c r="CS250" s="20" t="n">
        <f aca="false">(CR250)^2</f>
        <v>0.0681212136825349</v>
      </c>
      <c r="CU250" s="0" t="n">
        <v>8.09</v>
      </c>
      <c r="CV250" s="0" t="n">
        <v>1.99486573902366</v>
      </c>
      <c r="CW250" s="0" t="n">
        <v>2.06468635947822</v>
      </c>
      <c r="CX250" s="0" t="n">
        <v>0.0698206204545593</v>
      </c>
      <c r="CY250" s="20" t="n">
        <f aca="false">(CX250)^2</f>
        <v>0.00487491904065962</v>
      </c>
    </row>
    <row r="251" customFormat="false" ht="12.8" hidden="false" customHeight="false" outlineLevel="0" collapsed="false">
      <c r="B251" s="0" t="str">
        <f aca="false">P227</f>
        <v>L-$\sigma$-W$_{H\beta}$-r$_{}$ &amp; (</v>
      </c>
      <c r="C251" s="41" t="n">
        <f aca="false">R227</f>
        <v>35.1438733316032</v>
      </c>
      <c r="D251" s="0" t="str">
        <f aca="false">S227</f>
        <v>$\pm$</v>
      </c>
      <c r="E251" s="41" t="n">
        <f aca="false">T227</f>
        <v>0.526619660816757</v>
      </c>
      <c r="F251" s="0" t="str">
        <f aca="false">U227</f>
        <v>) + (</v>
      </c>
      <c r="G251" s="41" t="n">
        <f aca="false">V227</f>
        <v>1.97132423569941</v>
      </c>
      <c r="H251" s="41"/>
      <c r="I251" s="0" t="str">
        <f aca="false">W227</f>
        <v>$\pm$</v>
      </c>
      <c r="J251" s="41" t="n">
        <f aca="false">X227</f>
        <v>0.402291250653496</v>
      </c>
      <c r="K251" s="0" t="str">
        <f aca="false">Y227</f>
        <v>)log $\sigma$ + (</v>
      </c>
      <c r="L251" s="41" t="n">
        <f aca="false">Z227</f>
        <v>0.258730741986869</v>
      </c>
      <c r="M251" s="0" t="str">
        <f aca="false">AA227</f>
        <v>$\pm$</v>
      </c>
      <c r="N251" s="41" t="n">
        <f aca="false">AB227</f>
        <v>0.108087138070962</v>
      </c>
      <c r="O251" s="0" t="str">
        <f aca="false">AC227</f>
        <v>)log W$_{H\beta}$ + (</v>
      </c>
      <c r="P251" s="41" t="n">
        <f aca="false">AD227</f>
        <v>0.805656232243408</v>
      </c>
      <c r="Q251" s="41"/>
      <c r="R251" s="0" t="str">
        <f aca="false">AE227</f>
        <v>$\pm$</v>
      </c>
      <c r="S251" s="41" t="n">
        <f aca="false">AF227</f>
        <v>0.208332890258679</v>
      </c>
      <c r="T251" s="0" t="str">
        <f aca="false">AG227</f>
        <v>)log r$_{50}$ &amp;</v>
      </c>
      <c r="U251" s="43" t="n">
        <f aca="false">AH227</f>
        <v>0.255520155928181</v>
      </c>
      <c r="V251" s="0" t="str">
        <f aca="false">AI227</f>
        <v>\\</v>
      </c>
      <c r="BG251" s="0" t="n">
        <v>0.391989085349757</v>
      </c>
      <c r="BH251" s="0" t="n">
        <v>0.392059042030313</v>
      </c>
      <c r="BI251" s="0" t="n">
        <v>0.663514572606803</v>
      </c>
      <c r="BJ251" s="0" t="n">
        <f aca="false">LOG((BG251*PI())/(180*3600)*(Sheet2!N8*10^6))</f>
        <v>2.02925174826383</v>
      </c>
      <c r="BK251" s="0" t="n">
        <f aca="false">BM8</f>
        <v>1.53781909507327</v>
      </c>
      <c r="BL251" s="0" t="n">
        <f aca="false">LOG((BH251*PI())/(180*3600)*(Sheet2!N8*10^6))</f>
        <v>2.02932924809925</v>
      </c>
      <c r="BM251" s="0" t="n">
        <f aca="false">BK251</f>
        <v>1.53781909507327</v>
      </c>
      <c r="BN251" s="0" t="n">
        <f aca="false">LOG((BI251*PI())/(180*3600)*(Sheet2!N8*10^6))</f>
        <v>2.2578282392959</v>
      </c>
      <c r="BZ251" s="0" t="n">
        <v>8.09</v>
      </c>
      <c r="CA251" s="0" t="n">
        <v>1.3541084391474</v>
      </c>
      <c r="CB251" s="0" t="n">
        <v>39.8216760012659</v>
      </c>
      <c r="CC251" s="0" t="n">
        <v>39.9166540391504</v>
      </c>
      <c r="CD251" s="0" t="n">
        <v>0.0949780378844736</v>
      </c>
      <c r="CE251" s="20" t="n">
        <f aca="false">(CD251)^2</f>
        <v>0.0090208276803845</v>
      </c>
      <c r="CG251" s="0" t="n">
        <v>8.09</v>
      </c>
      <c r="CH251" s="0" t="n">
        <v>1.3541084391474</v>
      </c>
      <c r="CI251" s="0" t="n">
        <v>40.3095407051752</v>
      </c>
      <c r="CJ251" s="0" t="n">
        <v>40.3823661888664</v>
      </c>
      <c r="CK251" s="0" t="n">
        <v>0.0728254836911901</v>
      </c>
      <c r="CL251" s="20" t="n">
        <f aca="false">(CK251)^2</f>
        <v>0.0053035510748558</v>
      </c>
      <c r="CN251" s="0" t="n">
        <v>8.09</v>
      </c>
      <c r="CO251" s="0" t="n">
        <v>1.3541084391474</v>
      </c>
      <c r="CP251" s="0" t="n">
        <v>40.1073559693942</v>
      </c>
      <c r="CQ251" s="0" t="n">
        <v>40.3823661888664</v>
      </c>
      <c r="CR251" s="0" t="n">
        <v>0.275010219472151</v>
      </c>
      <c r="CS251" s="20" t="n">
        <f aca="false">(CR251)^2</f>
        <v>0.0756306208141205</v>
      </c>
      <c r="CU251" s="0" t="n">
        <v>7.96</v>
      </c>
      <c r="CV251" s="0" t="n">
        <v>1.98179162106671</v>
      </c>
      <c r="CW251" s="0" t="n">
        <v>2.28534020026503</v>
      </c>
      <c r="CX251" s="0" t="n">
        <v>0.303548579198321</v>
      </c>
      <c r="CY251" s="20" t="n">
        <f aca="false">(CX251)^2</f>
        <v>0.0921417399333195</v>
      </c>
      <c r="DC251" s="0" t="s">
        <v>100</v>
      </c>
      <c r="DJ251" s="0" t="s">
        <v>100</v>
      </c>
      <c r="DQ251" s="0" t="s">
        <v>100</v>
      </c>
      <c r="DX251" s="0" t="s">
        <v>100</v>
      </c>
    </row>
    <row r="252" customFormat="false" ht="12.8" hidden="false" customHeight="false" outlineLevel="0" collapsed="false">
      <c r="BG252" s="0" t="n">
        <v>0.780507647460295</v>
      </c>
      <c r="BH252" s="0" t="n">
        <v>0.537840116080113</v>
      </c>
      <c r="BI252" s="0" t="n">
        <v>0.650614405225794</v>
      </c>
      <c r="BJ252" s="0" t="n">
        <f aca="false">LOG((BG252*PI())/(180*3600)*(Sheet2!N9*10^6))</f>
        <v>2.36479235048554</v>
      </c>
      <c r="BK252" s="0" t="n">
        <f aca="false">BM9</f>
        <v>1.3541084391474</v>
      </c>
      <c r="BL252" s="0" t="n">
        <f aca="false">LOG((BH252*PI())/(180*3600)*(Sheet2!N9*10^6))</f>
        <v>2.20306837980203</v>
      </c>
      <c r="BM252" s="0" t="n">
        <f aca="false">BK252</f>
        <v>1.3541084391474</v>
      </c>
      <c r="BN252" s="0" t="n">
        <f aca="false">LOG((BI252*PI())/(180*3600)*(Sheet2!N9*10^6))</f>
        <v>2.28573886257101</v>
      </c>
      <c r="BZ252" s="0" t="n">
        <v>7.96</v>
      </c>
      <c r="CA252" s="0" t="n">
        <v>1.42488163663107</v>
      </c>
      <c r="CB252" s="0" t="n">
        <v>40.0153550170919</v>
      </c>
      <c r="CC252" s="0" t="n">
        <v>39.9203081956583</v>
      </c>
      <c r="CD252" s="0" t="n">
        <v>-0.0950468214335629</v>
      </c>
      <c r="CE252" s="20" t="n">
        <f aca="false">(CD252)^2</f>
        <v>0.0090338982646236</v>
      </c>
      <c r="CG252" s="0" t="n">
        <v>7.96</v>
      </c>
      <c r="CH252" s="0" t="n">
        <v>1.42488163663107</v>
      </c>
      <c r="CI252" s="0" t="n">
        <v>40.4584088194085</v>
      </c>
      <c r="CJ252" s="0" t="n">
        <v>39.8052047714277</v>
      </c>
      <c r="CK252" s="0" t="n">
        <v>-0.653204047980786</v>
      </c>
      <c r="CL252" s="20" t="n">
        <f aca="false">(CK252)^2</f>
        <v>0.426675528298485</v>
      </c>
      <c r="CN252" s="0" t="n">
        <v>7.96</v>
      </c>
      <c r="CO252" s="0" t="n">
        <v>1.42488163663107</v>
      </c>
      <c r="CP252" s="0" t="n">
        <v>40.2876318910182</v>
      </c>
      <c r="CQ252" s="0" t="n">
        <v>39.8052047714277</v>
      </c>
      <c r="CR252" s="0" t="n">
        <v>-0.482427119590504</v>
      </c>
      <c r="CS252" s="20" t="n">
        <f aca="false">(CR252)^2</f>
        <v>0.232735925716391</v>
      </c>
      <c r="CU252" s="0" t="n">
        <v>8.01</v>
      </c>
      <c r="CV252" s="0" t="n">
        <v>1.98682012797323</v>
      </c>
      <c r="CW252" s="0" t="n">
        <v>2.24404692251784</v>
      </c>
      <c r="CX252" s="0" t="n">
        <v>0.257226794544611</v>
      </c>
      <c r="CY252" s="20" t="n">
        <f aca="false">(CX252)^2</f>
        <v>0.0661656238316956</v>
      </c>
      <c r="DC252" s="0" t="s">
        <v>103</v>
      </c>
      <c r="DD252" s="0" t="e">
        <f aca="false">$DC$247</f>
        <v>#VALUE!</v>
      </c>
      <c r="DJ252" s="0" t="s">
        <v>103</v>
      </c>
      <c r="DK252" s="0" t="n">
        <f aca="false">$DJ$247</f>
        <v>0.46302587807308</v>
      </c>
      <c r="DQ252" s="0" t="s">
        <v>103</v>
      </c>
      <c r="DR252" s="0" t="n">
        <f aca="false">$DQ$247</f>
        <v>0.494920643381111</v>
      </c>
      <c r="DX252" s="0" t="s">
        <v>103</v>
      </c>
      <c r="DY252" s="0" t="n">
        <f aca="false">$DX$247</f>
        <v>0.566018071362409</v>
      </c>
    </row>
    <row r="253" customFormat="false" ht="12.8" hidden="false" customHeight="false" outlineLevel="0" collapsed="false">
      <c r="B253" s="0" t="str">
        <f aca="false">P198</f>
        <v>L-$\sigma$  &amp; (</v>
      </c>
      <c r="C253" s="41" t="n">
        <f aca="false">R198</f>
        <v>37.3714983021947</v>
      </c>
      <c r="D253" s="0" t="str">
        <f aca="false">S198</f>
        <v>$\pm$</v>
      </c>
      <c r="E253" s="41" t="n">
        <f aca="false">T198</f>
        <v>0.603044443437184</v>
      </c>
      <c r="F253" s="0" t="str">
        <f aca="false">U198</f>
        <v>) + (</v>
      </c>
      <c r="G253" s="41" t="n">
        <f aca="false">V198</f>
        <v>2.15849506640567</v>
      </c>
      <c r="H253" s="41"/>
      <c r="I253" s="0" t="str">
        <f aca="false">W198</f>
        <v>$\pm$</v>
      </c>
      <c r="J253" s="41" t="n">
        <f aca="false">X198</f>
        <v>0.439029259364949</v>
      </c>
      <c r="K253" s="0" t="str">
        <f aca="false">Y198</f>
        <v>)log $\sigma$ &amp;</v>
      </c>
      <c r="L253" s="43" t="n">
        <f aca="false">Z198</f>
        <v>0.35620877820738</v>
      </c>
      <c r="M253" s="0" t="str">
        <f aca="false">AA198</f>
        <v>\\</v>
      </c>
      <c r="N253" s="41"/>
      <c r="O253" s="41"/>
      <c r="P253" s="41"/>
      <c r="Q253" s="41"/>
      <c r="R253" s="41"/>
      <c r="S253" s="41"/>
      <c r="T253" s="41"/>
      <c r="U253" s="41"/>
      <c r="V253" s="41"/>
      <c r="X253" s="0" t="str">
        <f aca="false">P232</f>
        <v>$L_{}$-R$_{50}$ &amp; (</v>
      </c>
      <c r="Y253" s="41" t="n">
        <f aca="false">R232</f>
        <v>0.935539659275274</v>
      </c>
      <c r="Z253" s="0" t="str">
        <f aca="false">S232</f>
        <v>$\pm$</v>
      </c>
      <c r="AA253" s="41" t="n">
        <f aca="false">T232</f>
        <v>0.242116640315938</v>
      </c>
      <c r="AB253" s="0" t="str">
        <f aca="false">U232</f>
        <v>) &amp;</v>
      </c>
      <c r="AC253" s="43" t="n">
        <f aca="false">V232</f>
        <v>0.407475766510562</v>
      </c>
      <c r="AD253" s="41" t="str">
        <f aca="false">W232</f>
        <v>\\</v>
      </c>
      <c r="BG253" s="0" t="n">
        <v>0.644885496537833</v>
      </c>
      <c r="BH253" s="0" t="n">
        <v>0.781723373942704</v>
      </c>
      <c r="BI253" s="0" t="n">
        <v>0.41593680839519</v>
      </c>
      <c r="BJ253" s="0" t="n">
        <f aca="false">LOG((BG253*PI())/(180*3600)*(Sheet2!N10*10^6))</f>
        <v>2.47624185820494</v>
      </c>
      <c r="BK253" s="0" t="n">
        <f aca="false">BM10</f>
        <v>1.42488163663107</v>
      </c>
      <c r="BL253" s="0" t="n">
        <f aca="false">LOG((BH253*PI())/(180*3600)*(Sheet2!N10*10^6))</f>
        <v>2.55981234621832</v>
      </c>
      <c r="BM253" s="0" t="n">
        <f aca="false">BK253</f>
        <v>1.42488163663107</v>
      </c>
      <c r="BN253" s="0" t="n">
        <f aca="false">LOG((BI253*PI())/(180*3600)*(Sheet2!N10*10^6))</f>
        <v>2.28578660345823</v>
      </c>
      <c r="BZ253" s="0" t="n">
        <v>8.01</v>
      </c>
      <c r="CA253" s="0" t="n">
        <v>1.43775056282039</v>
      </c>
      <c r="CB253" s="0" t="n">
        <v>40.0517954103427</v>
      </c>
      <c r="CC253" s="0" t="n">
        <v>40.0555420750015</v>
      </c>
      <c r="CD253" s="0" t="n">
        <v>0.00374666465876317</v>
      </c>
      <c r="CE253" s="20" t="n">
        <f aca="false">(CD253)^2</f>
        <v>1.40374960652249E-005</v>
      </c>
      <c r="CG253" s="0" t="n">
        <v>8.01</v>
      </c>
      <c r="CH253" s="0" t="n">
        <v>1.43775056282039</v>
      </c>
      <c r="CI253" s="0" t="n">
        <v>40.4873307161059</v>
      </c>
      <c r="CJ253" s="0" t="n">
        <v>40.1409607062428</v>
      </c>
      <c r="CK253" s="0" t="n">
        <v>-0.346370009863129</v>
      </c>
      <c r="CL253" s="20" t="n">
        <f aca="false">(CK253)^2</f>
        <v>0.119972183732584</v>
      </c>
      <c r="CN253" s="0" t="n">
        <v>8.01</v>
      </c>
      <c r="CO253" s="0" t="n">
        <v>1.43775056282039</v>
      </c>
      <c r="CP253" s="0" t="n">
        <v>40.3227208342749</v>
      </c>
      <c r="CQ253" s="0" t="n">
        <v>40.1409607062428</v>
      </c>
      <c r="CR253" s="0" t="n">
        <v>-0.181760128032067</v>
      </c>
      <c r="CS253" s="20" t="n">
        <f aca="false">(CR253)^2</f>
        <v>0.0330367441422335</v>
      </c>
      <c r="CU253" s="0" t="n">
        <v>7.99</v>
      </c>
      <c r="CV253" s="0" t="n">
        <v>1.98480872521062</v>
      </c>
      <c r="CW253" s="0" t="n">
        <v>1.60008622473531</v>
      </c>
      <c r="CX253" s="0" t="n">
        <v>-0.384722500475311</v>
      </c>
      <c r="CY253" s="20" t="n">
        <f aca="false">(CX253)^2</f>
        <v>0.148011402371975</v>
      </c>
      <c r="DC253" s="0" t="s">
        <v>106</v>
      </c>
      <c r="DD253" s="0" t="e">
        <f aca="false">$DD$247</f>
        <v>#VALUE!</v>
      </c>
      <c r="DJ253" s="0" t="s">
        <v>106</v>
      </c>
      <c r="DK253" s="0" t="n">
        <f aca="false">$DK$247</f>
        <v>0.355250176034705</v>
      </c>
      <c r="DQ253" s="0" t="s">
        <v>106</v>
      </c>
      <c r="DR253" s="0" t="n">
        <f aca="false">$DR$247</f>
        <v>0.284741146582372</v>
      </c>
      <c r="DX253" s="0" t="s">
        <v>106</v>
      </c>
      <c r="DY253" s="0" t="n">
        <f aca="false">$DY$247</f>
        <v>0.318483361666501</v>
      </c>
    </row>
    <row r="254" customFormat="false" ht="12.8" hidden="false" customHeight="false" outlineLevel="0" collapsed="false">
      <c r="B254" s="0" t="str">
        <f aca="false">P202</f>
        <v>L-$\sigma$-R$_{}$ &amp; (</v>
      </c>
      <c r="C254" s="41" t="n">
        <f aca="false">R202</f>
        <v>36.6154193940811</v>
      </c>
      <c r="D254" s="0" t="str">
        <f aca="false">S202</f>
        <v>$\pm$</v>
      </c>
      <c r="E254" s="41" t="n">
        <f aca="false">T202</f>
        <v>0.684091406935128</v>
      </c>
      <c r="F254" s="0" t="str">
        <f aca="false">U202</f>
        <v>) + (</v>
      </c>
      <c r="G254" s="41" t="n">
        <f aca="false">V202</f>
        <v>1.83241738107183</v>
      </c>
      <c r="H254" s="41"/>
      <c r="I254" s="0" t="str">
        <f aca="false">W202</f>
        <v>$\pm$</v>
      </c>
      <c r="J254" s="41" t="n">
        <f aca="false">X202</f>
        <v>0.449431616710744</v>
      </c>
      <c r="K254" s="0" t="str">
        <f aca="false">Y202</f>
        <v>)log $\sigma$ + (</v>
      </c>
      <c r="L254" s="41" t="n">
        <f aca="false">Z202</f>
        <v>0.447763021019435</v>
      </c>
      <c r="M254" s="0" t="str">
        <f aca="false">AA202</f>
        <v>$\pm$</v>
      </c>
      <c r="N254" s="41" t="n">
        <f aca="false">AB202</f>
        <v>0.216669423228062</v>
      </c>
      <c r="O254" s="0" t="str">
        <f aca="false">AC202</f>
        <v>)log R$_{50}$ &amp;</v>
      </c>
      <c r="P254" s="43" t="n">
        <f aca="false">AD202</f>
        <v>0.336791533920666</v>
      </c>
      <c r="Q254" s="43"/>
      <c r="R254" s="0" t="str">
        <f aca="false">AE202</f>
        <v>\\</v>
      </c>
      <c r="S254" s="41"/>
      <c r="T254" s="41"/>
      <c r="U254" s="41"/>
      <c r="X254" s="0" t="str">
        <f aca="false">P236</f>
        <v>$L_{}$-r$_{50}$  &amp; (</v>
      </c>
      <c r="Y254" s="41" t="n">
        <f aca="false">R236</f>
        <v>1.1992092723776</v>
      </c>
      <c r="Z254" s="0" t="str">
        <f aca="false">S236</f>
        <v>$\pm$</v>
      </c>
      <c r="AA254" s="41" t="n">
        <f aca="false">T236</f>
        <v>0.21175132544547</v>
      </c>
      <c r="AB254" s="0" t="str">
        <f aca="false">U236</f>
        <v>) &amp;</v>
      </c>
      <c r="AC254" s="43" t="n">
        <f aca="false">V236</f>
        <v>0.353312848757567</v>
      </c>
      <c r="AD254" s="41" t="str">
        <f aca="false">W236</f>
        <v>\\</v>
      </c>
      <c r="BG254" s="0" t="n">
        <v>0.632556617573447</v>
      </c>
      <c r="BH254" s="0" t="n">
        <v>0.746115659030773</v>
      </c>
      <c r="BI254" s="0" t="n">
        <v>0.629058001479729</v>
      </c>
      <c r="BJ254" s="0" t="n">
        <f aca="false">LOG((BG254*PI())/(180*3600)*(Sheet2!N11*10^6))</f>
        <v>2.55289327668008</v>
      </c>
      <c r="BK254" s="0" t="n">
        <f aca="false">BM11</f>
        <v>1.43775056282039</v>
      </c>
      <c r="BL254" s="0" t="n">
        <f aca="false">LOG((BH254*PI())/(180*3600)*(Sheet2!N11*10^6))</f>
        <v>2.62460002795648</v>
      </c>
      <c r="BM254" s="0" t="n">
        <f aca="false">BK254</f>
        <v>1.43775056282039</v>
      </c>
      <c r="BN254" s="0" t="n">
        <f aca="false">LOG((BI254*PI())/(180*3600)*(Sheet2!N11*10^6))</f>
        <v>2.55048456401016</v>
      </c>
      <c r="BZ254" s="0" t="n">
        <v>7.99</v>
      </c>
      <c r="CA254" s="0" t="n">
        <v>1.31386722036915</v>
      </c>
      <c r="CB254" s="0" t="n">
        <v>39.708662594947</v>
      </c>
      <c r="CC254" s="0" t="n">
        <v>39.6009701741581</v>
      </c>
      <c r="CD254" s="0" t="n">
        <v>-0.107692420788943</v>
      </c>
      <c r="CE254" s="20" t="n">
        <f aca="false">(CD254)^2</f>
        <v>0.0115976574953828</v>
      </c>
      <c r="CG254" s="0" t="n">
        <v>7.99</v>
      </c>
      <c r="CH254" s="0" t="n">
        <v>1.31386722036915</v>
      </c>
      <c r="CI254" s="0" t="n">
        <v>40.2205194920863</v>
      </c>
      <c r="CJ254" s="0" t="n">
        <v>39.9728485150304</v>
      </c>
      <c r="CK254" s="0" t="n">
        <v>-0.247670977055897</v>
      </c>
      <c r="CL254" s="20" t="n">
        <f aca="false">(CK254)^2</f>
        <v>0.0613409128758226</v>
      </c>
      <c r="CN254" s="0" t="n">
        <v>7.99</v>
      </c>
      <c r="CO254" s="0" t="n">
        <v>1.31386722036915</v>
      </c>
      <c r="CP254" s="0" t="n">
        <v>39.9993993517443</v>
      </c>
      <c r="CQ254" s="0" t="n">
        <v>39.9728485150304</v>
      </c>
      <c r="CR254" s="0" t="n">
        <v>-0.0265508367139446</v>
      </c>
      <c r="CS254" s="20" t="n">
        <f aca="false">(CR254)^2</f>
        <v>0.000704946930210551</v>
      </c>
      <c r="CU254" s="0" t="n">
        <v>1</v>
      </c>
      <c r="CV254" s="0" t="n">
        <v>1.28182345967913</v>
      </c>
      <c r="CW254" s="0" t="n">
        <v>1.37561164684667</v>
      </c>
      <c r="CX254" s="0" t="n">
        <v>0.0937881871675417</v>
      </c>
      <c r="CY254" s="20" t="n">
        <f aca="false">(CX254)^2</f>
        <v>0.00879622405217383</v>
      </c>
      <c r="DC254" s="0" t="s">
        <v>109</v>
      </c>
      <c r="DD254" s="0" t="n">
        <f aca="false">3</f>
        <v>3</v>
      </c>
      <c r="DJ254" s="0" t="s">
        <v>109</v>
      </c>
      <c r="DK254" s="0" t="n">
        <f aca="false">3</f>
        <v>3</v>
      </c>
      <c r="DQ254" s="0" t="s">
        <v>109</v>
      </c>
      <c r="DR254" s="0" t="n">
        <f aca="false">3</f>
        <v>3</v>
      </c>
      <c r="DX254" s="0" t="s">
        <v>109</v>
      </c>
      <c r="DY254" s="0" t="n">
        <f aca="false">3</f>
        <v>3</v>
      </c>
    </row>
    <row r="255" customFormat="false" ht="12.8" hidden="false" customHeight="false" outlineLevel="0" collapsed="false">
      <c r="B255" s="0" t="str">
        <f aca="false">P206</f>
        <v>L-$\sigma$-r$_{}$  &amp;  (</v>
      </c>
      <c r="C255" s="41" t="n">
        <f aca="false">R206</f>
        <v>37.2650488189149</v>
      </c>
      <c r="D255" s="0" t="str">
        <f aca="false">S206</f>
        <v>$\pm$</v>
      </c>
      <c r="E255" s="41" t="n">
        <f aca="false">T206</f>
        <v>0.604762770328455</v>
      </c>
      <c r="F255" s="0" t="str">
        <f aca="false">U206</f>
        <v>) + (</v>
      </c>
      <c r="G255" s="41" t="n">
        <f aca="false">V206</f>
        <v>1.76372272942815</v>
      </c>
      <c r="H255" s="41"/>
      <c r="I255" s="0" t="str">
        <f aca="false">W206</f>
        <v>$\pm$</v>
      </c>
      <c r="J255" s="41" t="n">
        <f aca="false">X206</f>
        <v>0.539368131931278</v>
      </c>
      <c r="K255" s="0" t="str">
        <f aca="false">Y206</f>
        <v>)log $\sigma$ + (</v>
      </c>
      <c r="L255" s="41" t="n">
        <f aca="false">Z206</f>
        <v>0.32585969882725</v>
      </c>
      <c r="M255" s="0" t="str">
        <f aca="false">AA206</f>
        <v>$\pm$</v>
      </c>
      <c r="N255" s="41" t="n">
        <f aca="false">AB206</f>
        <v>0.262278772043244</v>
      </c>
      <c r="O255" s="0" t="str">
        <f aca="false">AC206</f>
        <v>)log r$_{50}$ &amp;</v>
      </c>
      <c r="P255" s="43" t="n">
        <f aca="false">AD206</f>
        <v>0.348809179770639</v>
      </c>
      <c r="Q255" s="43"/>
      <c r="R255" s="0" t="str">
        <f aca="false">AE206</f>
        <v>\\</v>
      </c>
      <c r="S255" s="41"/>
      <c r="T255" s="41"/>
      <c r="U255" s="41"/>
      <c r="X255" s="0" t="s">
        <v>395</v>
      </c>
      <c r="BG255" s="0" t="n">
        <v>0.477718311544362</v>
      </c>
      <c r="BH255" s="0" t="n">
        <v>0.694134754264693</v>
      </c>
      <c r="BI255" s="0" t="n">
        <v>0.582752922236727</v>
      </c>
      <c r="BJ255" s="0" t="n">
        <f aca="false">LOG((BG255*PI())/(180*3600)*(Sheet2!N12*10^6))</f>
        <v>1.6219132334487</v>
      </c>
      <c r="BK255" s="0" t="n">
        <f aca="false">BM12</f>
        <v>1.31386722036915</v>
      </c>
      <c r="BL255" s="0" t="n">
        <f aca="false">LOG((BH255*PI())/(180*3600)*(Sheet2!N12*10^6))</f>
        <v>1.78418513419869</v>
      </c>
      <c r="BM255" s="0" t="n">
        <f aca="false">BK255</f>
        <v>1.31386722036915</v>
      </c>
      <c r="BN255" s="0" t="n">
        <f aca="false">LOG((BI255*PI())/(180*3600)*(Sheet2!N12*10^6))</f>
        <v>1.70822580477628</v>
      </c>
      <c r="BZ255" s="0" t="n">
        <v>8.07</v>
      </c>
      <c r="CA255" s="0" t="n">
        <v>1.51719589794997</v>
      </c>
      <c r="CB255" s="0" t="n">
        <v>40.2726271073555</v>
      </c>
      <c r="CC255" s="0" t="n">
        <v>39.7119114592515</v>
      </c>
      <c r="CD255" s="0" t="n">
        <v>-0.560715648103994</v>
      </c>
      <c r="CE255" s="20" t="n">
        <f aca="false">(CD255)^2</f>
        <v>0.314402038028682</v>
      </c>
      <c r="CG255" s="0" t="n">
        <v>8.07</v>
      </c>
      <c r="CH255" s="0" t="n">
        <v>1.51719589794997</v>
      </c>
      <c r="CI255" s="0" t="n">
        <v>40.6596213712248</v>
      </c>
      <c r="CJ255" s="0" t="n">
        <v>40.3675165950432</v>
      </c>
      <c r="CK255" s="0" t="n">
        <v>-0.292104776181638</v>
      </c>
      <c r="CL255" s="20" t="n">
        <f aca="false">(CK255)^2</f>
        <v>0.085325200268125</v>
      </c>
      <c r="CN255" s="0" t="n">
        <v>8.07</v>
      </c>
      <c r="CO255" s="0" t="n">
        <v>1.51719589794997</v>
      </c>
      <c r="CP255" s="0" t="n">
        <v>40.531543199386</v>
      </c>
      <c r="CQ255" s="0" t="n">
        <v>40.3675165950432</v>
      </c>
      <c r="CR255" s="0" t="n">
        <v>-0.164026604342759</v>
      </c>
      <c r="CS255" s="20" t="n">
        <f aca="false">(CR255)^2</f>
        <v>0.0269047269322159</v>
      </c>
      <c r="CU255" s="0" t="n">
        <v>8.07</v>
      </c>
      <c r="CV255" s="0" t="n">
        <v>1.99285433626105</v>
      </c>
      <c r="CW255" s="0" t="n">
        <v>1.68490801536986</v>
      </c>
      <c r="CX255" s="0" t="n">
        <v>-0.307946320891193</v>
      </c>
      <c r="CY255" s="20" t="n">
        <f aca="false">(CX255)^2</f>
        <v>0.0948309365504213</v>
      </c>
      <c r="DC255" s="0" t="s">
        <v>112</v>
      </c>
      <c r="DD255" s="0" t="n">
        <f aca="false">16</f>
        <v>16</v>
      </c>
      <c r="DJ255" s="0" t="s">
        <v>112</v>
      </c>
      <c r="DK255" s="0" t="n">
        <f aca="false">16</f>
        <v>16</v>
      </c>
      <c r="DQ255" s="0" t="s">
        <v>112</v>
      </c>
      <c r="DR255" s="0" t="n">
        <f aca="false">16</f>
        <v>16</v>
      </c>
      <c r="DX255" s="0" t="s">
        <v>112</v>
      </c>
      <c r="DY255" s="0" t="n">
        <f aca="false">16</f>
        <v>16</v>
      </c>
    </row>
    <row r="256" customFormat="false" ht="12.8" hidden="false" customHeight="false" outlineLevel="0" collapsed="false">
      <c r="B256" s="0" t="str">
        <f aca="false">P211</f>
        <v>L-$\sigma$-O/H &amp; (</v>
      </c>
      <c r="C256" s="41" t="n">
        <f aca="false">R211</f>
        <v>37.1951161570463</v>
      </c>
      <c r="D256" s="0" t="str">
        <f aca="false">S211</f>
        <v>$\pm$</v>
      </c>
      <c r="E256" s="41" t="n">
        <f aca="false">T211</f>
        <v>0.651188242682157</v>
      </c>
      <c r="F256" s="0" t="str">
        <f aca="false">U211</f>
        <v>) + (</v>
      </c>
      <c r="G256" s="41" t="n">
        <f aca="false">V211</f>
        <v>2.1496677967723</v>
      </c>
      <c r="H256" s="41"/>
      <c r="I256" s="0" t="str">
        <f aca="false">W211</f>
        <v>$\pm$</v>
      </c>
      <c r="J256" s="41" t="n">
        <f aca="false">X211</f>
        <v>0.458005371981016</v>
      </c>
      <c r="K256" s="0" t="str">
        <f aca="false">Y211</f>
        <v>)log $\sigma$ + (</v>
      </c>
      <c r="L256" s="41" t="n">
        <f aca="false">Z211</f>
        <v>0.0251596097844438</v>
      </c>
      <c r="M256" s="0" t="str">
        <f aca="false">AA211</f>
        <v>$\pm$</v>
      </c>
      <c r="N256" s="41" t="n">
        <f aca="false">AB211</f>
        <v>0.0467023180873431</v>
      </c>
      <c r="O256" s="0" t="str">
        <f aca="false">AC211</f>
        <v>)log O/H &amp;</v>
      </c>
      <c r="P256" s="43" t="n">
        <f aca="false">AD211</f>
        <v>0.354357933169086</v>
      </c>
      <c r="Q256" s="43"/>
      <c r="R256" s="0" t="str">
        <f aca="false">AE211</f>
        <v>\\</v>
      </c>
      <c r="S256" s="41"/>
      <c r="T256" s="41"/>
      <c r="U256" s="41"/>
      <c r="X256" s="0" t="str">
        <f aca="false">P233</f>
        <v>$L_{full}$-R$_{50}$ &amp; (</v>
      </c>
      <c r="Y256" s="41" t="n">
        <f aca="false">R233</f>
        <v>0.757908368362654</v>
      </c>
      <c r="Z256" s="0" t="str">
        <f aca="false">S233</f>
        <v>$\pm$</v>
      </c>
      <c r="AA256" s="41" t="n">
        <f aca="false">T233</f>
        <v>0.241948253216289</v>
      </c>
      <c r="AB256" s="0" t="str">
        <f aca="false">U233</f>
        <v>) &amp;</v>
      </c>
      <c r="AC256" s="43" t="n">
        <f aca="false">V233</f>
        <v>0.40719237556969</v>
      </c>
      <c r="AD256" s="41" t="str">
        <f aca="false">W233</f>
        <v>\\</v>
      </c>
      <c r="BG256" s="0" t="n">
        <v>0.605061650756776</v>
      </c>
      <c r="BH256" s="0" t="n">
        <v>0.6543098700286</v>
      </c>
      <c r="BI256" s="0" t="n">
        <v>0.49035317974849</v>
      </c>
      <c r="BJ256" s="0" t="n">
        <f aca="false">LOG((BG256*PI())/(180*3600)*(Sheet2!N13*10^6))</f>
        <v>1.53701842838582</v>
      </c>
      <c r="BK256" s="0" t="n">
        <f aca="false">BM13</f>
        <v>1.51719589794997</v>
      </c>
      <c r="BL256" s="0" t="n">
        <f aca="false">LOG((BH256*PI())/(180*3600)*(Sheet2!N13*10^6))</f>
        <v>1.57100227200172</v>
      </c>
      <c r="BM256" s="0" t="n">
        <f aca="false">BK256</f>
        <v>1.51719589794997</v>
      </c>
      <c r="BN256" s="0" t="n">
        <f aca="false">LOG((BI256*PI())/(180*3600)*(Sheet2!N13*10^6))</f>
        <v>1.44572779635315</v>
      </c>
      <c r="BZ256" s="0" t="n">
        <v>8.07</v>
      </c>
      <c r="CA256" s="0" t="n">
        <v>1.32221929473392</v>
      </c>
      <c r="CB256" s="0" t="n">
        <v>39.7331025808071</v>
      </c>
      <c r="CC256" s="0" t="n">
        <v>39.8158956218551</v>
      </c>
      <c r="CD256" s="0" t="n">
        <v>0.0827930410479993</v>
      </c>
      <c r="CE256" s="20" t="n">
        <f aca="false">(CD256)^2</f>
        <v>0.0068546876459757</v>
      </c>
      <c r="CG256" s="0" t="n">
        <v>8.07</v>
      </c>
      <c r="CH256" s="0" t="n">
        <v>1.32221929473392</v>
      </c>
      <c r="CI256" s="0" t="n">
        <v>40.2404864461672</v>
      </c>
      <c r="CJ256" s="0" t="n">
        <v>40.2813702480347</v>
      </c>
      <c r="CK256" s="0" t="n">
        <v>0.0408838018674587</v>
      </c>
      <c r="CL256" s="20" t="n">
        <f aca="false">(CK256)^2</f>
        <v>0.00167148525513762</v>
      </c>
      <c r="CN256" s="0" t="n">
        <v>8.07</v>
      </c>
      <c r="CO256" s="0" t="n">
        <v>1.32221929473392</v>
      </c>
      <c r="CP256" s="0" t="n">
        <v>40.0236632722115</v>
      </c>
      <c r="CQ256" s="0" t="n">
        <v>40.2813702480347</v>
      </c>
      <c r="CR256" s="0" t="n">
        <v>0.257706975823226</v>
      </c>
      <c r="CS256" s="20" t="n">
        <f aca="false">(CR256)^2</f>
        <v>0.0664128853879526</v>
      </c>
      <c r="CU256" s="0" t="n">
        <v>8.27</v>
      </c>
      <c r="CV256" s="0" t="n">
        <v>2.01296836388713</v>
      </c>
      <c r="CW256" s="0" t="n">
        <v>1.85057428008802</v>
      </c>
      <c r="CX256" s="0" t="n">
        <v>-0.162394083799113</v>
      </c>
      <c r="CY256" s="20" t="n">
        <f aca="false">(CX256)^2</f>
        <v>0.0263718384529532</v>
      </c>
      <c r="DC256" s="0" t="s">
        <v>115</v>
      </c>
      <c r="DD256" s="0" t="e">
        <f aca="false">1 - (1 - $DC$247)*($DD$255 - 1)/($DD$255 - $DD$254 - 1)</f>
        <v>#VALUE!</v>
      </c>
      <c r="DJ256" s="0" t="s">
        <v>115</v>
      </c>
      <c r="DK256" s="0" t="n">
        <f aca="false">1 - (1 - $DJ$247)*($DK$255 - 1)/($DK$255 - $DK$254 - 1)</f>
        <v>0.32878234759135</v>
      </c>
      <c r="DQ256" s="0" t="s">
        <v>115</v>
      </c>
      <c r="DR256" s="0" t="n">
        <f aca="false">1 - (1 - $DQ$247)*($DR$255 - 1)/($DR$255 - $DR$254 - 1)</f>
        <v>0.368650804226388</v>
      </c>
      <c r="DX256" s="0" t="s">
        <v>115</v>
      </c>
      <c r="DY256" s="0" t="n">
        <f aca="false">1 - (1 - $DX$247)*($DY$255 - 1)/($DY$255 - $DY$254 - 1)</f>
        <v>0.457522589203011</v>
      </c>
    </row>
    <row r="257" customFormat="false" ht="12.8" hidden="false" customHeight="false" outlineLevel="0" collapsed="false">
      <c r="B257" s="0" t="str">
        <f aca="false">P216</f>
        <v>L-$\sigma$-W$_{H\beta}$ &amp; (</v>
      </c>
      <c r="C257" s="41" t="n">
        <f aca="false">R216</f>
        <v>37.1455248117655</v>
      </c>
      <c r="D257" s="0" t="str">
        <f aca="false">S216</f>
        <v>$\pm$</v>
      </c>
      <c r="E257" s="41" t="n">
        <f aca="false">T216</f>
        <v>0.689032973444591</v>
      </c>
      <c r="F257" s="0" t="str">
        <f aca="false">U216</f>
        <v>) + (</v>
      </c>
      <c r="G257" s="41" t="n">
        <f aca="false">V216</f>
        <v>2.24115085467981</v>
      </c>
      <c r="H257" s="41"/>
      <c r="I257" s="0" t="str">
        <f aca="false">W216</f>
        <v>$\pm$</v>
      </c>
      <c r="J257" s="41" t="n">
        <f aca="false">X216</f>
        <v>0.450550868743028</v>
      </c>
      <c r="K257" s="0" t="str">
        <f aca="false">Y216</f>
        <v>)log $\sigma$ + (</v>
      </c>
      <c r="L257" s="41" t="n">
        <f aca="false">Z216</f>
        <v>0.0751543333169943</v>
      </c>
      <c r="M257" s="0" t="str">
        <f aca="false">AA216</f>
        <v>$\pm$</v>
      </c>
      <c r="N257" s="41" t="n">
        <f aca="false">AB216</f>
        <v>0.14015688414181</v>
      </c>
      <c r="O257" s="0" t="str">
        <f aca="false">AC216</f>
        <v>)log W$_{H\beta}$ &amp;</v>
      </c>
      <c r="P257" s="43" t="n">
        <f aca="false">AD216</f>
        <v>0.354371464694605</v>
      </c>
      <c r="Q257" s="43"/>
      <c r="R257" s="0" t="str">
        <f aca="false">AE216</f>
        <v>\\</v>
      </c>
      <c r="S257" s="41"/>
      <c r="T257" s="41"/>
      <c r="U257" s="41"/>
      <c r="X257" s="0" t="str">
        <f aca="false">P237</f>
        <v>$L_{full}$-r$_{50}$  &amp; (</v>
      </c>
      <c r="Y257" s="41" t="n">
        <f aca="false">R237</f>
        <v>0.831104775191189</v>
      </c>
      <c r="Z257" s="0" t="str">
        <f aca="false">S237</f>
        <v>$\pm$</v>
      </c>
      <c r="AA257" s="41" t="n">
        <f aca="false">T237</f>
        <v>0.238082876868777</v>
      </c>
      <c r="AB257" s="0" t="str">
        <f aca="false">U237</f>
        <v>) &amp;</v>
      </c>
      <c r="AC257" s="43" t="n">
        <f aca="false">V237</f>
        <v>0.397247758850825</v>
      </c>
      <c r="AD257" s="41" t="str">
        <f aca="false">W237</f>
        <v>\\</v>
      </c>
      <c r="BG257" s="0" t="n">
        <v>0.620360184783047</v>
      </c>
      <c r="BH257" s="0" t="n">
        <v>0.396504003410747</v>
      </c>
      <c r="BI257" s="0" t="n">
        <v>0.516243550933991</v>
      </c>
      <c r="BJ257" s="0" t="n">
        <f aca="false">LOG((BG257*PI())/(180*3600)*(Sheet2!N14*10^6))</f>
        <v>1.75800068041896</v>
      </c>
      <c r="BK257" s="0" t="n">
        <f aca="false">BM14</f>
        <v>1.32221929473392</v>
      </c>
      <c r="BL257" s="0" t="n">
        <f aca="false">LOG((BH257*PI())/(180*3600)*(Sheet2!N14*10^6))</f>
        <v>1.56360434040143</v>
      </c>
      <c r="BM257" s="0" t="n">
        <f aca="false">BK257</f>
        <v>1.32221929473392</v>
      </c>
      <c r="BN257" s="0" t="n">
        <f aca="false">LOG((BI257*PI())/(180*3600)*(Sheet2!N14*10^6))</f>
        <v>1.67821140311722</v>
      </c>
      <c r="BZ257" s="0" t="n">
        <v>8.27</v>
      </c>
      <c r="CA257" s="0" t="n">
        <v>1.23299611039215</v>
      </c>
      <c r="CB257" s="0" t="n">
        <v>39.4895328172556</v>
      </c>
      <c r="CC257" s="0" t="n">
        <v>39.9770046637507</v>
      </c>
      <c r="CD257" s="0" t="n">
        <v>0.487471846495083</v>
      </c>
      <c r="CE257" s="20" t="n">
        <f aca="false">(CD257)^2</f>
        <v>0.237628801125326</v>
      </c>
      <c r="CG257" s="0" t="n">
        <v>8.27</v>
      </c>
      <c r="CH257" s="0" t="n">
        <v>1.23299611039215</v>
      </c>
      <c r="CI257" s="0" t="n">
        <v>40.0537181620192</v>
      </c>
      <c r="CJ257" s="0" t="n">
        <v>40.5618565782759</v>
      </c>
      <c r="CK257" s="0" t="n">
        <v>0.508138416256749</v>
      </c>
      <c r="CL257" s="20" t="n">
        <f aca="false">(CK257)^2</f>
        <v>0.258204650075917</v>
      </c>
      <c r="CN257" s="0" t="n">
        <v>8.27</v>
      </c>
      <c r="CO257" s="0" t="n">
        <v>1.23299611039215</v>
      </c>
      <c r="CP257" s="0" t="n">
        <v>39.7975230638205</v>
      </c>
      <c r="CQ257" s="0" t="n">
        <v>40.2717584423895</v>
      </c>
      <c r="CR257" s="0" t="n">
        <v>0.474235378569034</v>
      </c>
      <c r="CS257" s="20" t="n">
        <f aca="false">(CR257)^2</f>
        <v>0.224899194286515</v>
      </c>
      <c r="CU257" s="0" t="n">
        <v>7.89</v>
      </c>
      <c r="CV257" s="0" t="n">
        <v>1.97475171139758</v>
      </c>
      <c r="CW257" s="0" t="n">
        <v>1.54507120196056</v>
      </c>
      <c r="CX257" s="0" t="n">
        <v>-0.429680509437021</v>
      </c>
      <c r="CY257" s="20" t="n">
        <f aca="false">(CX257)^2</f>
        <v>0.184625340190058</v>
      </c>
    </row>
    <row r="258" customFormat="false" ht="12.8" hidden="false" customHeight="false" outlineLevel="0" collapsed="false">
      <c r="B258" s="0" t="str">
        <f aca="false">P220</f>
        <v>L-$\sigma$-O/H-W$_{H\beta}$  &amp; (</v>
      </c>
      <c r="C258" s="41" t="n">
        <f aca="false">R220</f>
        <v>36.3997311387295</v>
      </c>
      <c r="D258" s="0" t="str">
        <f aca="false">S220</f>
        <v>$\pm$</v>
      </c>
      <c r="E258" s="41" t="n">
        <f aca="false">T220</f>
        <v>0.915484996680457</v>
      </c>
      <c r="F258" s="0" t="str">
        <f aca="false">U220</f>
        <v>) + (</v>
      </c>
      <c r="G258" s="41" t="n">
        <f aca="false">V220</f>
        <v>2.31569951695457</v>
      </c>
      <c r="H258" s="41"/>
      <c r="I258" s="0" t="str">
        <f aca="false">W220</f>
        <v>$\pm$</v>
      </c>
      <c r="J258" s="41" t="n">
        <f aca="false">X220</f>
        <v>0.451461971802199</v>
      </c>
      <c r="K258" s="0" t="str">
        <f aca="false">Y220</f>
        <v>)log $\sigma$ + (</v>
      </c>
      <c r="L258" s="41" t="n">
        <f aca="false">Z220</f>
        <v>0.0677140372697708</v>
      </c>
      <c r="M258" s="0" t="str">
        <f aca="false">AA220</f>
        <v>$\pm$</v>
      </c>
      <c r="N258" s="41" t="n">
        <f aca="false">AB220</f>
        <v>0.0552335990709393</v>
      </c>
      <c r="O258" s="0" t="str">
        <f aca="false">AC220</f>
        <v>)log O/H  + (</v>
      </c>
      <c r="P258" s="41" t="n">
        <f aca="false">AD220</f>
        <v>0.142510537544196</v>
      </c>
      <c r="Q258" s="41"/>
      <c r="R258" s="0" t="str">
        <f aca="false">AE220</f>
        <v>$\pm$</v>
      </c>
      <c r="S258" s="41" t="n">
        <f aca="false">AF220</f>
        <v>0.149613663383913</v>
      </c>
      <c r="T258" s="0" t="str">
        <f aca="false">AG220</f>
        <v>)log W$_{H\beta}$ &amp;</v>
      </c>
      <c r="U258" s="43" t="n">
        <f aca="false">AH220</f>
        <v>0.346789428936065</v>
      </c>
      <c r="V258" s="0" t="str">
        <f aca="false">AI220</f>
        <v>\\</v>
      </c>
      <c r="X258" s="0" t="s">
        <v>395</v>
      </c>
      <c r="BG258" s="0" t="n">
        <v>0.504999497226841</v>
      </c>
      <c r="BH258" s="0" t="n">
        <v>0.512292138257609</v>
      </c>
      <c r="BI258" s="0" t="n">
        <v>0.769713913197831</v>
      </c>
      <c r="BJ258" s="0" t="n">
        <f aca="false">LOG((BG258*PI())/(180*3600)*(Sheet2!N15*10^6))</f>
        <v>1.80280041035222</v>
      </c>
      <c r="BK258" s="0" t="n">
        <f aca="false">BM15</f>
        <v>1.23299611039215</v>
      </c>
      <c r="BL258" s="0" t="n">
        <f aca="false">LOG((BH258*PI())/(180*3600)*(Sheet2!N15*10^6))</f>
        <v>1.80902715576665</v>
      </c>
      <c r="BM258" s="0" t="n">
        <f aca="false">BK258</f>
        <v>1.23299611039215</v>
      </c>
      <c r="BN258" s="0" t="n">
        <f aca="false">LOG((BI258*PI())/(180*3600)*(Sheet2!N15*10^6))</f>
        <v>1.98583880146556</v>
      </c>
      <c r="BZ258" s="0" t="n">
        <v>7.89</v>
      </c>
      <c r="CA258" s="0" t="n">
        <v>1.23299611039215</v>
      </c>
      <c r="CB258" s="0" t="n">
        <v>39.4832212231639</v>
      </c>
      <c r="CC258" s="0" t="n">
        <v>39.0888685217564</v>
      </c>
      <c r="CD258" s="0" t="n">
        <v>-0.394352701407463</v>
      </c>
      <c r="CE258" s="20" t="n">
        <f aca="false">(CD258)^2</f>
        <v>0.155514053107364</v>
      </c>
      <c r="CG258" s="0" t="n">
        <v>7.89</v>
      </c>
      <c r="CH258" s="0" t="n">
        <v>1.23299611039215</v>
      </c>
      <c r="CI258" s="0" t="n">
        <v>40.0441575103011</v>
      </c>
      <c r="CJ258" s="0" t="n">
        <v>39.807392282766</v>
      </c>
      <c r="CK258" s="0" t="n">
        <v>-0.236765227535059</v>
      </c>
      <c r="CL258" s="20" t="n">
        <f aca="false">(CK258)^2</f>
        <v>0.0560577729697284</v>
      </c>
      <c r="CN258" s="0" t="n">
        <v>7.89</v>
      </c>
      <c r="CO258" s="0" t="n">
        <v>1.23299611039215</v>
      </c>
      <c r="CP258" s="0" t="n">
        <v>39.7856089784399</v>
      </c>
      <c r="CQ258" s="0" t="n">
        <v>39.2678630647137</v>
      </c>
      <c r="CR258" s="0" t="n">
        <v>-0.517745913726152</v>
      </c>
      <c r="CS258" s="20" t="n">
        <f aca="false">(CR258)^2</f>
        <v>0.268060831180128</v>
      </c>
      <c r="CU258" s="0" t="n">
        <v>8.27</v>
      </c>
      <c r="CV258" s="0" t="n">
        <v>2.01296836388713</v>
      </c>
      <c r="CW258" s="0" t="n">
        <v>1.96442405905461</v>
      </c>
      <c r="CX258" s="0" t="n">
        <v>-0.0485443048325227</v>
      </c>
      <c r="CY258" s="20" t="n">
        <f aca="false">(CX258)^2</f>
        <v>0.00235654953167289</v>
      </c>
      <c r="DC258" s="0" t="s">
        <v>120</v>
      </c>
      <c r="DJ258" s="0" t="s">
        <v>120</v>
      </c>
      <c r="DQ258" s="0" t="s">
        <v>120</v>
      </c>
      <c r="DX258" s="0" t="s">
        <v>120</v>
      </c>
    </row>
    <row r="259" customFormat="false" ht="12.8" hidden="false" customHeight="false" outlineLevel="0" collapsed="false">
      <c r="B259" s="0" t="str">
        <f aca="false">P224</f>
        <v>L-$\sigma$-W$_{H\beta}$-R$_{}$  &amp; (</v>
      </c>
      <c r="C259" s="41" t="n">
        <f aca="false">R224</f>
        <v>35.5920471084493</v>
      </c>
      <c r="D259" s="0" t="str">
        <f aca="false">S224</f>
        <v>$\pm$</v>
      </c>
      <c r="E259" s="41" t="n">
        <f aca="false">T224</f>
        <v>0.857048030808408</v>
      </c>
      <c r="F259" s="0" t="str">
        <f aca="false">U224</f>
        <v>) + (</v>
      </c>
      <c r="G259" s="41" t="n">
        <f aca="false">V224</f>
        <v>1.84363862057518</v>
      </c>
      <c r="H259" s="41"/>
      <c r="I259" s="0" t="str">
        <f aca="false">W224</f>
        <v>$\pm$</v>
      </c>
      <c r="J259" s="41" t="n">
        <f aca="false">X224</f>
        <v>0.440322046599098</v>
      </c>
      <c r="K259" s="0" t="str">
        <f aca="false">Y224</f>
        <v>)log $\sigma$ + (</v>
      </c>
      <c r="L259" s="41" t="n">
        <f aca="false">Z224</f>
        <v>0.276844331079389</v>
      </c>
      <c r="M259" s="0" t="str">
        <f aca="false">AA224</f>
        <v>$\pm$</v>
      </c>
      <c r="N259" s="41" t="n">
        <f aca="false">AB224</f>
        <v>0.149176856206132</v>
      </c>
      <c r="O259" s="0" t="str">
        <f aca="false">AC224</f>
        <v>)log W$_{H\beta}$  + (</v>
      </c>
      <c r="P259" s="41" t="n">
        <f aca="false">AD224</f>
        <v>0.657663140088664</v>
      </c>
      <c r="Q259" s="41"/>
      <c r="R259" s="0" t="str">
        <f aca="false">AE224</f>
        <v>$\pm$</v>
      </c>
      <c r="S259" s="41" t="n">
        <f aca="false">AF224</f>
        <v>0.243896244910328</v>
      </c>
      <c r="T259" s="0" t="str">
        <f aca="false">AG224</f>
        <v>)log R$_{50}$ &amp;</v>
      </c>
      <c r="U259" s="43" t="n">
        <f aca="false">AH224</f>
        <v>0.321644014782389</v>
      </c>
      <c r="V259" s="0" t="str">
        <f aca="false">AI224</f>
        <v>\\</v>
      </c>
      <c r="X259" s="0" t="str">
        <f aca="false">P234</f>
        <v>$L_{B.K.}$-R$_{50}$ &amp; (</v>
      </c>
      <c r="Y259" s="41" t="n">
        <f aca="false">R234</f>
        <v>0.709454264634644</v>
      </c>
      <c r="Z259" s="0" t="str">
        <f aca="false">S234</f>
        <v>$\pm$</v>
      </c>
      <c r="AA259" s="41" t="n">
        <f aca="false">T234</f>
        <v>0.266072389491026</v>
      </c>
      <c r="AB259" s="0" t="str">
        <f aca="false">U234</f>
        <v>) &amp;</v>
      </c>
      <c r="AC259" s="43" t="n">
        <f aca="false">V234</f>
        <v>0.447792645369926</v>
      </c>
      <c r="AD259" s="41" t="str">
        <f aca="false">W234</f>
        <v>\\</v>
      </c>
      <c r="BG259" s="0" t="n">
        <v>0.733539322223241</v>
      </c>
      <c r="BH259" s="0" t="n">
        <v>0.470829178633239</v>
      </c>
      <c r="BI259" s="0" t="n">
        <v>0.442228388904694</v>
      </c>
      <c r="BJ259" s="0" t="n">
        <f aca="false">LOG((BG259*PI())/(180*3600)*(Sheet2!N16*10^6))</f>
        <v>1.66973273822595</v>
      </c>
      <c r="BK259" s="0" t="n">
        <f aca="false">BM16</f>
        <v>1.23299611039215</v>
      </c>
      <c r="BL259" s="0" t="n">
        <f aca="false">LOG((BH259*PI())/(180*3600)*(Sheet2!N16*10^6))</f>
        <v>1.47717270804376</v>
      </c>
      <c r="BM259" s="0" t="n">
        <f aca="false">BK259</f>
        <v>1.23299611039215</v>
      </c>
      <c r="BN259" s="0" t="n">
        <f aca="false">LOG((BI259*PI())/(180*3600)*(Sheet2!N16*10^6))</f>
        <v>1.44995595728912</v>
      </c>
      <c r="BZ259" s="0" t="n">
        <v>8.27</v>
      </c>
      <c r="CA259" s="0" t="n">
        <v>1.3541084391474</v>
      </c>
      <c r="CB259" s="0" t="n">
        <v>39.8246657037304</v>
      </c>
      <c r="CC259" s="0" t="n">
        <v>39.3364926286811</v>
      </c>
      <c r="CD259" s="0" t="n">
        <v>-0.488173075049332</v>
      </c>
      <c r="CE259" s="20" t="n">
        <f aca="false">(CD259)^2</f>
        <v>0.238312951203121</v>
      </c>
      <c r="CG259" s="0" t="n">
        <v>8.27</v>
      </c>
      <c r="CH259" s="0" t="n">
        <v>1.3541084391474</v>
      </c>
      <c r="CI259" s="0" t="n">
        <v>40.3140694349364</v>
      </c>
      <c r="CJ259" s="0" t="n">
        <v>39.6234285182525</v>
      </c>
      <c r="CK259" s="0" t="n">
        <v>-0.690640916683904</v>
      </c>
      <c r="CL259" s="20" t="n">
        <f aca="false">(CK259)^2</f>
        <v>0.476984875797983</v>
      </c>
      <c r="CN259" s="0" t="n">
        <v>8.27</v>
      </c>
      <c r="CO259" s="0" t="n">
        <v>1.3541084391474</v>
      </c>
      <c r="CP259" s="0" t="n">
        <v>40.1129994835219</v>
      </c>
      <c r="CQ259" s="0" t="n">
        <v>39.6234285182525</v>
      </c>
      <c r="CR259" s="0" t="n">
        <v>-0.489570965269408</v>
      </c>
      <c r="CS259" s="20" t="n">
        <f aca="false">(CR259)^2</f>
        <v>0.23967973003482</v>
      </c>
      <c r="CU259" s="0" t="n">
        <v>8.49</v>
      </c>
      <c r="CV259" s="0" t="n">
        <v>2.03509379427582</v>
      </c>
      <c r="CW259" s="0" t="n">
        <v>2.35784156259318</v>
      </c>
      <c r="CX259" s="0" t="n">
        <v>0.32274776831736</v>
      </c>
      <c r="CY259" s="20" t="n">
        <f aca="false">(CX259)^2</f>
        <v>0.104166121953836</v>
      </c>
      <c r="DD259" s="0" t="s">
        <v>123</v>
      </c>
      <c r="DE259" s="0" t="s">
        <v>124</v>
      </c>
      <c r="DF259" s="0" t="s">
        <v>125</v>
      </c>
      <c r="DG259" s="0" t="s">
        <v>126</v>
      </c>
      <c r="DH259" s="0" t="s">
        <v>127</v>
      </c>
      <c r="DK259" s="0" t="s">
        <v>123</v>
      </c>
      <c r="DL259" s="0" t="s">
        <v>124</v>
      </c>
      <c r="DM259" s="0" t="s">
        <v>125</v>
      </c>
      <c r="DN259" s="0" t="s">
        <v>126</v>
      </c>
      <c r="DO259" s="0" t="s">
        <v>127</v>
      </c>
      <c r="DR259" s="0" t="s">
        <v>123</v>
      </c>
      <c r="DS259" s="0" t="s">
        <v>124</v>
      </c>
      <c r="DT259" s="0" t="s">
        <v>125</v>
      </c>
      <c r="DU259" s="0" t="s">
        <v>126</v>
      </c>
      <c r="DV259" s="0" t="s">
        <v>127</v>
      </c>
      <c r="DY259" s="0" t="s">
        <v>123</v>
      </c>
      <c r="DZ259" s="0" t="s">
        <v>124</v>
      </c>
      <c r="EA259" s="0" t="s">
        <v>125</v>
      </c>
      <c r="EB259" s="0" t="s">
        <v>126</v>
      </c>
      <c r="EC259" s="0" t="s">
        <v>127</v>
      </c>
    </row>
    <row r="260" customFormat="false" ht="12.8" hidden="false" customHeight="false" outlineLevel="0" collapsed="false">
      <c r="B260" s="0" t="str">
        <f aca="false">P228</f>
        <v>L-$\sigma$-W$_{H\beta}$-r$_{}$ &amp; (</v>
      </c>
      <c r="C260" s="41" t="n">
        <f aca="false">R228</f>
        <v>36.8013278590557</v>
      </c>
      <c r="D260" s="0" t="str">
        <f aca="false">S228</f>
        <v>$\pm$</v>
      </c>
      <c r="E260" s="41" t="n">
        <f aca="false">T228</f>
        <v>0.701292493020111</v>
      </c>
      <c r="F260" s="0" t="str">
        <f aca="false">U228</f>
        <v>) + (</v>
      </c>
      <c r="G260" s="41" t="n">
        <f aca="false">V228</f>
        <v>1.72030129467864</v>
      </c>
      <c r="H260" s="41"/>
      <c r="I260" s="0" t="str">
        <f aca="false">W228</f>
        <v>$\pm$</v>
      </c>
      <c r="J260" s="41" t="n">
        <f aca="false">X228</f>
        <v>0.53572598040379</v>
      </c>
      <c r="K260" s="0" t="str">
        <f aca="false">Y228</f>
        <v>)log $\sigma$ + (</v>
      </c>
      <c r="L260" s="41" t="n">
        <f aca="false">Z228</f>
        <v>0.152375533750732</v>
      </c>
      <c r="M260" s="0" t="str">
        <f aca="false">AA228</f>
        <v>$\pm$</v>
      </c>
      <c r="N260" s="41" t="n">
        <f aca="false">AB228</f>
        <v>0.143938223657718</v>
      </c>
      <c r="O260" s="0" t="str">
        <f aca="false">AC228</f>
        <v>)log W$_{H\beta}$ + (</v>
      </c>
      <c r="P260" s="41" t="n">
        <f aca="false">AD228</f>
        <v>0.470480643307818</v>
      </c>
      <c r="Q260" s="41"/>
      <c r="R260" s="0" t="str">
        <f aca="false">AE228</f>
        <v>$\pm$</v>
      </c>
      <c r="S260" s="41" t="n">
        <f aca="false">AF228</f>
        <v>0.277434176614291</v>
      </c>
      <c r="T260" s="0" t="str">
        <f aca="false">AG228</f>
        <v>)log r$_{50}$ &amp;</v>
      </c>
      <c r="U260" s="43" t="n">
        <f aca="false">AH228</f>
        <v>0.340272839205891</v>
      </c>
      <c r="V260" s="0" t="str">
        <f aca="false">AI228</f>
        <v>\\</v>
      </c>
      <c r="X260" s="0" t="str">
        <f aca="false">P238</f>
        <v>$L_{B.K.}$-r$_{50}$  &amp; (</v>
      </c>
      <c r="Y260" s="41" t="n">
        <f aca="false">R238</f>
        <v>1.10775660010363</v>
      </c>
      <c r="Z260" s="0" t="str">
        <f aca="false">S238</f>
        <v>$\pm$</v>
      </c>
      <c r="AA260" s="41" t="n">
        <f aca="false">T238</f>
        <v>0.229565022218769</v>
      </c>
      <c r="AB260" s="0" t="str">
        <f aca="false">U238</f>
        <v>) &amp;</v>
      </c>
      <c r="AC260" s="43" t="n">
        <f aca="false">V238</f>
        <v>0.383035486576419</v>
      </c>
      <c r="AD260" s="41" t="str">
        <f aca="false">W238</f>
        <v>\\</v>
      </c>
      <c r="BG260" s="0" t="n">
        <v>0.489322633825625</v>
      </c>
      <c r="BH260" s="0" t="n">
        <v>0.729526543508571</v>
      </c>
      <c r="BI260" s="0" t="n">
        <v>0.650215135478365</v>
      </c>
      <c r="BJ260" s="0" t="n">
        <f aca="false">LOG((BG260*PI())/(180*3600)*(Sheet2!N17*10^6))</f>
        <v>2.05102026162947</v>
      </c>
      <c r="BK260" s="0" t="n">
        <f aca="false">BM17</f>
        <v>1.3541084391474</v>
      </c>
      <c r="BL260" s="0" t="n">
        <f aca="false">LOG((BH260*PI())/(180*3600)*(Sheet2!N17*10^6))</f>
        <v>2.22446605506408</v>
      </c>
      <c r="BM260" s="0" t="n">
        <f aca="false">BK260</f>
        <v>1.3541084391474</v>
      </c>
      <c r="BN260" s="0" t="n">
        <f aca="false">LOG((BI260*PI())/(180*3600)*(Sheet2!N17*10^6))</f>
        <v>2.17448203156115</v>
      </c>
      <c r="BZ260" s="0" t="n">
        <v>8.49</v>
      </c>
      <c r="CA260" s="0" t="n">
        <v>1.48572142648158</v>
      </c>
      <c r="CB260" s="0" t="n">
        <v>40.192509300123</v>
      </c>
      <c r="CC260" s="0" t="n">
        <v>40.3263420583806</v>
      </c>
      <c r="CD260" s="0" t="n">
        <v>0.133832758257604</v>
      </c>
      <c r="CE260" s="20" t="n">
        <f aca="false">(CD260)^2</f>
        <v>0.0179112071828383</v>
      </c>
      <c r="CG260" s="0" t="n">
        <v>8.49</v>
      </c>
      <c r="CH260" s="0" t="n">
        <v>1.48572142648158</v>
      </c>
      <c r="CI260" s="0" t="n">
        <v>40.6025287495983</v>
      </c>
      <c r="CJ260" s="0" t="n">
        <v>40.3264007404092</v>
      </c>
      <c r="CK260" s="0" t="n">
        <v>-0.27612800918908</v>
      </c>
      <c r="CL260" s="20" t="n">
        <f aca="false">(CK260)^2</f>
        <v>0.0762466774587245</v>
      </c>
      <c r="CN260" s="0" t="n">
        <v>8.49</v>
      </c>
      <c r="CO260" s="0" t="n">
        <v>1.48572142648158</v>
      </c>
      <c r="CP260" s="0" t="n">
        <v>40.4627259094069</v>
      </c>
      <c r="CQ260" s="0" t="n">
        <v>40.3264007404092</v>
      </c>
      <c r="CR260" s="0" t="n">
        <v>-0.136325168997665</v>
      </c>
      <c r="CS260" s="20" t="n">
        <f aca="false">(CR260)^2</f>
        <v>0.0185845517022419</v>
      </c>
      <c r="CU260" s="0" t="n">
        <v>8.02</v>
      </c>
      <c r="CV260" s="0" t="n">
        <v>1.98782582935453</v>
      </c>
      <c r="CW260" s="0" t="n">
        <v>2.04990126579397</v>
      </c>
      <c r="CX260" s="0" t="n">
        <v>0.0620754364394376</v>
      </c>
      <c r="CY260" s="20" t="n">
        <f aca="false">(CX260)^2</f>
        <v>0.00385335980914666</v>
      </c>
      <c r="DC260" s="0" t="s">
        <v>130</v>
      </c>
      <c r="DD260" s="0" t="n">
        <f aca="false">$DD$254</f>
        <v>3</v>
      </c>
      <c r="DE260" s="0" t="e">
        <f aca="false">$DC$249</f>
        <v>#VALUE!</v>
      </c>
      <c r="DF260" s="0" t="e">
        <f aca="false">$DC$249 / $DD$260</f>
        <v>#VALUE!</v>
      </c>
      <c r="DG260" s="0" t="e">
        <f aca="false">$DC$248</f>
        <v>#VALUE!</v>
      </c>
      <c r="DH260" s="0" t="e">
        <f aca="false">FDIST($DC$248 , $DD$260 , $DD$248)</f>
        <v>#VALUE!</v>
      </c>
      <c r="DJ260" s="0" t="s">
        <v>130</v>
      </c>
      <c r="DK260" s="0" t="n">
        <f aca="false">$DK$254</f>
        <v>3</v>
      </c>
      <c r="DL260" s="0" t="n">
        <f aca="false">$DJ$249</f>
        <v>1.30587544931589</v>
      </c>
      <c r="DM260" s="0" t="n">
        <f aca="false">$DJ$249 / $DK$260</f>
        <v>0.43529181643863</v>
      </c>
      <c r="DN260" s="0" t="n">
        <f aca="false">$DJ$248</f>
        <v>3.44914854676066</v>
      </c>
      <c r="DO260" s="0" t="n">
        <f aca="false">FDIST($DJ$248 , $DK$260 , $DK$248)</f>
        <v>0.0515577104785737</v>
      </c>
      <c r="DQ260" s="0" t="s">
        <v>130</v>
      </c>
      <c r="DR260" s="0" t="n">
        <f aca="false">$DR$254</f>
        <v>3</v>
      </c>
      <c r="DS260" s="0" t="n">
        <f aca="false">$DQ$249</f>
        <v>0.953361600199757</v>
      </c>
      <c r="DT260" s="0" t="n">
        <f aca="false">$DQ$249 / $DR$260</f>
        <v>0.317787200066586</v>
      </c>
      <c r="DU260" s="0" t="n">
        <f aca="false">$DQ$248</f>
        <v>3.91954758708981</v>
      </c>
      <c r="DV260" s="0" t="n">
        <f aca="false">FDIST($DQ$248 , $DR$260 , $DR$248)</f>
        <v>0.0366109253112004</v>
      </c>
      <c r="DX260" s="0" t="s">
        <v>130</v>
      </c>
      <c r="DY260" s="0" t="n">
        <f aca="false">$DY$254</f>
        <v>3</v>
      </c>
      <c r="DZ260" s="0" t="n">
        <f aca="false">$DX$249</f>
        <v>1.58749876135231</v>
      </c>
      <c r="EA260" s="0" t="n">
        <f aca="false">$DX$249 / $DY$260</f>
        <v>0.529166253784104</v>
      </c>
      <c r="EB260" s="0" t="n">
        <f aca="false">$DX$248</f>
        <v>5.21697364809011</v>
      </c>
      <c r="EC260" s="0" t="n">
        <f aca="false">FDIST($DX$248 , $DY$260 , $DY$248)</f>
        <v>0.0155128515951265</v>
      </c>
    </row>
    <row r="261" customFormat="false" ht="12.8" hidden="false" customHeight="false" outlineLevel="0" collapsed="false">
      <c r="BG261" s="0" t="n">
        <v>0.74018789043372</v>
      </c>
      <c r="BH261" s="0" t="n">
        <v>0.639599531460652</v>
      </c>
      <c r="BI261" s="0" t="n">
        <v>0.611855964804025</v>
      </c>
      <c r="BJ261" s="0" t="n">
        <f aca="false">LOG((BG261*PI())/(180*3600)*(Sheet2!N18*10^6))</f>
        <v>2.55445872606549</v>
      </c>
      <c r="BK261" s="0" t="n">
        <f aca="false">BM18</f>
        <v>1.48572142648158</v>
      </c>
      <c r="BL261" s="0" t="n">
        <f aca="false">LOG((BH261*PI())/(180*3600)*(Sheet2!N18*10^6))</f>
        <v>2.49102488729162</v>
      </c>
      <c r="BM261" s="0" t="n">
        <f aca="false">BK261</f>
        <v>1.48572142648158</v>
      </c>
      <c r="BN261" s="0" t="n">
        <f aca="false">LOG((BI261*PI())/(180*3600)*(Sheet2!N18*10^6))</f>
        <v>2.47176594856293</v>
      </c>
      <c r="BZ261" s="0" t="n">
        <v>8.02</v>
      </c>
      <c r="CA261" s="0" t="n">
        <v>1.39967372148104</v>
      </c>
      <c r="CB261" s="0" t="n">
        <v>39.9465981461558</v>
      </c>
      <c r="CC261" s="0" t="n">
        <v>39.7238406799932</v>
      </c>
      <c r="CD261" s="0" t="n">
        <v>-0.222757466162619</v>
      </c>
      <c r="CE261" s="20" t="n">
        <f aca="false">(CD261)^2</f>
        <v>0.0496208887311905</v>
      </c>
      <c r="CG261" s="0" t="n">
        <v>8.02</v>
      </c>
      <c r="CH261" s="0" t="n">
        <v>1.39967372148104</v>
      </c>
      <c r="CI261" s="0" t="n">
        <v>40.4057297525738</v>
      </c>
      <c r="CJ261" s="0" t="n">
        <v>40.2529720067542</v>
      </c>
      <c r="CK261" s="0" t="n">
        <v>-0.152757745819564</v>
      </c>
      <c r="CL261" s="20" t="n">
        <f aca="false">(CK261)^2</f>
        <v>0.0233349289078744</v>
      </c>
      <c r="CN261" s="0" t="n">
        <v>8.02</v>
      </c>
      <c r="CO261" s="0" t="n">
        <v>1.39967372148104</v>
      </c>
      <c r="CP261" s="0" t="n">
        <v>40.2238508552398</v>
      </c>
      <c r="CQ261" s="0" t="n">
        <v>40.0756659371669</v>
      </c>
      <c r="CR261" s="0" t="n">
        <v>-0.148184918072865</v>
      </c>
      <c r="CS261" s="20" t="n">
        <f aca="false">(CR261)^2</f>
        <v>0.0219587699442616</v>
      </c>
      <c r="CU261" s="0" t="n">
        <v>8.5</v>
      </c>
      <c r="CV261" s="0" t="n">
        <v>2.03609949565712</v>
      </c>
      <c r="CW261" s="0" t="n">
        <v>2.20522175876517</v>
      </c>
      <c r="CX261" s="0" t="n">
        <v>0.169122263108046</v>
      </c>
      <c r="CY261" s="20" t="n">
        <f aca="false">(CX261)^2</f>
        <v>0.0286023398787871</v>
      </c>
      <c r="DC261" s="0" t="s">
        <v>133</v>
      </c>
      <c r="DD261" s="0" t="e">
        <f aca="false">$DD$248</f>
        <v>#VALUE!</v>
      </c>
      <c r="DE261" s="0" t="e">
        <f aca="false">$DD$249</f>
        <v>#VALUE!</v>
      </c>
      <c r="DF261" s="0" t="e">
        <f aca="false">$DD$249 / $DD$248</f>
        <v>#VALUE!</v>
      </c>
      <c r="DJ261" s="0" t="s">
        <v>133</v>
      </c>
      <c r="DK261" s="0" t="n">
        <f aca="false">$DK$248</f>
        <v>12</v>
      </c>
      <c r="DL261" s="0" t="n">
        <f aca="false">$DK$249</f>
        <v>1.51443225087227</v>
      </c>
      <c r="DM261" s="0" t="n">
        <f aca="false">$DK$249 / $DK$248</f>
        <v>0.126202687572689</v>
      </c>
      <c r="DQ261" s="0" t="s">
        <v>133</v>
      </c>
      <c r="DR261" s="0" t="n">
        <f aca="false">$DR$248</f>
        <v>12</v>
      </c>
      <c r="DS261" s="0" t="n">
        <f aca="false">$DR$249</f>
        <v>0.972930246684525</v>
      </c>
      <c r="DT261" s="0" t="n">
        <f aca="false">$DR$249 / $DR$248</f>
        <v>0.0810775205570438</v>
      </c>
      <c r="DX261" s="0" t="s">
        <v>133</v>
      </c>
      <c r="DY261" s="0" t="n">
        <f aca="false">$DY$248</f>
        <v>12</v>
      </c>
      <c r="DZ261" s="0" t="n">
        <f aca="false">$DY$249</f>
        <v>1.21717981990074</v>
      </c>
      <c r="EA261" s="0" t="n">
        <f aca="false">$DY$249 / $DY$248</f>
        <v>0.101431651658395</v>
      </c>
    </row>
    <row r="262" customFormat="false" ht="12.8" hidden="false" customHeight="false" outlineLevel="0" collapsed="false">
      <c r="B262" s="0" t="str">
        <f aca="false">P199</f>
        <v>L-$\sigma$  &amp; (</v>
      </c>
      <c r="C262" s="41" t="n">
        <f aca="false">R199</f>
        <v>36.5095761753446</v>
      </c>
      <c r="D262" s="0" t="str">
        <f aca="false">S199</f>
        <v>$\pm$</v>
      </c>
      <c r="E262" s="41" t="n">
        <f aca="false">T199</f>
        <v>0.572493179851514</v>
      </c>
      <c r="F262" s="0" t="str">
        <f aca="false">U199</f>
        <v>) + (</v>
      </c>
      <c r="G262" s="41" t="n">
        <f aca="false">V199</f>
        <v>2.64736214359656</v>
      </c>
      <c r="H262" s="41"/>
      <c r="I262" s="0" t="str">
        <f aca="false">W199</f>
        <v>$\pm$</v>
      </c>
      <c r="J262" s="41" t="n">
        <f aca="false">X199</f>
        <v>0.416787285708364</v>
      </c>
      <c r="K262" s="0" t="str">
        <f aca="false">Y199</f>
        <v>)log $\sigma$ &amp;</v>
      </c>
      <c r="L262" s="43" t="n">
        <f aca="false">Z199</f>
        <v>0.33816263186945</v>
      </c>
      <c r="M262" s="0" t="str">
        <f aca="false">AA199</f>
        <v>\\</v>
      </c>
      <c r="N262" s="41"/>
      <c r="O262" s="41"/>
      <c r="P262" s="41"/>
      <c r="Q262" s="41"/>
      <c r="R262" s="41"/>
      <c r="S262" s="41"/>
      <c r="T262" s="41"/>
      <c r="U262" s="41"/>
      <c r="V262" s="41"/>
      <c r="X262" s="0" t="str">
        <f aca="false">P240</f>
        <v>R$_{50}$-$\sigma$  &amp; (</v>
      </c>
      <c r="Y262" s="41" t="n">
        <f aca="false">R240</f>
        <v>0.728237192502976</v>
      </c>
      <c r="Z262" s="0" t="str">
        <f aca="false">S240</f>
        <v>$\pm$</v>
      </c>
      <c r="AA262" s="41" t="n">
        <f aca="false">T240</f>
        <v>0.319301629977701</v>
      </c>
      <c r="AB262" s="0" t="str">
        <f aca="false">U240</f>
        <v>) &amp;</v>
      </c>
      <c r="AC262" s="43" t="n">
        <f aca="false">V240</f>
        <v>0.259067114703249</v>
      </c>
      <c r="AD262" s="0" t="str">
        <f aca="false">W240</f>
        <v>\\</v>
      </c>
      <c r="BG262" s="0" t="n">
        <v>0.760121892378384</v>
      </c>
      <c r="BH262" s="0" t="n">
        <v>0.606105439339629</v>
      </c>
      <c r="BI262" s="0" t="n">
        <v>0.472181058116718</v>
      </c>
      <c r="BJ262" s="0" t="n">
        <f aca="false">LOG((BG262*PI())/(180*3600)*(Sheet2!N19*10^6))</f>
        <v>2.37082359804772</v>
      </c>
      <c r="BK262" s="0" t="n">
        <f aca="false">BM19</f>
        <v>1.39967372148104</v>
      </c>
      <c r="BL262" s="0" t="n">
        <f aca="false">LOG((BH262*PI())/(180*3600)*(Sheet2!N19*10^6))</f>
        <v>2.27248853865146</v>
      </c>
      <c r="BM262" s="0" t="n">
        <f aca="false">BK262</f>
        <v>1.39967372148104</v>
      </c>
      <c r="BN262" s="0" t="n">
        <f aca="false">LOG((BI262*PI())/(180*3600)*(Sheet2!N19*10^6))</f>
        <v>2.16404891821439</v>
      </c>
      <c r="BZ262" s="0" t="n">
        <v>8.5</v>
      </c>
      <c r="CA262" s="0" t="n">
        <v>1.3384564936046</v>
      </c>
      <c r="CB262" s="0" t="n">
        <v>39.7851749978511</v>
      </c>
      <c r="CC262" s="0" t="n">
        <v>40.069553025812</v>
      </c>
      <c r="CD262" s="0" t="n">
        <v>0.284378027960869</v>
      </c>
      <c r="CE262" s="20" t="n">
        <f aca="false">(CD262)^2</f>
        <v>0.080870862786913</v>
      </c>
      <c r="CG262" s="0" t="n">
        <v>8.5</v>
      </c>
      <c r="CH262" s="0" t="n">
        <v>1.3384564936046</v>
      </c>
      <c r="CI262" s="0" t="n">
        <v>40.2862096618966</v>
      </c>
      <c r="CJ262" s="0" t="n">
        <v>41.2641577153917</v>
      </c>
      <c r="CK262" s="0" t="n">
        <v>0.977948053495055</v>
      </c>
      <c r="CL262" s="20" t="n">
        <f aca="false">(CK262)^2</f>
        <v>0.956382395334767</v>
      </c>
      <c r="CN262" s="0" t="n">
        <v>8.5</v>
      </c>
      <c r="CO262" s="0" t="n">
        <v>1.3384564936046</v>
      </c>
      <c r="CP262" s="0" t="n">
        <v>40.079440061679</v>
      </c>
      <c r="CQ262" s="0" t="n">
        <v>40.7238661685937</v>
      </c>
      <c r="CR262" s="0" t="n">
        <v>0.644426106914686</v>
      </c>
      <c r="CS262" s="20" t="n">
        <f aca="false">(CR262)^2</f>
        <v>0.415285007273219</v>
      </c>
      <c r="CU262" s="0" t="n">
        <v>7.96</v>
      </c>
      <c r="CV262" s="0" t="n">
        <v>1.98179162106671</v>
      </c>
      <c r="CW262" s="0" t="n">
        <v>1.96796675188098</v>
      </c>
      <c r="CX262" s="0" t="n">
        <v>-0.0138248691857288</v>
      </c>
      <c r="CY262" s="20" t="n">
        <f aca="false">(CX262)^2</f>
        <v>0.000191127008002513</v>
      </c>
      <c r="DC262" s="0" t="s">
        <v>136</v>
      </c>
      <c r="DD262" s="0" t="e">
        <f aca="false">$DD$260 + $DD$248</f>
        <v>#VALUE!</v>
      </c>
      <c r="DE262" s="0" t="e">
        <f aca="false">$DC$249 + $DD$249</f>
        <v>#VALUE!</v>
      </c>
      <c r="DJ262" s="0" t="s">
        <v>136</v>
      </c>
      <c r="DK262" s="0" t="n">
        <f aca="false">$DK$260 + $DK$248</f>
        <v>15</v>
      </c>
      <c r="DL262" s="0" t="n">
        <f aca="false">$DJ$249 + $DK$249</f>
        <v>2.82030770018816</v>
      </c>
      <c r="DQ262" s="0" t="s">
        <v>136</v>
      </c>
      <c r="DR262" s="0" t="n">
        <f aca="false">$DR$260 + $DR$248</f>
        <v>15</v>
      </c>
      <c r="DS262" s="0" t="n">
        <f aca="false">$DQ$249 + $DR$249</f>
        <v>1.92629184688428</v>
      </c>
      <c r="DX262" s="0" t="s">
        <v>136</v>
      </c>
      <c r="DY262" s="0" t="n">
        <f aca="false">$DY$260 + $DY$248</f>
        <v>15</v>
      </c>
      <c r="DZ262" s="0" t="n">
        <f aca="false">$DX$249 + $DY$249</f>
        <v>2.80467858125306</v>
      </c>
    </row>
    <row r="263" customFormat="false" ht="12.8" hidden="false" customHeight="false" outlineLevel="0" collapsed="false">
      <c r="B263" s="0" t="str">
        <f aca="false">P203</f>
        <v>L-$\sigma$-R$_{}$ &amp; (</v>
      </c>
      <c r="C263" s="41" t="n">
        <f aca="false">R203</f>
        <v>36.0061775699594</v>
      </c>
      <c r="D263" s="0" t="str">
        <f aca="false">S203</f>
        <v>$\pm$</v>
      </c>
      <c r="E263" s="41" t="n">
        <f aca="false">T203</f>
        <v>0.668721822032403</v>
      </c>
      <c r="F263" s="0" t="str">
        <f aca="false">U203</f>
        <v>) + (</v>
      </c>
      <c r="G263" s="41" t="n">
        <f aca="false">V203</f>
        <v>2.43025907368837</v>
      </c>
      <c r="H263" s="41"/>
      <c r="I263" s="0" t="str">
        <f aca="false">W203</f>
        <v>$\pm$</v>
      </c>
      <c r="J263" s="41" t="n">
        <f aca="false">X203</f>
        <v>0.439334168736719</v>
      </c>
      <c r="K263" s="0" t="str">
        <f aca="false">Y203</f>
        <v>)log $\sigma$ + (</v>
      </c>
      <c r="L263" s="41" t="n">
        <f aca="false">Z203</f>
        <v>0.298121370541373</v>
      </c>
      <c r="M263" s="0" t="str">
        <f aca="false">AA203</f>
        <v>$\pm$</v>
      </c>
      <c r="N263" s="41" t="n">
        <f aca="false">AB203</f>
        <v>0.211801478590301</v>
      </c>
      <c r="O263" s="0" t="str">
        <f aca="false">AC203</f>
        <v>)log R$_{50}$ &amp;</v>
      </c>
      <c r="P263" s="43" t="n">
        <f aca="false">AD203</f>
        <v>0.329224787689627</v>
      </c>
      <c r="Q263" s="43"/>
      <c r="R263" s="0" t="str">
        <f aca="false">AE203</f>
        <v>\\</v>
      </c>
      <c r="S263" s="41"/>
      <c r="T263" s="41"/>
      <c r="U263" s="41"/>
      <c r="X263" s="0" t="str">
        <f aca="false">P241</f>
        <v>r$_{50}$-$\sigma$   &amp; (</v>
      </c>
      <c r="Y263" s="41" t="n">
        <f aca="false">R241</f>
        <v>1.21147947536406</v>
      </c>
      <c r="Z263" s="0" t="str">
        <f aca="false">S241</f>
        <v>$\pm$</v>
      </c>
      <c r="AA263" s="41" t="n">
        <f aca="false">T241</f>
        <v>0.273188467012815</v>
      </c>
      <c r="AB263" s="0" t="str">
        <f aca="false">U241</f>
        <v>) &amp;</v>
      </c>
      <c r="AC263" s="43" t="n">
        <f aca="false">V241</f>
        <v>0.221652949044314</v>
      </c>
      <c r="AD263" s="0" t="str">
        <f aca="false">W241</f>
        <v>\\</v>
      </c>
      <c r="BG263" s="0" t="n">
        <v>0.682059252394511</v>
      </c>
      <c r="BH263" s="0" t="n">
        <v>0.700760320524787</v>
      </c>
      <c r="BI263" s="0" t="n">
        <v>0.549869194181252</v>
      </c>
      <c r="BJ263" s="0" t="n">
        <f aca="false">LOG((BG263*PI())/(180*3600)*(Sheet2!N20*10^6))</f>
        <v>2.58308201581506</v>
      </c>
      <c r="BK263" s="0" t="n">
        <f aca="false">BM20</f>
        <v>1.3384564936046</v>
      </c>
      <c r="BL263" s="0" t="n">
        <f aca="false">LOG((BH263*PI())/(180*3600)*(Sheet2!N20*10^6))</f>
        <v>2.59482941374286</v>
      </c>
      <c r="BM263" s="0" t="n">
        <f aca="false">BK263</f>
        <v>1.3384564936046</v>
      </c>
      <c r="BN263" s="0" t="n">
        <f aca="false">LOG((BI263*PI())/(180*3600)*(Sheet2!N20*10^6))</f>
        <v>2.48951930063483</v>
      </c>
      <c r="BZ263" s="0" t="n">
        <v>7.96</v>
      </c>
      <c r="CA263" s="0" t="n">
        <v>1.25527250510331</v>
      </c>
      <c r="CB263" s="0" t="n">
        <v>39.5460254417663</v>
      </c>
      <c r="CC263" s="0" t="n">
        <v>39.8138398098754</v>
      </c>
      <c r="CD263" s="0" t="n">
        <v>0.26781436810905</v>
      </c>
      <c r="CE263" s="20" t="n">
        <f aca="false">(CD263)^2</f>
        <v>0.0717245357656499</v>
      </c>
      <c r="CG263" s="0" t="n">
        <v>7.96</v>
      </c>
      <c r="CH263" s="0" t="n">
        <v>1.25527250510331</v>
      </c>
      <c r="CI263" s="0" t="n">
        <v>40.0938055313247</v>
      </c>
      <c r="CJ263" s="0" t="n">
        <v>40.2861528339909</v>
      </c>
      <c r="CK263" s="0" t="n">
        <v>0.192347302666157</v>
      </c>
      <c r="CL263" s="20" t="n">
        <f aca="false">(CK263)^2</f>
        <v>0.0369974848429461</v>
      </c>
      <c r="CN263" s="0" t="n">
        <v>7.96</v>
      </c>
      <c r="CO263" s="0" t="n">
        <v>1.25527250510331</v>
      </c>
      <c r="CP263" s="0" t="n">
        <v>39.8458297878551</v>
      </c>
      <c r="CQ263" s="0" t="n">
        <v>39.8999512285901</v>
      </c>
      <c r="CR263" s="0" t="n">
        <v>0.0541214407349884</v>
      </c>
      <c r="CS263" s="20" t="n">
        <f aca="false">(CR263)^2</f>
        <v>0.00292913034723086</v>
      </c>
      <c r="CU263" s="0" t="n">
        <v>8.56</v>
      </c>
      <c r="CV263" s="0" t="n">
        <v>2.04213370394495</v>
      </c>
      <c r="CW263" s="0" t="n">
        <v>1.83307698166838</v>
      </c>
      <c r="CX263" s="0" t="n">
        <v>-0.209056722276568</v>
      </c>
      <c r="CY263" s="20" t="n">
        <f aca="false">(CX263)^2</f>
        <v>0.0437047131290222</v>
      </c>
    </row>
    <row r="264" customFormat="false" ht="12.8" hidden="false" customHeight="false" outlineLevel="0" collapsed="false">
      <c r="B264" s="0" t="str">
        <f aca="false">P207</f>
        <v>L-$\sigma$-r$_{}$  &amp;  (</v>
      </c>
      <c r="C264" s="41" t="n">
        <f aca="false">R207</f>
        <v>36.3347814469617</v>
      </c>
      <c r="D264" s="0" t="str">
        <f aca="false">S207</f>
        <v>$\pm$</v>
      </c>
      <c r="E264" s="41" t="n">
        <f aca="false">T207</f>
        <v>0.549061564433446</v>
      </c>
      <c r="F264" s="0" t="str">
        <f aca="false">U207</f>
        <v>) + (</v>
      </c>
      <c r="G264" s="41" t="n">
        <f aca="false">V207</f>
        <v>1.99912862203331</v>
      </c>
      <c r="H264" s="41"/>
      <c r="I264" s="0" t="str">
        <f aca="false">W207</f>
        <v>$\pm$</v>
      </c>
      <c r="J264" s="41" t="n">
        <f aca="false">X207</f>
        <v>0.489690048484452</v>
      </c>
      <c r="K264" s="0" t="str">
        <f aca="false">Y207</f>
        <v>)log $\sigma$ + (</v>
      </c>
      <c r="L264" s="41" t="n">
        <f aca="false">Z207</f>
        <v>0.53507594205709</v>
      </c>
      <c r="M264" s="0" t="str">
        <f aca="false">AA207</f>
        <v>$\pm$</v>
      </c>
      <c r="N264" s="41" t="n">
        <f aca="false">AB207</f>
        <v>0.23812178917286</v>
      </c>
      <c r="O264" s="0" t="str">
        <f aca="false">AC207</f>
        <v>)log r$_{50}$ &amp;</v>
      </c>
      <c r="P264" s="43" t="n">
        <f aca="false">AD207</f>
        <v>0.316682380811235</v>
      </c>
      <c r="Q264" s="43"/>
      <c r="R264" s="0" t="str">
        <f aca="false">AE207</f>
        <v>\\</v>
      </c>
      <c r="S264" s="41"/>
      <c r="T264" s="41"/>
      <c r="U264" s="41"/>
      <c r="BG264" s="0" t="n">
        <v>0.630010373721177</v>
      </c>
      <c r="BH264" s="0" t="n">
        <v>0.511338050744495</v>
      </c>
      <c r="BI264" s="0" t="n">
        <v>0.822066323813731</v>
      </c>
      <c r="BJ264" s="0" t="n">
        <f aca="false">LOG((BG264*PI())/(180*3600)*(Sheet2!N21*10^6))</f>
        <v>2.17210851033937</v>
      </c>
      <c r="BK264" s="0" t="n">
        <f aca="false">BM21</f>
        <v>1.25527250510331</v>
      </c>
      <c r="BL264" s="0" t="n">
        <f aca="false">LOG((BH264*PI())/(180*3600)*(Sheet2!N21*10^6))</f>
        <v>2.08146892130256</v>
      </c>
      <c r="BM264" s="0" t="n">
        <f aca="false">BK264</f>
        <v>1.25527250510331</v>
      </c>
      <c r="BN264" s="0" t="n">
        <f aca="false">LOG((BI264*PI())/(180*3600)*(Sheet2!N21*10^6))</f>
        <v>2.28766766732407</v>
      </c>
      <c r="BZ264" s="0" t="n">
        <v>8.56</v>
      </c>
      <c r="CA264" s="0" t="n">
        <v>1.22010808804006</v>
      </c>
      <c r="CB264" s="0" t="n">
        <v>39.4586867983121</v>
      </c>
      <c r="CC264" s="0" t="n">
        <v>39.0981383321098</v>
      </c>
      <c r="CD264" s="0" t="n">
        <v>-0.360548466202282</v>
      </c>
      <c r="CE264" s="20" t="n">
        <f aca="false">(CD264)^2</f>
        <v>0.129995196480818</v>
      </c>
      <c r="CG264" s="0" t="n">
        <v>8.56</v>
      </c>
      <c r="CH264" s="0" t="n">
        <v>1.22010808804006</v>
      </c>
      <c r="CI264" s="0" t="n">
        <v>40.0333094822423</v>
      </c>
      <c r="CJ264" s="0" t="n">
        <v>39.9333875133335</v>
      </c>
      <c r="CK264" s="0" t="n">
        <v>-0.0999219689087667</v>
      </c>
      <c r="CL264" s="20" t="n">
        <f aca="false">(CK264)^2</f>
        <v>0.00998439987060454</v>
      </c>
      <c r="CN264" s="0" t="n">
        <v>8.56</v>
      </c>
      <c r="CO264" s="0" t="n">
        <v>1.22010808804006</v>
      </c>
      <c r="CP264" s="0" t="n">
        <v>39.7730443495319</v>
      </c>
      <c r="CQ264" s="0" t="n">
        <v>39.7399913960693</v>
      </c>
      <c r="CR264" s="0" t="n">
        <v>-0.0330529534626507</v>
      </c>
      <c r="CS264" s="20" t="n">
        <f aca="false">(CR264)^2</f>
        <v>0.00109249773260415</v>
      </c>
      <c r="CU264" s="0" t="n">
        <v>8.14</v>
      </c>
      <c r="CV264" s="0" t="n">
        <v>1.99989424593018</v>
      </c>
      <c r="CW264" s="0" t="n">
        <v>2.24498078176473</v>
      </c>
      <c r="CX264" s="0" t="n">
        <v>0.245086535834549</v>
      </c>
      <c r="CY264" s="20" t="n">
        <f aca="false">(CX264)^2</f>
        <v>0.0600674100473797</v>
      </c>
      <c r="DC264" s="0" t="s">
        <v>141</v>
      </c>
      <c r="DD264" s="0" t="n">
        <v>0.95</v>
      </c>
      <c r="DJ264" s="0" t="s">
        <v>141</v>
      </c>
      <c r="DK264" s="0" t="n">
        <v>0.95</v>
      </c>
      <c r="DQ264" s="0" t="s">
        <v>141</v>
      </c>
      <c r="DR264" s="0" t="n">
        <v>0.95</v>
      </c>
      <c r="DX264" s="0" t="s">
        <v>141</v>
      </c>
      <c r="DY264" s="0" t="n">
        <v>0.95</v>
      </c>
    </row>
    <row r="265" customFormat="false" ht="12.8" hidden="false" customHeight="false" outlineLevel="0" collapsed="false">
      <c r="B265" s="0" t="str">
        <f aca="false">P212</f>
        <v>L-$\sigma$-O/H &amp; (</v>
      </c>
      <c r="C265" s="41" t="n">
        <f aca="false">R212</f>
        <v>36.326495870113</v>
      </c>
      <c r="D265" s="0" t="str">
        <f aca="false">S212</f>
        <v>$\pm$</v>
      </c>
      <c r="E265" s="41" t="n">
        <f aca="false">T212</f>
        <v>0.621843303817268</v>
      </c>
      <c r="F265" s="0" t="str">
        <f aca="false">U212</f>
        <v>) + (</v>
      </c>
      <c r="G265" s="41" t="n">
        <f aca="false">V212</f>
        <v>2.60482498308636</v>
      </c>
      <c r="H265" s="41"/>
      <c r="I265" s="0" t="str">
        <f aca="false">W212</f>
        <v>$\pm$</v>
      </c>
      <c r="J265" s="41" t="n">
        <f aca="false">X212</f>
        <v>0.437365964265029</v>
      </c>
      <c r="K265" s="0" t="str">
        <f aca="false">Y212</f>
        <v>)log $\sigma$ + (</v>
      </c>
      <c r="L265" s="41" t="n">
        <f aca="false">Z212</f>
        <v>0.0313528562647741</v>
      </c>
      <c r="M265" s="0" t="str">
        <f aca="false">AA212</f>
        <v>$\pm$</v>
      </c>
      <c r="N265" s="41" t="n">
        <f aca="false">AB212</f>
        <v>0.0445977397499381</v>
      </c>
      <c r="O265" s="0" t="str">
        <f aca="false">AC212</f>
        <v>)log O/H &amp;</v>
      </c>
      <c r="P265" s="43" t="n">
        <f aca="false">AD212</f>
        <v>0.338389260512613</v>
      </c>
      <c r="Q265" s="43"/>
      <c r="R265" s="0" t="str">
        <f aca="false">AE212</f>
        <v>\\</v>
      </c>
      <c r="S265" s="41"/>
      <c r="T265" s="41"/>
      <c r="U265" s="41"/>
      <c r="X265" s="0" t="s">
        <v>396</v>
      </c>
      <c r="Y265" s="41" t="n">
        <f aca="false">E102</f>
        <v>2.78520569316395</v>
      </c>
      <c r="Z265" s="41" t="s">
        <v>397</v>
      </c>
      <c r="AA265" s="41" t="n">
        <f aca="false">F102</f>
        <v>0.379921730218534</v>
      </c>
      <c r="AB265" s="0" t="s">
        <v>398</v>
      </c>
      <c r="AC265" s="0" t="n">
        <f aca="false">B102</f>
        <v>0.308251562848756</v>
      </c>
      <c r="AD265" s="0" t="s">
        <v>399</v>
      </c>
      <c r="BG265" s="0" t="n">
        <v>0.592487451987312</v>
      </c>
      <c r="BH265" s="0" t="n">
        <v>0.561646165697425</v>
      </c>
      <c r="BI265" s="0" t="n">
        <v>0.668418414934964</v>
      </c>
      <c r="BJ265" s="0" t="n">
        <f aca="false">LOG((BG265*PI())/(180*3600)*(Sheet2!N22*10^6))</f>
        <v>1.86320706472949</v>
      </c>
      <c r="BK265" s="0" t="n">
        <f aca="false">BM22</f>
        <v>1.22010808804006</v>
      </c>
      <c r="BL265" s="0" t="n">
        <f aca="false">LOG((BH265*PI())/(180*3600)*(Sheet2!N22*10^6))</f>
        <v>1.83999070601295</v>
      </c>
      <c r="BM265" s="0" t="n">
        <f aca="false">BK265</f>
        <v>1.22010808804006</v>
      </c>
      <c r="BN265" s="0" t="n">
        <f aca="false">LOG((BI265*PI())/(180*3600)*(Sheet2!N22*10^6))</f>
        <v>1.91557631387235</v>
      </c>
      <c r="BZ265" s="0" t="n">
        <v>8.14</v>
      </c>
      <c r="CA265" s="0" t="n">
        <v>1.50514997831991</v>
      </c>
      <c r="CB265" s="0" t="n">
        <v>40.2404572106562</v>
      </c>
      <c r="CC265" s="0" t="n">
        <v>40.6295612869068</v>
      </c>
      <c r="CD265" s="0" t="n">
        <v>0.389104076250611</v>
      </c>
      <c r="CE265" s="20" t="n">
        <f aca="false">(CD265)^2</f>
        <v>0.151401982154841</v>
      </c>
      <c r="CG265" s="0" t="n">
        <v>8.14</v>
      </c>
      <c r="CH265" s="0" t="n">
        <v>1.50514997831991</v>
      </c>
      <c r="CI265" s="0" t="n">
        <v>40.6354878183985</v>
      </c>
      <c r="CJ265" s="0" t="n">
        <v>40.9807675767649</v>
      </c>
      <c r="CK265" s="0" t="n">
        <v>0.345279758366395</v>
      </c>
      <c r="CL265" s="20" t="n">
        <f aca="false">(CK265)^2</f>
        <v>0.119218111537556</v>
      </c>
      <c r="CN265" s="0" t="n">
        <v>8.14</v>
      </c>
      <c r="CO265" s="0" t="n">
        <v>1.50514997831991</v>
      </c>
      <c r="CP265" s="0" t="n">
        <v>40.5023603869279</v>
      </c>
      <c r="CQ265" s="0" t="n">
        <v>40.9807675767649</v>
      </c>
      <c r="CR265" s="0" t="n">
        <v>0.478407189837036</v>
      </c>
      <c r="CS265" s="20" t="n">
        <f aca="false">(CR265)^2</f>
        <v>0.228873439287769</v>
      </c>
      <c r="CU265" s="0" t="n">
        <v>7.77</v>
      </c>
      <c r="CV265" s="0" t="n">
        <v>1.96268329482193</v>
      </c>
      <c r="CW265" s="0" t="n">
        <v>2.15959850059392</v>
      </c>
      <c r="CX265" s="0" t="n">
        <v>0.196915205771987</v>
      </c>
      <c r="CY265" s="20" t="n">
        <f aca="false">(CX265)^2</f>
        <v>0.0387755982642241</v>
      </c>
    </row>
    <row r="266" customFormat="false" ht="12.8" hidden="false" customHeight="false" outlineLevel="0" collapsed="false">
      <c r="B266" s="0" t="str">
        <f aca="false">P217</f>
        <v>L-$\sigma$-W$_{H\beta}$ &amp; (</v>
      </c>
      <c r="C266" s="41" t="n">
        <f aca="false">R217</f>
        <v>36.2571756139432</v>
      </c>
      <c r="D266" s="0" t="str">
        <f aca="false">S217</f>
        <v>$\pm$</v>
      </c>
      <c r="E266" s="41" t="n">
        <f aca="false">T217</f>
        <v>0.657668335381559</v>
      </c>
      <c r="F266" s="0" t="str">
        <f aca="false">U217</f>
        <v>) + (</v>
      </c>
      <c r="G266" s="41" t="n">
        <f aca="false">V217</f>
        <v>2.72036854247562</v>
      </c>
      <c r="H266" s="41"/>
      <c r="I266" s="0" t="str">
        <f aca="false">W217</f>
        <v>$\pm$</v>
      </c>
      <c r="J266" s="41" t="n">
        <f aca="false">X217</f>
        <v>0.430041886630801</v>
      </c>
      <c r="K266" s="0" t="str">
        <f aca="false">Y217</f>
        <v>)log $\sigma$ + (</v>
      </c>
      <c r="L266" s="41" t="n">
        <f aca="false">Z217</f>
        <v>0.0969718907626339</v>
      </c>
      <c r="M266" s="0" t="str">
        <f aca="false">AA217</f>
        <v>$\pm$</v>
      </c>
      <c r="N266" s="41" t="n">
        <f aca="false">AB217</f>
        <v>0.133776971840699</v>
      </c>
      <c r="O266" s="0" t="str">
        <f aca="false">AC217</f>
        <v>)log W$_{H\beta}$ &amp;</v>
      </c>
      <c r="P266" s="43" t="n">
        <f aca="false">AD217</f>
        <v>0.338240549109464</v>
      </c>
      <c r="Q266" s="43"/>
      <c r="R266" s="0" t="str">
        <f aca="false">AE217</f>
        <v>\\</v>
      </c>
      <c r="S266" s="41"/>
      <c r="T266" s="41"/>
      <c r="U266" s="41"/>
      <c r="X266" s="0" t="s">
        <v>400</v>
      </c>
      <c r="Y266" s="41"/>
      <c r="Z266" s="41"/>
      <c r="AA266" s="41"/>
      <c r="BG266" s="0" t="n">
        <v>0.655068025045052</v>
      </c>
      <c r="BH266" s="0" t="n">
        <v>0.570146258700926</v>
      </c>
      <c r="BI266" s="0" t="n">
        <v>0.726142988737961</v>
      </c>
      <c r="BJ266" s="0" t="n">
        <f aca="false">LOG((BG266*PI())/(180*3600)*(Sheet2!N23*10^6))</f>
        <v>2.33960155611318</v>
      </c>
      <c r="BK266" s="0" t="n">
        <f aca="false">BM23</f>
        <v>1.50514997831991</v>
      </c>
      <c r="BL266" s="0" t="n">
        <f aca="false">LOG((BH266*PI())/(180*3600)*(Sheet2!N23*10^6))</f>
        <v>2.2793014336249</v>
      </c>
      <c r="BM266" s="0" t="n">
        <f aca="false">BK266</f>
        <v>1.50514997831991</v>
      </c>
      <c r="BN266" s="0" t="n">
        <f aca="false">LOG((BI266*PI())/(180*3600)*(Sheet2!N23*10^6))</f>
        <v>2.38433730319002</v>
      </c>
      <c r="BZ266" s="0" t="n">
        <v>7.77</v>
      </c>
      <c r="CA266" s="0" t="n">
        <v>1.45788189673399</v>
      </c>
      <c r="CB266" s="0" t="n">
        <v>40.1035150467366</v>
      </c>
      <c r="CC266" s="0" t="n">
        <v>40.2970404904863</v>
      </c>
      <c r="CD266" s="0" t="n">
        <v>0.193525443749699</v>
      </c>
      <c r="CE266" s="20" t="n">
        <f aca="false">(CD266)^2</f>
        <v>0.0374520973785181</v>
      </c>
      <c r="CG266" s="0" t="n">
        <v>7.77</v>
      </c>
      <c r="CH266" s="0" t="n">
        <v>1.45788189673399</v>
      </c>
      <c r="CI266" s="0" t="n">
        <v>40.5245680899778</v>
      </c>
      <c r="CJ266" s="0" t="n">
        <v>40.7309227353314</v>
      </c>
      <c r="CK266" s="0" t="n">
        <v>0.206354645353599</v>
      </c>
      <c r="CL266" s="20" t="n">
        <f aca="false">(CK266)^2</f>
        <v>0.0425822396590097</v>
      </c>
      <c r="CN266" s="0" t="n">
        <v>7.77</v>
      </c>
      <c r="CO266" s="0" t="n">
        <v>1.45788189673399</v>
      </c>
      <c r="CP266" s="0" t="n">
        <v>40.3676347502923</v>
      </c>
      <c r="CQ266" s="0" t="n">
        <v>40.7309227353314</v>
      </c>
      <c r="CR266" s="0" t="n">
        <v>0.363287985039072</v>
      </c>
      <c r="CS266" s="20" t="n">
        <f aca="false">(CR266)^2</f>
        <v>0.131978160073749</v>
      </c>
      <c r="CU266" s="0" t="n">
        <v>8.02</v>
      </c>
      <c r="CV266" s="0" t="n">
        <v>1.98782582935453</v>
      </c>
      <c r="CW266" s="0" t="n">
        <v>1.62445521813276</v>
      </c>
      <c r="CX266" s="0" t="n">
        <v>-0.363370611221772</v>
      </c>
      <c r="CY266" s="20" t="n">
        <f aca="false">(CX266)^2</f>
        <v>0.132038201099685</v>
      </c>
      <c r="DD266" s="0" t="s">
        <v>146</v>
      </c>
      <c r="DE266" s="0" t="s">
        <v>106</v>
      </c>
      <c r="DF266" s="0" t="s">
        <v>147</v>
      </c>
      <c r="DG266" s="0" t="s">
        <v>148</v>
      </c>
      <c r="DH266" s="0" t="str">
        <f aca="false">_xlfn.CONCAT("Lower " , INT($DD$264 * 100) , "%")</f>
        <v>Lower 95%</v>
      </c>
      <c r="DI266" s="0" t="str">
        <f aca="false">_xlfn.CONCAT("Upper " , INT($DD$264 * 100) , "%")</f>
        <v>Upper 95%</v>
      </c>
      <c r="DK266" s="0" t="s">
        <v>146</v>
      </c>
      <c r="DL266" s="0" t="s">
        <v>106</v>
      </c>
      <c r="DM266" s="0" t="s">
        <v>147</v>
      </c>
      <c r="DN266" s="0" t="s">
        <v>148</v>
      </c>
      <c r="DO266" s="0" t="str">
        <f aca="false">_xlfn.CONCAT("Lower " , INT($DK$264 * 100) , "%")</f>
        <v>Lower 95%</v>
      </c>
      <c r="DP266" s="0" t="str">
        <f aca="false">_xlfn.CONCAT("Upper " , INT($DK$264 * 100) , "%")</f>
        <v>Upper 95%</v>
      </c>
      <c r="DR266" s="0" t="s">
        <v>146</v>
      </c>
      <c r="DS266" s="0" t="s">
        <v>106</v>
      </c>
      <c r="DT266" s="0" t="s">
        <v>147</v>
      </c>
      <c r="DU266" s="0" t="s">
        <v>148</v>
      </c>
      <c r="DV266" s="0" t="str">
        <f aca="false">_xlfn.CONCAT("Lower " , INT($DR$264 * 100) , "%")</f>
        <v>Lower 95%</v>
      </c>
      <c r="DW266" s="0" t="str">
        <f aca="false">_xlfn.CONCAT("Upper " , INT($DR$264 * 100) , "%")</f>
        <v>Upper 95%</v>
      </c>
      <c r="DY266" s="0" t="s">
        <v>146</v>
      </c>
      <c r="DZ266" s="0" t="s">
        <v>106</v>
      </c>
      <c r="EA266" s="0" t="s">
        <v>147</v>
      </c>
      <c r="EB266" s="0" t="s">
        <v>148</v>
      </c>
      <c r="EC266" s="0" t="str">
        <f aca="false">_xlfn.CONCAT("Lower " , INT($DY$264 * 100) , "%")</f>
        <v>Lower 95%</v>
      </c>
      <c r="ED266" s="0" t="str">
        <f aca="false">_xlfn.CONCAT("Upper " , INT($DY$264 * 100) , "%")</f>
        <v>Upper 95%</v>
      </c>
    </row>
    <row r="267" customFormat="false" ht="12.8" hidden="false" customHeight="false" outlineLevel="0" collapsed="false">
      <c r="B267" s="0" t="str">
        <f aca="false">P221</f>
        <v>L-$\sigma$-O/H-W$_{H\beta}$  &amp; (</v>
      </c>
      <c r="C267" s="41" t="n">
        <f aca="false">R221</f>
        <v>35.7730409962397</v>
      </c>
      <c r="D267" s="0" t="str">
        <f aca="false">S221</f>
        <v>$\pm$</v>
      </c>
      <c r="E267" s="41" t="n">
        <f aca="false">T221</f>
        <v>0.884131347814266</v>
      </c>
      <c r="F267" s="0" t="str">
        <f aca="false">U221</f>
        <v>) + (</v>
      </c>
      <c r="G267" s="41" t="n">
        <f aca="false">V221</f>
        <v>2.7687620719672</v>
      </c>
      <c r="H267" s="41"/>
      <c r="I267" s="0" t="str">
        <f aca="false">W221</f>
        <v>$\pm$</v>
      </c>
      <c r="J267" s="41" t="n">
        <f aca="false">X221</f>
        <v>0.436000243656298</v>
      </c>
      <c r="K267" s="0" t="str">
        <f aca="false">Y221</f>
        <v>)log $\sigma$ + (</v>
      </c>
      <c r="L267" s="41" t="n">
        <f aca="false">Z221</f>
        <v>0.0439568083399089</v>
      </c>
      <c r="M267" s="0" t="str">
        <f aca="false">AA221</f>
        <v>$\pm$</v>
      </c>
      <c r="N267" s="41" t="n">
        <f aca="false">AB221</f>
        <v>0.0533419516084843</v>
      </c>
      <c r="O267" s="0" t="str">
        <f aca="false">AC221</f>
        <v>)log O/H  + (</v>
      </c>
      <c r="P267" s="41" t="n">
        <f aca="false">AD221</f>
        <v>0.140696410509156</v>
      </c>
      <c r="Q267" s="41"/>
      <c r="R267" s="0" t="str">
        <f aca="false">AE221</f>
        <v>$\pm$</v>
      </c>
      <c r="S267" s="41" t="n">
        <f aca="false">AF221</f>
        <v>0.144489675241744</v>
      </c>
      <c r="T267" s="0" t="str">
        <f aca="false">AG221</f>
        <v>)log W$_{H\beta}$ &amp;</v>
      </c>
      <c r="U267" s="43" t="n">
        <f aca="false">AH221</f>
        <v>0.334912539609867</v>
      </c>
      <c r="V267" s="0" t="str">
        <f aca="false">AI221</f>
        <v>\\</v>
      </c>
      <c r="X267" s="0" t="s">
        <v>401</v>
      </c>
      <c r="Y267" s="41" t="n">
        <f aca="false">E103</f>
        <v>2.15849506640567</v>
      </c>
      <c r="Z267" s="41" t="s">
        <v>402</v>
      </c>
      <c r="AA267" s="41" t="n">
        <f aca="false">F103</f>
        <v>0.439029259364949</v>
      </c>
      <c r="AB267" s="0" t="s">
        <v>398</v>
      </c>
      <c r="AC267" s="0" t="n">
        <f aca="false">B103</f>
        <v>0.35620877820738</v>
      </c>
      <c r="AD267" s="0" t="s">
        <v>399</v>
      </c>
      <c r="BG267" s="0" t="n">
        <v>0.496394724873601</v>
      </c>
      <c r="BH267" s="0" t="n">
        <v>0.820137004152203</v>
      </c>
      <c r="BI267" s="0" t="n">
        <v>0.603980418482803</v>
      </c>
      <c r="BJ267" s="0" t="n">
        <f aca="false">LOG((BG267*PI())/(180*3600)*(Sheet2!N24*10^6))</f>
        <v>2.404216648641</v>
      </c>
      <c r="BK267" s="0" t="n">
        <f aca="false">BM24</f>
        <v>1.45788189673399</v>
      </c>
      <c r="BL267" s="0" t="n">
        <f aca="false">LOG((BH267*PI())/(180*3600)*(Sheet2!N24*10^6))</f>
        <v>2.62227589846239</v>
      </c>
      <c r="BM267" s="0" t="n">
        <f aca="false">BK267</f>
        <v>1.45788189673399</v>
      </c>
      <c r="BN267" s="0" t="n">
        <f aca="false">LOG((BI267*PI())/(180*3600)*(Sheet2!N24*10^6))</f>
        <v>2.4894123496673</v>
      </c>
      <c r="BZ267" s="0" t="n">
        <v>8.02</v>
      </c>
      <c r="CA267" s="0" t="n">
        <v>1.39269695325967</v>
      </c>
      <c r="CB267" s="0" t="n">
        <v>39.9272925602066</v>
      </c>
      <c r="CC267" s="0" t="n">
        <v>39.5808250944804</v>
      </c>
      <c r="CD267" s="0" t="n">
        <v>-0.346467465726214</v>
      </c>
      <c r="CE267" s="20" t="n">
        <f aca="false">(CD267)^2</f>
        <v>0.120039704806745</v>
      </c>
      <c r="CG267" s="0" t="n">
        <v>8.02</v>
      </c>
      <c r="CH267" s="0" t="n">
        <v>1.39269695325967</v>
      </c>
      <c r="CI267" s="0" t="n">
        <v>40.3907320186027</v>
      </c>
      <c r="CJ267" s="0" t="n">
        <v>40.2880850465456</v>
      </c>
      <c r="CK267" s="0" t="n">
        <v>-0.102646972057137</v>
      </c>
      <c r="CL267" s="20" t="n">
        <f aca="false">(CK267)^2</f>
        <v>0.0105364008724987</v>
      </c>
      <c r="CN267" s="0" t="n">
        <v>8.02</v>
      </c>
      <c r="CO267" s="0" t="n">
        <v>1.39269695325967</v>
      </c>
      <c r="CP267" s="0" t="n">
        <v>40.2056775950755</v>
      </c>
      <c r="CQ267" s="0" t="n">
        <v>39.4996349548837</v>
      </c>
      <c r="CR267" s="0" t="n">
        <v>-0.706042640191832</v>
      </c>
      <c r="CS267" s="20" t="n">
        <f aca="false">(CR267)^2</f>
        <v>0.498496209769053</v>
      </c>
      <c r="CU267" s="0" t="n">
        <v>8.28</v>
      </c>
      <c r="CV267" s="0" t="n">
        <v>2.01397406526844</v>
      </c>
      <c r="CW267" s="0" t="n">
        <v>1.8596134656703</v>
      </c>
      <c r="CX267" s="0" t="n">
        <v>-0.154360599598137</v>
      </c>
      <c r="CY267" s="20" t="n">
        <f aca="false">(CX267)^2</f>
        <v>0.0238271947082962</v>
      </c>
      <c r="DC267" s="0" t="str">
        <f aca="false">"Intercept"</f>
        <v>Intercept</v>
      </c>
      <c r="DD267" s="0" t="e">
        <f aca="false" t="array" ref="DD267:DD267">INDEX($DC$245:$DF$245, 1 , 271 - ROW())</f>
        <v>#VALUE!</v>
      </c>
      <c r="DE267" s="0" t="e">
        <f aca="false" t="array" ref="DE267:DE267">INDEX($DC$246:$DF$246, 1 , 271 - ROW())</f>
        <v>#VALUE!</v>
      </c>
      <c r="DF267" s="0" t="e">
        <f aca="false" t="array" ref="DF267:DF270">$DD$267:$DD$270 / $DE$267:$DE$270</f>
        <v>#VALUE!</v>
      </c>
      <c r="DG267" s="0" t="e">
        <f aca="false" t="array" ref="DG267:DG270">TDIST(ABS($DF$267:$DF$270) , $DD$248 , 2 )</f>
        <v>#VALUE!</v>
      </c>
      <c r="DH267" s="0" t="e">
        <f aca="false" t="array" ref="DH267:DH270">$DD$267:$DD$270 - $DE$267:$DE$270 * TINV(1 - $DD$264 , $DD$248)</f>
        <v>#VALUE!</v>
      </c>
      <c r="DI267" s="0" t="e">
        <f aca="false" t="array" ref="DI267:DI270">$DD$267:$DD$270 + $DE$267:$DE$270 * TINV(1 - $DD$264 , $DD$248)</f>
        <v>#VALUE!</v>
      </c>
      <c r="DJ267" s="0" t="str">
        <f aca="false">"Intercept"</f>
        <v>Intercept</v>
      </c>
      <c r="DK267" s="0" t="n">
        <f aca="false" t="array" ref="DK267:DK267">INDEX($DJ$245:$DM$245, 1 , 271 - ROW())</f>
        <v>35.2633684157625</v>
      </c>
      <c r="DL267" s="0" t="n">
        <f aca="false" t="array" ref="DL267:DL267">INDEX($DJ$246:$DM$246, 1 , 271 - ROW())</f>
        <v>3.81022802000357</v>
      </c>
      <c r="DM267" s="0" t="n">
        <f aca="false" t="array" ref="DM267:DM270">$DK$267:$DK$270 / $DL$267:$DL$270</f>
        <v>9.25492338795236</v>
      </c>
      <c r="DN267" s="0" t="n">
        <f aca="false" t="array" ref="DN267:DN270">TDIST(ABS($DM$267:$DM$270) , $DK$248 , 2 )</f>
        <v>8.21266661264813E-007</v>
      </c>
      <c r="DO267" s="0" t="n">
        <f aca="false" t="array" ref="DO267:DO270">$DK$267:$DK$270 - $DL$267:$DL$270 * TINV(1 - $DK$264 , $DK$248)</f>
        <v>26.9615947218211</v>
      </c>
      <c r="DP267" s="0" t="n">
        <f aca="false" t="array" ref="DP267:DP270">$DK$267:$DK$270 + $DL$267:$DL$270 * TINV(1 - $DK$264 , $DK$248)</f>
        <v>43.5651421097038</v>
      </c>
      <c r="DQ267" s="0" t="str">
        <f aca="false">"Intercept"</f>
        <v>Intercept</v>
      </c>
      <c r="DR267" s="0" t="n">
        <f aca="false" t="array" ref="DR267:DR267">INDEX($DQ$245:$DT$245, 1 , 271 - ROW())</f>
        <v>36.6404592853898</v>
      </c>
      <c r="DS267" s="0" t="n">
        <f aca="false" t="array" ref="DS267:DS267">INDEX($DQ$246:$DT$246, 1 , 271 - ROW())</f>
        <v>3.05398496143211</v>
      </c>
      <c r="DT267" s="0" t="n">
        <f aca="false" t="array" ref="DT267:DT270">$DR$267:$DR$270 / $DS$267:$DS$270</f>
        <v>11.9975899515261</v>
      </c>
      <c r="DU267" s="0" t="n">
        <f aca="false" t="array" ref="DU267:DU270">TDIST(ABS($DT$267:$DT$270) , $DR$248 , 2 )</f>
        <v>4.84676326681411E-008</v>
      </c>
      <c r="DV267" s="0" t="n">
        <f aca="false" t="array" ref="DV267:DV270">$DR$267:$DR$270 - $DS$267:$DS$270 * TINV(1 - $DR$264 , $DR$248)</f>
        <v>29.9863976698108</v>
      </c>
      <c r="DW267" s="0" t="n">
        <f aca="false" t="array" ref="DW267:DW270">$DR$267:$DR$270 + $DS$267:$DS$270 * TINV(1 - $DR$264 , $DR$248)</f>
        <v>43.2945209009689</v>
      </c>
      <c r="DX267" s="0" t="str">
        <f aca="false">"Intercept"</f>
        <v>Intercept</v>
      </c>
      <c r="DY267" s="0" t="n">
        <f aca="false" t="array" ref="DY267:DY267">INDEX($DX$245:$EA$245, 1 , 271 - ROW())</f>
        <v>33.1103585884274</v>
      </c>
      <c r="DZ267" s="0" t="n">
        <f aca="false" t="array" ref="DZ267:DZ267">INDEX($DX$246:$EA$246, 1 , 271 - ROW())</f>
        <v>3.41588635386935</v>
      </c>
      <c r="EA267" s="0" t="n">
        <f aca="false" t="array" ref="EA267:EA270">$DY$267:$DY$270 / $DZ$267:$DZ$270</f>
        <v>9.69305039991203</v>
      </c>
      <c r="EB267" s="0" t="n">
        <f aca="false" t="array" ref="EB267:EB270">TDIST(ABS($EA$267:$EA$270) , $DY$248 , 2 )</f>
        <v>5.01046709948828E-007</v>
      </c>
      <c r="EC267" s="0" t="n">
        <f aca="false" t="array" ref="EC267:EC270">$DY$267:$DY$270 - $DZ$267:$DZ$270 * TINV(1 - $DY$264 , $DY$248)</f>
        <v>25.6677815759316</v>
      </c>
      <c r="ED267" s="0" t="n">
        <f aca="false" t="array" ref="ED267:ED270">$DY$267:$DY$270 + $DZ$267:$DZ$270 * TINV(1 - $DY$264 , $DY$248)</f>
        <v>40.5529356009231</v>
      </c>
    </row>
    <row r="268" customFormat="false" ht="12.8" hidden="false" customHeight="false" outlineLevel="0" collapsed="false">
      <c r="B268" s="0" t="str">
        <f aca="false">P225</f>
        <v>L-$\sigma$-W$_{H\beta}$-R$_{}$  &amp; (</v>
      </c>
      <c r="C268" s="41" t="n">
        <f aca="false">R225</f>
        <v>35.0962367966217</v>
      </c>
      <c r="D268" s="0" t="str">
        <f aca="false">S225</f>
        <v>$\pm$</v>
      </c>
      <c r="E268" s="41" t="n">
        <f aca="false">T225</f>
        <v>0.851211816798261</v>
      </c>
      <c r="F268" s="0" t="str">
        <f aca="false">U225</f>
        <v>) + (</v>
      </c>
      <c r="G268" s="41" t="n">
        <f aca="false">V225</f>
        <v>2.42330127080051</v>
      </c>
      <c r="H268" s="41"/>
      <c r="I268" s="0" t="str">
        <f aca="false">W225</f>
        <v>$\pm$</v>
      </c>
      <c r="J268" s="41" t="n">
        <f aca="false">X225</f>
        <v>0.437323598898432</v>
      </c>
      <c r="K268" s="0" t="str">
        <f aca="false">Y225</f>
        <v>)log $\sigma$ + (</v>
      </c>
      <c r="L268" s="41" t="n">
        <f aca="false">Z225</f>
        <v>0.247698062736662</v>
      </c>
      <c r="M268" s="0" t="str">
        <f aca="false">AA225</f>
        <v>$\pm$</v>
      </c>
      <c r="N268" s="41" t="n">
        <f aca="false">AB225</f>
        <v>0.148161011087908</v>
      </c>
      <c r="O268" s="0" t="str">
        <f aca="false">AC225</f>
        <v>)log W$_{H\beta}$  + (</v>
      </c>
      <c r="P268" s="41" t="n">
        <f aca="false">AD225</f>
        <v>0.491482218522119</v>
      </c>
      <c r="Q268" s="41"/>
      <c r="R268" s="0" t="str">
        <f aca="false">AE225</f>
        <v>$\pm$</v>
      </c>
      <c r="S268" s="41" t="n">
        <f aca="false">AF225</f>
        <v>0.242235392040478</v>
      </c>
      <c r="T268" s="0" t="str">
        <f aca="false">AG225</f>
        <v>)log R$_{50}$ &amp;</v>
      </c>
      <c r="U268" s="43" t="n">
        <f aca="false">AH225</f>
        <v>0.319453725279499</v>
      </c>
      <c r="V268" s="0" t="str">
        <f aca="false">AI225</f>
        <v>\\</v>
      </c>
      <c r="X268" s="0" t="s">
        <v>400</v>
      </c>
      <c r="Y268" s="41"/>
      <c r="Z268" s="41"/>
      <c r="AA268" s="41"/>
      <c r="BG268" s="0" t="n">
        <v>0.675576455374028</v>
      </c>
      <c r="BH268" s="0" t="n">
        <v>0.554025822869048</v>
      </c>
      <c r="BI268" s="0" t="n">
        <v>0.75112621280879</v>
      </c>
      <c r="BJ268" s="0" t="n">
        <f aca="false">LOG((BG268*PI())/(180*3600)*(Sheet2!N25*10^6))</f>
        <v>1.78651096849721</v>
      </c>
      <c r="BK268" s="0" t="n">
        <f aca="false">BM25</f>
        <v>1.39269695325967</v>
      </c>
      <c r="BL268" s="0" t="n">
        <f aca="false">LOG((BH268*PI())/(180*3600)*(Sheet2!N25*10^6))</f>
        <v>1.70036647045356</v>
      </c>
      <c r="BM268" s="0" t="n">
        <f aca="false">BK268</f>
        <v>1.39269695325967</v>
      </c>
      <c r="BN268" s="0" t="n">
        <f aca="false">LOG((BI268*PI())/(180*3600)*(Sheet2!N25*10^6))</f>
        <v>1.83254938125989</v>
      </c>
      <c r="BZ268" s="0" t="n">
        <v>8.28</v>
      </c>
      <c r="CA268" s="0" t="n">
        <v>1.50379068305718</v>
      </c>
      <c r="CB268" s="0" t="n">
        <v>40.2390211956347</v>
      </c>
      <c r="CC268" s="0" t="n">
        <v>40.3643638589132</v>
      </c>
      <c r="CD268" s="0" t="n">
        <v>0.125342663278481</v>
      </c>
      <c r="CE268" s="20" t="n">
        <f aca="false">(CD268)^2</f>
        <v>0.0157107832377426</v>
      </c>
      <c r="CG268" s="0" t="n">
        <v>8.28</v>
      </c>
      <c r="CH268" s="0" t="n">
        <v>1.50379068305718</v>
      </c>
      <c r="CI268" s="0" t="n">
        <v>40.6360881305157</v>
      </c>
      <c r="CJ268" s="0" t="n">
        <v>41.0286745143046</v>
      </c>
      <c r="CK268" s="0" t="n">
        <v>0.392586383788874</v>
      </c>
      <c r="CL268" s="20" t="n">
        <f aca="false">(CK268)^2</f>
        <v>0.154124068736425</v>
      </c>
      <c r="CN268" s="0" t="n">
        <v>8.28</v>
      </c>
      <c r="CO268" s="0" t="n">
        <v>1.50379068305718</v>
      </c>
      <c r="CP268" s="0" t="n">
        <v>40.5032090605452</v>
      </c>
      <c r="CQ268" s="0" t="n">
        <v>40.3849932800756</v>
      </c>
      <c r="CR268" s="0" t="n">
        <v>-0.118215780469583</v>
      </c>
      <c r="CS268" s="20" t="n">
        <f aca="false">(CR268)^2</f>
        <v>0.0139749707520327</v>
      </c>
      <c r="CU268" s="0" t="n">
        <v>8.71</v>
      </c>
      <c r="CV268" s="0" t="n">
        <v>2.05721922466451</v>
      </c>
      <c r="CW268" s="0" t="n">
        <v>2.46994216668405</v>
      </c>
      <c r="CX268" s="0" t="n">
        <v>0.412722942019542</v>
      </c>
      <c r="CY268" s="20" t="n">
        <f aca="false">(CX268)^2</f>
        <v>0.170340226869266</v>
      </c>
      <c r="DC268" s="24" t="str">
        <f aca="false">$BL$137</f>
        <v>Log(O/H) 2011</v>
      </c>
      <c r="DD268" s="0" t="n">
        <v>35.2648842793668</v>
      </c>
      <c r="DE268" s="0" t="n">
        <v>3.81022802000351</v>
      </c>
      <c r="DF268" s="0" t="n">
        <v>9.25532122860571</v>
      </c>
      <c r="DG268" s="0" t="e">
        <v>#VALUE!</v>
      </c>
      <c r="DH268" s="0" t="e">
        <v>#VALUE!</v>
      </c>
      <c r="DI268" s="0" t="e">
        <v>#VALUE!</v>
      </c>
      <c r="DJ268" s="24" t="str">
        <f aca="false">$BL$137</f>
        <v>Log(O/H) 2011</v>
      </c>
      <c r="DK268" s="0" t="n">
        <v>35.9327419156797</v>
      </c>
      <c r="DL268" s="0" t="n">
        <v>3.79905870022311</v>
      </c>
      <c r="DM268" s="0" t="n">
        <v>9.45832764141535</v>
      </c>
      <c r="DN268" s="0" t="n">
        <v>6.51455944948295E-007</v>
      </c>
      <c r="DO268" s="0" t="n">
        <v>27.6553040789747</v>
      </c>
      <c r="DP268" s="0" t="n">
        <v>44.2101797523847</v>
      </c>
      <c r="DQ268" s="24" t="str">
        <f aca="false">$BL$137</f>
        <v>Log(O/H) 2011</v>
      </c>
      <c r="DR268" s="0" t="n">
        <v>36.6404592853898</v>
      </c>
      <c r="DS268" s="0" t="n">
        <v>3.05398496143211</v>
      </c>
      <c r="DT268" s="0" t="n">
        <v>11.9975899515261</v>
      </c>
      <c r="DU268" s="0" t="n">
        <v>4.84676326681419E-008</v>
      </c>
      <c r="DV268" s="0" t="n">
        <v>29.9863976698107</v>
      </c>
      <c r="DW268" s="0" t="n">
        <v>43.2945209009689</v>
      </c>
      <c r="DX268" s="24" t="str">
        <f aca="false">$BL$137</f>
        <v>Log(O/H) 2011</v>
      </c>
      <c r="DY268" s="0" t="n">
        <v>33.1103585884274</v>
      </c>
      <c r="DZ268" s="0" t="n">
        <v>3.41588635386935</v>
      </c>
      <c r="EA268" s="0" t="n">
        <v>9.69305039991204</v>
      </c>
      <c r="EB268" s="0" t="n">
        <v>5.01046709948821E-007</v>
      </c>
      <c r="EC268" s="0" t="n">
        <v>25.6677815759316</v>
      </c>
      <c r="ED268" s="0" t="n">
        <v>40.5529356009232</v>
      </c>
    </row>
    <row r="269" customFormat="false" ht="12.8" hidden="false" customHeight="false" outlineLevel="0" collapsed="false">
      <c r="B269" s="0" t="str">
        <f aca="false">P229</f>
        <v>L-$\sigma$-W$_{H\beta}$-r$_{}$ &amp; (</v>
      </c>
      <c r="C269" s="41" t="n">
        <f aca="false">R229</f>
        <v>35.7423383577494</v>
      </c>
      <c r="D269" s="0" t="str">
        <f aca="false">S229</f>
        <v>$\pm$</v>
      </c>
      <c r="E269" s="41" t="n">
        <f aca="false">T229</f>
        <v>0.626804715913535</v>
      </c>
      <c r="F269" s="0" t="str">
        <f aca="false">U229</f>
        <v>) + (</v>
      </c>
      <c r="G269" s="41" t="n">
        <f aca="false">V229</f>
        <v>1.94130075512432</v>
      </c>
      <c r="H269" s="41"/>
      <c r="I269" s="0" t="str">
        <f aca="false">W229</f>
        <v>$\pm$</v>
      </c>
      <c r="J269" s="41" t="n">
        <f aca="false">X229</f>
        <v>0.47882384924498</v>
      </c>
      <c r="K269" s="0" t="str">
        <f aca="false">Y229</f>
        <v>)log $\sigma$ + (</v>
      </c>
      <c r="L269" s="41" t="n">
        <f aca="false">Z229</f>
        <v>0.21247654772805</v>
      </c>
      <c r="M269" s="0" t="str">
        <f aca="false">AA229</f>
        <v>$\pm$</v>
      </c>
      <c r="N269" s="41" t="n">
        <f aca="false">AB229</f>
        <v>0.128649826266267</v>
      </c>
      <c r="O269" s="0" t="str">
        <f aca="false">AC229</f>
        <v>)log W$_{H\beta}$ + (</v>
      </c>
      <c r="P269" s="41" t="n">
        <f aca="false">AD229</f>
        <v>0.703727797663138</v>
      </c>
      <c r="Q269" s="41"/>
      <c r="R269" s="0" t="str">
        <f aca="false">AE229</f>
        <v>$\pm$</v>
      </c>
      <c r="S269" s="41" t="n">
        <f aca="false">AF229</f>
        <v>0.247966507538872</v>
      </c>
      <c r="T269" s="0" t="str">
        <f aca="false">AG229</f>
        <v>)log r$_{50}$ &amp;</v>
      </c>
      <c r="U269" s="43" t="n">
        <f aca="false">AH229</f>
        <v>0.304130762034871</v>
      </c>
      <c r="V269" s="0" t="str">
        <f aca="false">AI229</f>
        <v>\\</v>
      </c>
      <c r="X269" s="0" t="s">
        <v>403</v>
      </c>
      <c r="Y269" s="41" t="n">
        <f aca="false">E104</f>
        <v>2.64736214359656</v>
      </c>
      <c r="Z269" s="41" t="s">
        <v>397</v>
      </c>
      <c r="AA269" s="41" t="n">
        <f aca="false">F104</f>
        <v>0.416787285708364</v>
      </c>
      <c r="AB269" s="0" t="s">
        <v>404</v>
      </c>
      <c r="AC269" s="0" t="n">
        <f aca="false">B104</f>
        <v>0.33816263186945</v>
      </c>
      <c r="AD269" s="0" t="s">
        <v>399</v>
      </c>
      <c r="BG269" s="0" t="n">
        <v>0.59352434484666</v>
      </c>
      <c r="BH269" s="0" t="n">
        <v>0.701682079921129</v>
      </c>
      <c r="BI269" s="0" t="n">
        <v>0.555788465482447</v>
      </c>
      <c r="BJ269" s="0" t="n">
        <f aca="false">LOG((BG269*PI())/(180*3600)*(Sheet2!N26*10^6))</f>
        <v>1.76115692527252</v>
      </c>
      <c r="BK269" s="0" t="n">
        <f aca="false">BM26</f>
        <v>1.50379068305718</v>
      </c>
      <c r="BL269" s="0" t="n">
        <f aca="false">LOG((BH269*PI())/(180*3600)*(Sheet2!N26*10^6))</f>
        <v>1.8338587733055</v>
      </c>
      <c r="BM269" s="0" t="n">
        <f aca="false">BK269</f>
        <v>1.50379068305718</v>
      </c>
      <c r="BN269" s="0" t="n">
        <f aca="false">LOG((BI269*PI())/(180*3600)*(Sheet2!N26*10^6))</f>
        <v>1.73262791740489</v>
      </c>
      <c r="BZ269" s="0" t="n">
        <v>8.71</v>
      </c>
      <c r="CA269" s="0" t="n">
        <v>1.76937732607614</v>
      </c>
      <c r="CB269" s="0" t="n">
        <v>40.9810745569572</v>
      </c>
      <c r="CC269" s="0" t="n">
        <v>41.0032839602938</v>
      </c>
      <c r="CD269" s="0" t="n">
        <v>0.0222094033366318</v>
      </c>
      <c r="CE269" s="20" t="n">
        <f aca="false">(CD269)^2</f>
        <v>0.000493257596569192</v>
      </c>
      <c r="CG269" s="0" t="n">
        <v>8.71</v>
      </c>
      <c r="CH269" s="0" t="n">
        <v>1.76937732607614</v>
      </c>
      <c r="CI269" s="0" t="n">
        <v>41.2178298164738</v>
      </c>
      <c r="CJ269" s="0" t="n">
        <v>41.1844537060535</v>
      </c>
      <c r="CK269" s="0" t="n">
        <v>-0.0333761104202495</v>
      </c>
      <c r="CL269" s="20" t="n">
        <f aca="false">(CK269)^2</f>
        <v>0.00111396474678468</v>
      </c>
      <c r="CN269" s="0" t="n">
        <v>8.71</v>
      </c>
      <c r="CO269" s="0" t="n">
        <v>1.76937732607614</v>
      </c>
      <c r="CP269" s="0" t="n">
        <v>41.2084975116489</v>
      </c>
      <c r="CQ269" s="0" t="n">
        <v>41.1844537060535</v>
      </c>
      <c r="CR269" s="0" t="n">
        <v>-0.0240438055953547</v>
      </c>
      <c r="CS269" s="20" t="n">
        <f aca="false">(CR269)^2</f>
        <v>0.000578104587507209</v>
      </c>
      <c r="CU269" s="0" t="n">
        <v>7.88</v>
      </c>
      <c r="CV269" s="0" t="n">
        <v>1.97374601001628</v>
      </c>
      <c r="CW269" s="0" t="n">
        <v>1.82381405372363</v>
      </c>
      <c r="CX269" s="0" t="n">
        <v>-0.149931956292647</v>
      </c>
      <c r="CY269" s="20" t="n">
        <f aca="false">(CX269)^2</f>
        <v>0.0224795915177402</v>
      </c>
      <c r="DC269" s="24" t="str">
        <f aca="false">$BM$137</f>
        <v>Log(σH) 2011</v>
      </c>
      <c r="DD269" s="0" t="n">
        <v>35.2648842793668</v>
      </c>
      <c r="DE269" s="0" t="n">
        <v>3.81022802000351</v>
      </c>
      <c r="DF269" s="0" t="n">
        <v>9.25532122860571</v>
      </c>
      <c r="DG269" s="0" t="e">
        <v>#VALUE!</v>
      </c>
      <c r="DH269" s="0" t="e">
        <v>#VALUE!</v>
      </c>
      <c r="DI269" s="0" t="e">
        <v>#VALUE!</v>
      </c>
      <c r="DJ269" s="24" t="str">
        <f aca="false">$BM$137</f>
        <v>Log(σH) 2011</v>
      </c>
      <c r="DK269" s="0" t="n">
        <v>35.9327419156797</v>
      </c>
      <c r="DL269" s="0" t="n">
        <v>3.79905870022311</v>
      </c>
      <c r="DM269" s="0" t="n">
        <v>9.45832764141535</v>
      </c>
      <c r="DN269" s="0" t="n">
        <v>6.51455944948295E-007</v>
      </c>
      <c r="DO269" s="0" t="n">
        <v>27.6553040789747</v>
      </c>
      <c r="DP269" s="0" t="n">
        <v>44.2101797523847</v>
      </c>
      <c r="DQ269" s="24" t="str">
        <f aca="false">$BM$137</f>
        <v>Log(σH) 2011</v>
      </c>
      <c r="DR269" s="0" t="n">
        <v>36.6404592853898</v>
      </c>
      <c r="DS269" s="0" t="n">
        <v>3.05398496143211</v>
      </c>
      <c r="DT269" s="0" t="n">
        <v>11.9975899515261</v>
      </c>
      <c r="DU269" s="0" t="n">
        <v>4.84676326681419E-008</v>
      </c>
      <c r="DV269" s="0" t="n">
        <v>29.9863976698107</v>
      </c>
      <c r="DW269" s="0" t="n">
        <v>43.2945209009689</v>
      </c>
      <c r="DX269" s="24" t="str">
        <f aca="false">$BM$137</f>
        <v>Log(σH) 2011</v>
      </c>
      <c r="DY269" s="0" t="n">
        <v>33.1103585884274</v>
      </c>
      <c r="DZ269" s="0" t="n">
        <v>3.41588635386935</v>
      </c>
      <c r="EA269" s="0" t="n">
        <v>9.69305039991204</v>
      </c>
      <c r="EB269" s="0" t="n">
        <v>5.01046709948821E-007</v>
      </c>
      <c r="EC269" s="0" t="n">
        <v>25.6677815759316</v>
      </c>
      <c r="ED269" s="0" t="n">
        <v>40.5529356009232</v>
      </c>
    </row>
    <row r="270" customFormat="false" ht="12.8" hidden="false" customHeight="false" outlineLevel="0" collapsed="false">
      <c r="BG270" s="0" t="n">
        <v>0.842935114156806</v>
      </c>
      <c r="BH270" s="0" t="n">
        <v>0.446441009670877</v>
      </c>
      <c r="BI270" s="0" t="n">
        <v>0.500663284466506</v>
      </c>
      <c r="BJ270" s="0" t="n">
        <f aca="false">LOG((BG270*PI())/(180*3600)*(Sheet2!N27*10^6))</f>
        <v>2.71380146353513</v>
      </c>
      <c r="BK270" s="0" t="n">
        <f aca="false">BM27</f>
        <v>1.76937732607614</v>
      </c>
      <c r="BL270" s="0" t="n">
        <f aca="false">LOG((BH270*PI())/(180*3600)*(Sheet2!N27*10^6))</f>
        <v>2.43777139957549</v>
      </c>
      <c r="BM270" s="0" t="n">
        <f aca="false">BK270</f>
        <v>1.76937732607614</v>
      </c>
      <c r="BN270" s="0" t="n">
        <f aca="false">LOG((BI270*PI())/(180*3600)*(Sheet2!N27*10^6))</f>
        <v>2.48755306202043</v>
      </c>
      <c r="BZ270" s="0" t="n">
        <v>7.88</v>
      </c>
      <c r="CA270" s="0" t="n">
        <v>1.23044892137827</v>
      </c>
      <c r="CB270" s="0" t="n">
        <v>39.4760067395754</v>
      </c>
      <c r="CC270" s="0" t="n">
        <v>39.4879266153321</v>
      </c>
      <c r="CD270" s="0" t="n">
        <v>0.0119198757566608</v>
      </c>
      <c r="CE270" s="20" t="n">
        <f aca="false">(CD270)^2</f>
        <v>0.000142083438054229</v>
      </c>
      <c r="CG270" s="0" t="n">
        <v>7.88</v>
      </c>
      <c r="CH270" s="0" t="n">
        <v>1.23044892137827</v>
      </c>
      <c r="CI270" s="0" t="n">
        <v>40.0384303040078</v>
      </c>
      <c r="CJ270" s="0" t="n">
        <v>39.8774043417796</v>
      </c>
      <c r="CK270" s="0" t="n">
        <v>-0.161025962228187</v>
      </c>
      <c r="CL270" s="20" t="n">
        <f aca="false">(CK270)^2</f>
        <v>0.0259293605115136</v>
      </c>
      <c r="CN270" s="0" t="n">
        <v>7.88</v>
      </c>
      <c r="CO270" s="0" t="n">
        <v>1.23044892137827</v>
      </c>
      <c r="CP270" s="0" t="n">
        <v>39.7786604682972</v>
      </c>
      <c r="CQ270" s="0" t="n">
        <v>39.4378067534722</v>
      </c>
      <c r="CR270" s="0" t="n">
        <v>-0.340853714825002</v>
      </c>
      <c r="CS270" s="20" t="n">
        <f aca="false">(CR270)^2</f>
        <v>0.116181254910004</v>
      </c>
      <c r="CU270" s="0" t="n">
        <v>7.54</v>
      </c>
      <c r="CV270" s="0" t="n">
        <v>1.93955216305194</v>
      </c>
      <c r="CW270" s="0" t="n">
        <v>1.94462288151652</v>
      </c>
      <c r="CX270" s="0" t="n">
        <v>0.00507071846457907</v>
      </c>
      <c r="CY270" s="20" t="n">
        <f aca="false">(CX270)^2</f>
        <v>2.57121857470231E-005</v>
      </c>
      <c r="DC270" s="24" t="str">
        <f aca="false">$BN$137</f>
        <v>Log(Whβ)</v>
      </c>
      <c r="DD270" s="0" t="n">
        <v>35.2648842793668</v>
      </c>
      <c r="DE270" s="0" t="n">
        <v>3.81022802000351</v>
      </c>
      <c r="DF270" s="0" t="n">
        <v>9.25532122860571</v>
      </c>
      <c r="DG270" s="0" t="e">
        <v>#VALUE!</v>
      </c>
      <c r="DH270" s="0" t="e">
        <v>#VALUE!</v>
      </c>
      <c r="DI270" s="0" t="e">
        <v>#VALUE!</v>
      </c>
      <c r="DJ270" s="24" t="str">
        <f aca="false">$BN$137</f>
        <v>Log(Whβ)</v>
      </c>
      <c r="DK270" s="0" t="n">
        <v>35.9327419156797</v>
      </c>
      <c r="DL270" s="0" t="n">
        <v>3.79905870022311</v>
      </c>
      <c r="DM270" s="0" t="n">
        <v>9.45832764141535</v>
      </c>
      <c r="DN270" s="0" t="n">
        <v>6.51455944948295E-007</v>
      </c>
      <c r="DO270" s="0" t="n">
        <v>27.6553040789747</v>
      </c>
      <c r="DP270" s="0" t="n">
        <v>44.2101797523847</v>
      </c>
      <c r="DQ270" s="24" t="str">
        <f aca="false">$BN$137</f>
        <v>Log(Whβ)</v>
      </c>
      <c r="DR270" s="0" t="n">
        <v>36.6404592853898</v>
      </c>
      <c r="DS270" s="0" t="n">
        <v>3.05398496143211</v>
      </c>
      <c r="DT270" s="0" t="n">
        <v>11.9975899515261</v>
      </c>
      <c r="DU270" s="0" t="n">
        <v>4.84676326681419E-008</v>
      </c>
      <c r="DV270" s="0" t="n">
        <v>29.9863976698107</v>
      </c>
      <c r="DW270" s="0" t="n">
        <v>43.2945209009689</v>
      </c>
      <c r="DX270" s="24" t="str">
        <f aca="false">$BN$137</f>
        <v>Log(Whβ)</v>
      </c>
      <c r="DY270" s="0" t="n">
        <v>33.1103585884274</v>
      </c>
      <c r="DZ270" s="0" t="n">
        <v>3.41588635386935</v>
      </c>
      <c r="EA270" s="0" t="n">
        <v>9.69305039991204</v>
      </c>
      <c r="EB270" s="0" t="n">
        <v>5.01046709948821E-007</v>
      </c>
      <c r="EC270" s="0" t="n">
        <v>25.6677815759316</v>
      </c>
      <c r="ED270" s="0" t="n">
        <v>40.5529356009232</v>
      </c>
    </row>
    <row r="271" customFormat="false" ht="12.8" hidden="false" customHeight="false" outlineLevel="0" collapsed="false">
      <c r="BG271" s="0" t="n">
        <v>0.762795437133874</v>
      </c>
      <c r="BH271" s="0" t="n">
        <v>0.595213667360085</v>
      </c>
      <c r="BI271" s="0" t="n">
        <v>0.405550438962414</v>
      </c>
      <c r="BJ271" s="0" t="n">
        <f aca="false">LOG((BG271*PI())/(180*3600)*(Sheet2!N28*10^6))</f>
        <v>2.05671712872547</v>
      </c>
      <c r="BK271" s="0" t="n">
        <f aca="false">BM28</f>
        <v>1.23044892137827</v>
      </c>
      <c r="BL271" s="0" t="n">
        <f aca="false">LOG((BH271*PI())/(180*3600)*(Sheet2!N28*10^6))</f>
        <v>1.94898193716181</v>
      </c>
      <c r="BM271" s="0" t="n">
        <f aca="false">BK271</f>
        <v>1.23044892137827</v>
      </c>
      <c r="BN271" s="0" t="n">
        <f aca="false">LOG((BI271*PI())/(180*3600)*(Sheet2!N28*10^6))</f>
        <v>1.78235391800477</v>
      </c>
      <c r="BZ271" s="0" t="n">
        <v>7.54</v>
      </c>
      <c r="CA271" s="0" t="n">
        <v>1.24303804868629</v>
      </c>
      <c r="CB271" s="0" t="n">
        <v>39.5051952058268</v>
      </c>
      <c r="CC271" s="0" t="n">
        <v>39.8907352023789</v>
      </c>
      <c r="CD271" s="0" t="n">
        <v>0.385539996552097</v>
      </c>
      <c r="CE271" s="20" t="n">
        <f aca="false">(CD271)^2</f>
        <v>0.148641088941391</v>
      </c>
      <c r="CG271" s="0" t="n">
        <v>7.54</v>
      </c>
      <c r="CH271" s="0" t="n">
        <v>1.24303804868629</v>
      </c>
      <c r="CI271" s="0" t="n">
        <v>40.0569384782446</v>
      </c>
      <c r="CJ271" s="0" t="n">
        <v>40.3666338830954</v>
      </c>
      <c r="CK271" s="0" t="n">
        <v>0.309695404850814</v>
      </c>
      <c r="CL271" s="20" t="n">
        <f aca="false">(CK271)^2</f>
        <v>0.0959112437857095</v>
      </c>
      <c r="CN271" s="0" t="n">
        <v>7.54</v>
      </c>
      <c r="CO271" s="0" t="n">
        <v>1.24303804868629</v>
      </c>
      <c r="CP271" s="0" t="n">
        <v>39.8007929704944</v>
      </c>
      <c r="CQ271" s="0" t="n">
        <v>40.0674853105121</v>
      </c>
      <c r="CR271" s="0" t="n">
        <v>0.266692340017727</v>
      </c>
      <c r="CS271" s="20" t="n">
        <f aca="false">(CR271)^2</f>
        <v>0.0711248042241308</v>
      </c>
      <c r="CU271" s="0" t="n">
        <v>8.26</v>
      </c>
      <c r="CV271" s="0" t="n">
        <v>2.01196266250583</v>
      </c>
      <c r="CW271" s="0" t="n">
        <v>1.91210243315721</v>
      </c>
      <c r="CX271" s="0" t="n">
        <v>-0.0998602293486184</v>
      </c>
      <c r="CY271" s="20" t="n">
        <f aca="false">(CX271)^2</f>
        <v>0.00997206540555866</v>
      </c>
    </row>
    <row r="272" customFormat="false" ht="12.8" hidden="false" customHeight="false" outlineLevel="0" collapsed="false">
      <c r="BG272" s="0" t="n">
        <v>0.392573654018126</v>
      </c>
      <c r="BH272" s="0" t="n">
        <v>0.467125363923483</v>
      </c>
      <c r="BI272" s="0" t="n">
        <v>0.833934290753365</v>
      </c>
      <c r="BJ272" s="0" t="n">
        <f aca="false">LOG((BG272*PI())/(180*3600)*(Sheet2!N29*10^6))</f>
        <v>1.91687774000278</v>
      </c>
      <c r="BK272" s="0" t="n">
        <f aca="false">BM29</f>
        <v>1.24303804868629</v>
      </c>
      <c r="BL272" s="0" t="n">
        <f aca="false">LOG((BH272*PI())/(180*3600)*(Sheet2!N29*10^6))</f>
        <v>1.99239003886989</v>
      </c>
      <c r="BM272" s="0" t="n">
        <f aca="false">BK272</f>
        <v>1.24303804868629</v>
      </c>
      <c r="BN272" s="0" t="n">
        <f aca="false">LOG((BI272*PI())/(180*3600)*(Sheet2!N29*10^6))</f>
        <v>2.24408842173377</v>
      </c>
      <c r="BZ272" s="0" t="n">
        <v>8.26</v>
      </c>
      <c r="CA272" s="0" t="n">
        <v>1.3096301674259</v>
      </c>
      <c r="CB272" s="0" t="n">
        <v>39.7014226958353</v>
      </c>
      <c r="CC272" s="0" t="n">
        <v>39.8855611883631</v>
      </c>
      <c r="CD272" s="0" t="n">
        <v>0.184138492527786</v>
      </c>
      <c r="CE272" s="20" t="n">
        <f aca="false">(CD272)^2</f>
        <v>0.0339069844304057</v>
      </c>
      <c r="CG272" s="0" t="n">
        <v>8.26</v>
      </c>
      <c r="CH272" s="0" t="n">
        <v>1.3096301674259</v>
      </c>
      <c r="CI272" s="0" t="n">
        <v>40.2182043304628</v>
      </c>
      <c r="CJ272" s="0" t="n">
        <v>40.3210963526474</v>
      </c>
      <c r="CK272" s="0" t="n">
        <v>0.102892022184633</v>
      </c>
      <c r="CL272" s="20" t="n">
        <f aca="false">(CK272)^2</f>
        <v>0.0105867682292431</v>
      </c>
      <c r="CN272" s="0" t="n">
        <v>8.26</v>
      </c>
      <c r="CO272" s="0" t="n">
        <v>1.3096301674259</v>
      </c>
      <c r="CP272" s="0" t="n">
        <v>39.9968278415746</v>
      </c>
      <c r="CQ272" s="0" t="n">
        <v>40.3210963526474</v>
      </c>
      <c r="CR272" s="0" t="n">
        <v>0.324268511072809</v>
      </c>
      <c r="CS272" s="20" t="n">
        <f aca="false">(CR272)^2</f>
        <v>0.105150067273376</v>
      </c>
      <c r="CU272" s="0" t="n">
        <v>8.01</v>
      </c>
      <c r="CV272" s="0" t="n">
        <v>1.98682012797323</v>
      </c>
      <c r="CW272" s="0" t="n">
        <v>2.04195187164556</v>
      </c>
      <c r="CX272" s="0" t="n">
        <v>0.0551317436723311</v>
      </c>
      <c r="CY272" s="20" t="n">
        <f aca="false">(CX272)^2</f>
        <v>0.00303950916035162</v>
      </c>
      <c r="DC272" s="0" t="str">
        <f aca="false">$BL$137</f>
        <v>Log(O/H) 2011</v>
      </c>
      <c r="DD272" s="0" t="str">
        <f aca="false">$BM$137</f>
        <v>Log(σH) 2011</v>
      </c>
      <c r="DE272" s="0" t="str">
        <f aca="false">$BN$137</f>
        <v>Log(Whβ)</v>
      </c>
      <c r="DF272" s="0" t="s">
        <v>157</v>
      </c>
      <c r="DG272" s="0" t="n">
        <f aca="false">$BE$137</f>
        <v>0</v>
      </c>
      <c r="DH272" s="0" t="s">
        <v>133</v>
      </c>
      <c r="DJ272" s="0" t="str">
        <f aca="false">$BL$137</f>
        <v>Log(O/H) 2011</v>
      </c>
      <c r="DK272" s="0" t="str">
        <f aca="false">$BM$137</f>
        <v>Log(σH) 2011</v>
      </c>
      <c r="DL272" s="0" t="str">
        <f aca="false">$BN$137</f>
        <v>Log(Whβ)</v>
      </c>
      <c r="DM272" s="0" t="s">
        <v>157</v>
      </c>
      <c r="DN272" s="0" t="str">
        <f aca="false">$BF$137</f>
        <v>Log(LHβ) 2011</v>
      </c>
      <c r="DO272" s="0" t="s">
        <v>133</v>
      </c>
      <c r="DQ272" s="0" t="str">
        <f aca="false">$BL$137</f>
        <v>Log(O/H) 2011</v>
      </c>
      <c r="DR272" s="0" t="str">
        <f aca="false">$BM$137</f>
        <v>Log(σH) 2011</v>
      </c>
      <c r="DS272" s="0" t="str">
        <f aca="false">$BN$137</f>
        <v>Log(Whβ)</v>
      </c>
      <c r="DT272" s="0" t="s">
        <v>157</v>
      </c>
      <c r="DU272" s="0" t="str">
        <f aca="false">$BG$137</f>
        <v>Full Log(LHβ) 2007</v>
      </c>
      <c r="DV272" s="0" t="s">
        <v>133</v>
      </c>
      <c r="DX272" s="0" t="str">
        <f aca="false">$BL$137</f>
        <v>Log(O/H) 2011</v>
      </c>
      <c r="DY272" s="0" t="str">
        <f aca="false">$BM$137</f>
        <v>Log(σH) 2011</v>
      </c>
      <c r="DZ272" s="0" t="str">
        <f aca="false">$BN$137</f>
        <v>Log(Whβ)</v>
      </c>
      <c r="EA272" s="0" t="s">
        <v>157</v>
      </c>
      <c r="EB272" s="0" t="str">
        <f aca="false">$BH$137</f>
        <v>BK Log(LHβ) 2007</v>
      </c>
      <c r="EC272" s="0" t="s">
        <v>133</v>
      </c>
    </row>
    <row r="273" customFormat="false" ht="12.8" hidden="false" customHeight="false" outlineLevel="0" collapsed="false">
      <c r="BG273" s="0" t="n">
        <v>0.770566843046123</v>
      </c>
      <c r="BH273" s="0" t="n">
        <v>0.58492230872077</v>
      </c>
      <c r="BI273" s="0" t="n">
        <v>0.806118567612466</v>
      </c>
      <c r="BJ273" s="0" t="n">
        <f aca="false">LOG((BG273*PI())/(180*3600)*(Sheet2!N30*10^6))</f>
        <v>2.13943507143884</v>
      </c>
      <c r="BK273" s="0" t="n">
        <f aca="false">BM30</f>
        <v>1.3096301674259</v>
      </c>
      <c r="BL273" s="0" t="n">
        <f aca="false">LOG((BH273*PI())/(180*3600)*(Sheet2!N30*10^6))</f>
        <v>2.01972293925881</v>
      </c>
      <c r="BM273" s="0" t="n">
        <f aca="false">BK273</f>
        <v>1.3096301674259</v>
      </c>
      <c r="BN273" s="0" t="n">
        <f aca="false">LOG((BI273*PI())/(180*3600)*(Sheet2!N30*10^6))</f>
        <v>2.15902367827408</v>
      </c>
      <c r="BZ273" s="0" t="n">
        <v>8.01</v>
      </c>
      <c r="CA273" s="0" t="n">
        <v>1.54900326202579</v>
      </c>
      <c r="CB273" s="0" t="n">
        <v>40.3596454747913</v>
      </c>
      <c r="CC273" s="0" t="n">
        <v>40.8602418490241</v>
      </c>
      <c r="CD273" s="0" t="n">
        <v>0.500596374232792</v>
      </c>
      <c r="CE273" s="20" t="n">
        <f aca="false">(CD273)^2</f>
        <v>0.250596729895018</v>
      </c>
      <c r="CG273" s="0" t="n">
        <v>8.01</v>
      </c>
      <c r="CH273" s="0" t="n">
        <v>1.54900326202579</v>
      </c>
      <c r="CI273" s="0" t="n">
        <v>40.7264870608918</v>
      </c>
      <c r="CJ273" s="0" t="n">
        <v>41.2889669095893</v>
      </c>
      <c r="CK273" s="0" t="n">
        <v>0.562479848697528</v>
      </c>
      <c r="CL273" s="20" t="n">
        <f aca="false">(CK273)^2</f>
        <v>0.316383580190794</v>
      </c>
      <c r="CN273" s="0" t="n">
        <v>8.01</v>
      </c>
      <c r="CO273" s="0" t="n">
        <v>1.54900326202579</v>
      </c>
      <c r="CP273" s="0" t="n">
        <v>40.6125146446009</v>
      </c>
      <c r="CQ273" s="0" t="n">
        <v>40.7432526092177</v>
      </c>
      <c r="CR273" s="0" t="n">
        <v>0.130737964616806</v>
      </c>
      <c r="CS273" s="20" t="n">
        <f aca="false">(CR273)^2</f>
        <v>0.0170924153921452</v>
      </c>
      <c r="CU273" s="0" t="n">
        <v>8.48</v>
      </c>
      <c r="CV273" s="0" t="n">
        <v>2.03408809289452</v>
      </c>
      <c r="CW273" s="0" t="n">
        <v>2.02175318417612</v>
      </c>
      <c r="CX273" s="0" t="n">
        <v>-0.0123349087183966</v>
      </c>
      <c r="CY273" s="20" t="n">
        <f aca="false">(CX273)^2</f>
        <v>0.000152149973091176</v>
      </c>
      <c r="DC273" s="0" t="n">
        <f aca="false" t="array" ref="DC273:DE288">$BL$138:$BN$153</f>
        <v>8.08</v>
      </c>
      <c r="DD273" s="0" t="n">
        <v>1.52762990087134</v>
      </c>
      <c r="DE273" s="0" t="n">
        <v>1.57978359661681</v>
      </c>
      <c r="DF273" s="0" t="e">
        <f aca="false" t="array" ref="DF273:DF288">MMULT($DC$273:$DE$288 , $DD$268:$DD$270) + $DD$267</f>
        <v>#VALUE!</v>
      </c>
      <c r="DG273" s="0" t="n">
        <f aca="false" t="array" ref="DG273:DG288">$BE$138:$BE$153</f>
        <v>0</v>
      </c>
      <c r="DH273" s="0" t="e">
        <f aca="false" t="array" ref="DH273:DH288">$DG$273:$DG$288 - $DF$273:$DF$288</f>
        <v>#VALUE!</v>
      </c>
      <c r="DJ273" s="0" t="n">
        <f aca="false" t="array" ref="DJ273:DL288">$BL$138:$BN$153</f>
        <v>8.08</v>
      </c>
      <c r="DK273" s="0" t="n">
        <v>1.52762990087134</v>
      </c>
      <c r="DL273" s="0" t="n">
        <v>1.57978359661681</v>
      </c>
      <c r="DM273" s="0" t="n">
        <f aca="false" t="array" ref="DM273:DM288">MMULT($DJ$273:$DL$288 , $DK$268:$DK$270) + $DK$267</f>
        <v>437.257810324996</v>
      </c>
      <c r="DN273" s="0" t="n">
        <f aca="false" t="array" ref="DN273:DN288">$BF$138:$BF$153</f>
        <v>39.9963150223595</v>
      </c>
      <c r="DO273" s="0" t="n">
        <f aca="false" t="array" ref="DO273:DO288">$DN$273:$DN$288 - $DM$273:$DM$288</f>
        <v>-397.261495302636</v>
      </c>
      <c r="DQ273" s="0" t="n">
        <f aca="false" t="array" ref="DQ273:DS288">$BL$138:$BN$153</f>
        <v>8.08</v>
      </c>
      <c r="DR273" s="0" t="n">
        <v>1.52762990087134</v>
      </c>
      <c r="DS273" s="0" t="n">
        <v>1.57978359661681</v>
      </c>
      <c r="DT273" s="0" t="n">
        <f aca="false" t="array" ref="DT273:DT288">MMULT($DQ$273:$DS$288 , $DR$268:$DR$270) + $DR$267</f>
        <v>446.552428048925</v>
      </c>
      <c r="DU273" s="0" t="n">
        <f aca="false" t="array" ref="DU273:DU288">$BG$138:$BG$153</f>
        <v>40.4667860464016</v>
      </c>
      <c r="DV273" s="0" t="n">
        <f aca="false" t="array" ref="DV273:DV288">$DU$273:$DU$288 - $DT$273:$DT$288</f>
        <v>-406.085642002523</v>
      </c>
      <c r="DX273" s="0" t="n">
        <f aca="false" t="array" ref="DX273:DZ288">$BL$138:$BN$153</f>
        <v>8.08</v>
      </c>
      <c r="DY273" s="0" t="n">
        <v>1.52762990087134</v>
      </c>
      <c r="DZ273" s="0" t="n">
        <v>1.57978359661681</v>
      </c>
      <c r="EA273" s="0" t="n">
        <f aca="false" t="array" ref="EA273:EA288">MMULT($DX$273:$DZ$288 , $DY$268:$DY$270) + $DY$267</f>
        <v>403.529631167273</v>
      </c>
      <c r="EB273" s="0" t="n">
        <f aca="false" t="array" ref="EB273:EB288">$BH$138:$BH$153</f>
        <v>40.4667860464016</v>
      </c>
      <c r="EC273" s="0" t="n">
        <f aca="false" t="array" ref="EC273:EC288">$EB$273:$EB$288 - $EA$273:$EA$288</f>
        <v>-363.062845120871</v>
      </c>
    </row>
    <row r="274" customFormat="false" ht="12.8" hidden="false" customHeight="false" outlineLevel="0" collapsed="false">
      <c r="BG274" s="0" t="n">
        <v>0.815970110030529</v>
      </c>
      <c r="BH274" s="0" t="n">
        <v>0.612526849935779</v>
      </c>
      <c r="BI274" s="0" t="n">
        <v>0.416762876624561</v>
      </c>
      <c r="BJ274" s="0" t="n">
        <f aca="false">LOG((BG274*PI())/(180*3600)*(Sheet2!N31*10^6))</f>
        <v>2.17335048681625</v>
      </c>
      <c r="BK274" s="0" t="n">
        <f aca="false">BM31</f>
        <v>1.54900326202579</v>
      </c>
      <c r="BL274" s="0" t="n">
        <f aca="false">LOG((BH274*PI())/(180*3600)*(Sheet2!N31*10^6))</f>
        <v>2.04880136712754</v>
      </c>
      <c r="BM274" s="0" t="n">
        <f aca="false">BK274</f>
        <v>1.54900326202579</v>
      </c>
      <c r="BN274" s="0" t="n">
        <f aca="false">LOG((BI274*PI())/(180*3600)*(Sheet2!N31*10^6))</f>
        <v>1.88156526350358</v>
      </c>
      <c r="BZ274" s="0" t="n">
        <v>8.48</v>
      </c>
      <c r="CA274" s="0" t="n">
        <v>1.38021124171161</v>
      </c>
      <c r="CB274" s="0" t="n">
        <v>39.9003833932098</v>
      </c>
      <c r="CC274" s="0" t="n">
        <v>39.5307026003539</v>
      </c>
      <c r="CD274" s="0" t="n">
        <v>-0.369680792855924</v>
      </c>
      <c r="CE274" s="20" t="n">
        <f aca="false">(CD274)^2</f>
        <v>0.136663888606584</v>
      </c>
      <c r="CG274" s="0" t="n">
        <v>8.48</v>
      </c>
      <c r="CH274" s="0" t="n">
        <v>1.38021124171161</v>
      </c>
      <c r="CI274" s="0" t="n">
        <v>40.3754653070689</v>
      </c>
      <c r="CJ274" s="0" t="n">
        <v>40.3112205857885</v>
      </c>
      <c r="CK274" s="0" t="n">
        <v>-0.0642447212804314</v>
      </c>
      <c r="CL274" s="20" t="n">
        <f aca="false">(CK274)^2</f>
        <v>0.00412738421240031</v>
      </c>
      <c r="CN274" s="0" t="n">
        <v>8.48</v>
      </c>
      <c r="CO274" s="0" t="n">
        <v>1.38021124171161</v>
      </c>
      <c r="CP274" s="0" t="n">
        <v>40.1875768155853</v>
      </c>
      <c r="CQ274" s="0" t="n">
        <v>39.8411325938</v>
      </c>
      <c r="CR274" s="0" t="n">
        <v>-0.34644422178534</v>
      </c>
      <c r="CS274" s="20" t="n">
        <f aca="false">(CR274)^2</f>
        <v>0.12002359880845</v>
      </c>
      <c r="CU274" s="0" t="n">
        <v>7.99</v>
      </c>
      <c r="CV274" s="0" t="n">
        <v>1.98480872521062</v>
      </c>
      <c r="CW274" s="0" t="n">
        <v>2.07570236963626</v>
      </c>
      <c r="CX274" s="0" t="n">
        <v>0.0908936444256392</v>
      </c>
      <c r="CY274" s="20" t="n">
        <f aca="false">(CX274)^2</f>
        <v>0.00826165459697453</v>
      </c>
      <c r="DC274" s="0" t="n">
        <v>8.36</v>
      </c>
      <c r="DD274" s="0" t="n">
        <v>1.54530711646582</v>
      </c>
      <c r="DE274" s="0" t="n">
        <v>1.41497334797082</v>
      </c>
      <c r="DF274" s="0" t="e">
        <v>#VALUE!</v>
      </c>
      <c r="DG274" s="0" t="n">
        <v>0</v>
      </c>
      <c r="DH274" s="0" t="e">
        <v>#VALUE!</v>
      </c>
      <c r="DJ274" s="0" t="n">
        <v>8.36</v>
      </c>
      <c r="DK274" s="0" t="n">
        <v>1.54530711646582</v>
      </c>
      <c r="DL274" s="0" t="n">
        <v>1.41497334797082</v>
      </c>
      <c r="DM274" s="0" t="n">
        <v>442.032084757475</v>
      </c>
      <c r="DN274" s="0" t="n">
        <v>40.3308782653967</v>
      </c>
      <c r="DO274" s="0" t="n">
        <v>-401.701206492078</v>
      </c>
      <c r="DQ274" s="0" t="n">
        <v>8.36</v>
      </c>
      <c r="DR274" s="0" t="n">
        <v>1.54530711646582</v>
      </c>
      <c r="DS274" s="0" t="n">
        <v>1.41497334797082</v>
      </c>
      <c r="DT274" s="0" t="n">
        <v>451.420734741774</v>
      </c>
      <c r="DU274" s="0" t="n">
        <v>40.6750396842358</v>
      </c>
      <c r="DV274" s="0" t="n">
        <v>-410.745695057538</v>
      </c>
      <c r="DX274" s="0" t="n">
        <v>8.36</v>
      </c>
      <c r="DY274" s="0" t="n">
        <v>1.54530711646582</v>
      </c>
      <c r="DZ274" s="0" t="n">
        <v>1.41497334797082</v>
      </c>
      <c r="EA274" s="0" t="n">
        <v>407.928904087494</v>
      </c>
      <c r="EB274" s="0" t="n">
        <v>40.6750396842358</v>
      </c>
      <c r="EC274" s="0" t="n">
        <v>-367.253864403258</v>
      </c>
    </row>
    <row r="275" customFormat="false" ht="12.8" hidden="false" customHeight="false" outlineLevel="0" collapsed="false">
      <c r="A275" s="0" t="str">
        <f aca="false">A3</f>
        <v>C0840+1044</v>
      </c>
      <c r="K275" s="8" t="s">
        <v>241</v>
      </c>
      <c r="L275" s="8" t="n">
        <f aca="false">Z3</f>
        <v>48</v>
      </c>
      <c r="M275" s="8" t="s">
        <v>350</v>
      </c>
      <c r="BG275" s="0" t="n">
        <v>0.421584268045793</v>
      </c>
      <c r="BH275" s="0" t="n">
        <v>0.847765610609324</v>
      </c>
      <c r="BI275" s="0" t="n">
        <v>0.728969905308401</v>
      </c>
      <c r="BJ275" s="0" t="n">
        <f aca="false">LOG((BG275*PI())/(180*3600)*(Sheet2!N32*10^6))</f>
        <v>1.87527310723252</v>
      </c>
      <c r="BK275" s="0" t="n">
        <f aca="false">BM32</f>
        <v>1.38021124171161</v>
      </c>
      <c r="BL275" s="0" t="n">
        <f aca="false">LOG((BH275*PI())/(180*3600)*(Sheet2!N32*10^6))</f>
        <v>2.17866450652492</v>
      </c>
      <c r="BM275" s="0" t="n">
        <f aca="false">BK275</f>
        <v>1.38021124171161</v>
      </c>
      <c r="BN275" s="0" t="n">
        <f aca="false">LOG((BI275*PI())/(180*3600)*(Sheet2!N32*10^6))</f>
        <v>2.11309831031312</v>
      </c>
      <c r="BZ275" s="0" t="n">
        <v>7.99</v>
      </c>
      <c r="CA275" s="0" t="n">
        <v>1.41161970596323</v>
      </c>
      <c r="CB275" s="0" t="n">
        <v>39.9791558881892</v>
      </c>
      <c r="CC275" s="0" t="n">
        <v>39.4259659076773</v>
      </c>
      <c r="CD275" s="0" t="n">
        <v>-0.553189980511881</v>
      </c>
      <c r="CE275" s="20" t="n">
        <f aca="false">(CD275)^2</f>
        <v>0.306019154538735</v>
      </c>
      <c r="CG275" s="0" t="n">
        <v>7.99</v>
      </c>
      <c r="CH275" s="0" t="n">
        <v>1.41161970596323</v>
      </c>
      <c r="CI275" s="0" t="n">
        <v>40.4306548624223</v>
      </c>
      <c r="CJ275" s="0" t="n">
        <v>39.794334988839</v>
      </c>
      <c r="CK275" s="0" t="n">
        <v>-0.636319873583339</v>
      </c>
      <c r="CL275" s="20" t="n">
        <f aca="false">(CK275)^2</f>
        <v>0.404902981517117</v>
      </c>
      <c r="CN275" s="0" t="n">
        <v>7.99</v>
      </c>
      <c r="CO275" s="0" t="n">
        <v>1.41161970596323</v>
      </c>
      <c r="CP275" s="0" t="n">
        <v>40.2540274683786</v>
      </c>
      <c r="CQ275" s="0" t="n">
        <v>39.794334988839</v>
      </c>
      <c r="CR275" s="0" t="n">
        <v>-0.459692479539598</v>
      </c>
      <c r="CS275" s="20" t="n">
        <f aca="false">(CR275)^2</f>
        <v>0.211317175745264</v>
      </c>
      <c r="CU275" s="0" t="n">
        <v>8.01</v>
      </c>
      <c r="CV275" s="0" t="n">
        <v>1.98682012797323</v>
      </c>
      <c r="CW275" s="0" t="n">
        <v>1.58373370004733</v>
      </c>
      <c r="CX275" s="0" t="n">
        <v>-0.403086427925899</v>
      </c>
      <c r="CY275" s="20" t="n">
        <f aca="false">(CX275)^2</f>
        <v>0.162478668378061</v>
      </c>
      <c r="DC275" s="0" t="n">
        <v>8.25</v>
      </c>
      <c r="DD275" s="0" t="n">
        <v>1.53781909507327</v>
      </c>
      <c r="DE275" s="0" t="n">
        <v>2.03742649794062</v>
      </c>
      <c r="DF275" s="0" t="e">
        <v>#VALUE!</v>
      </c>
      <c r="DG275" s="0" t="n">
        <v>0</v>
      </c>
      <c r="DH275" s="0" t="e">
        <v>#VALUE!</v>
      </c>
      <c r="DJ275" s="0" t="n">
        <v>8.25</v>
      </c>
      <c r="DK275" s="0" t="n">
        <v>1.53781909507327</v>
      </c>
      <c r="DL275" s="0" t="n">
        <v>2.03742649794062</v>
      </c>
      <c r="DM275" s="0" t="n">
        <v>460.176866399059</v>
      </c>
      <c r="DN275" s="0" t="n">
        <v>40.5363222856562</v>
      </c>
      <c r="DO275" s="0" t="n">
        <v>-419.640544113403</v>
      </c>
      <c r="DQ275" s="0" t="n">
        <v>8.25</v>
      </c>
      <c r="DR275" s="0" t="n">
        <v>1.53781909507327</v>
      </c>
      <c r="DS275" s="0" t="n">
        <v>2.03742649794062</v>
      </c>
      <c r="DT275" s="0" t="n">
        <v>469.922888975951</v>
      </c>
      <c r="DU275" s="0" t="n">
        <v>40.8519069419647</v>
      </c>
      <c r="DV275" s="0" t="n">
        <v>-429.070982033986</v>
      </c>
      <c r="DX275" s="0" t="n">
        <v>8.25</v>
      </c>
      <c r="DY275" s="0" t="n">
        <v>1.53781909507327</v>
      </c>
      <c r="DZ275" s="0" t="n">
        <v>2.03742649794062</v>
      </c>
      <c r="EA275" s="0" t="n">
        <v>424.648480569338</v>
      </c>
      <c r="EB275" s="0" t="n">
        <v>40.8519069419647</v>
      </c>
      <c r="EC275" s="0" t="n">
        <v>-383.796573627373</v>
      </c>
    </row>
    <row r="276" customFormat="false" ht="12.8" hidden="false" customHeight="false" outlineLevel="0" collapsed="false">
      <c r="A276" s="0" t="str">
        <f aca="false">A4</f>
        <v>N-CTS1011</v>
      </c>
      <c r="K276" s="8" t="s">
        <v>241</v>
      </c>
      <c r="L276" s="8" t="n">
        <f aca="false">Z4</f>
        <v>55.9</v>
      </c>
      <c r="M276" s="8" t="s">
        <v>350</v>
      </c>
      <c r="BG276" s="0" t="n">
        <v>0.764605335627876</v>
      </c>
      <c r="BH276" s="0" t="n">
        <v>0.679076205452575</v>
      </c>
      <c r="BI276" s="0" t="n">
        <v>0.670465997870317</v>
      </c>
      <c r="BJ276" s="0" t="n">
        <f aca="false">LOG((BG276*PI())/(180*3600)*(Sheet2!N33*10^6))</f>
        <v>2.33859551949977</v>
      </c>
      <c r="BK276" s="0" t="n">
        <f aca="false">BM33</f>
        <v>1.41161970596323</v>
      </c>
      <c r="BL276" s="0" t="n">
        <f aca="false">LOG((BH276*PI())/(180*3600)*(Sheet2!N33*10^6))</f>
        <v>2.28707670841454</v>
      </c>
      <c r="BM276" s="0" t="n">
        <f aca="false">BK276</f>
        <v>1.41161970596323</v>
      </c>
      <c r="BN276" s="0" t="n">
        <f aca="false">LOG((BI276*PI())/(180*3600)*(Sheet2!N33*10^6))</f>
        <v>2.28153495303887</v>
      </c>
      <c r="BZ276" s="0" t="n">
        <v>0</v>
      </c>
      <c r="CA276" s="0" t="n">
        <v>1.24797326636181</v>
      </c>
      <c r="CB276" s="0" t="n">
        <v>39.3936162529916</v>
      </c>
      <c r="CC276" s="0" t="n">
        <v>39.3876198532141</v>
      </c>
      <c r="CD276" s="0" t="n">
        <v>-0.00599639977745881</v>
      </c>
      <c r="CE276" s="20" t="n">
        <f aca="false">(CD276)^2</f>
        <v>3.5956810291108E-005</v>
      </c>
      <c r="CG276" s="0" t="n">
        <v>0</v>
      </c>
      <c r="CH276" s="0" t="n">
        <v>1.24797326636181</v>
      </c>
      <c r="CI276" s="0" t="n">
        <v>39.877844098977</v>
      </c>
      <c r="CJ276" s="0" t="n">
        <v>39.9396196552323</v>
      </c>
      <c r="CK276" s="0" t="n">
        <v>0.0617755562552844</v>
      </c>
      <c r="CL276" s="20" t="n">
        <f aca="false">(CK276)^2</f>
        <v>0.00381621935064981</v>
      </c>
      <c r="CN276" s="0" t="n">
        <v>0</v>
      </c>
      <c r="CO276" s="0" t="n">
        <v>1.24797326636181</v>
      </c>
      <c r="CP276" s="0" t="n">
        <v>39.5772478125561</v>
      </c>
      <c r="CQ276" s="0" t="n">
        <v>39.6143001977675</v>
      </c>
      <c r="CR276" s="0" t="n">
        <v>0.0370523852113607</v>
      </c>
      <c r="CS276" s="20" t="n">
        <f aca="false">(CR276)^2</f>
        <v>0.00137287924985106</v>
      </c>
      <c r="CU276" s="0" t="n">
        <v>7.74</v>
      </c>
      <c r="CV276" s="0" t="n">
        <v>1.95966619067802</v>
      </c>
      <c r="CW276" s="0" t="n">
        <v>2.07441923117618</v>
      </c>
      <c r="CX276" s="0" t="n">
        <v>0.114753040498159</v>
      </c>
      <c r="CY276" s="20" t="n">
        <f aca="false">(CX276)^2</f>
        <v>0.0131682603035722</v>
      </c>
      <c r="DC276" s="0" t="n">
        <v>8.07</v>
      </c>
      <c r="DD276" s="0" t="n">
        <v>1.51719589794997</v>
      </c>
      <c r="DE276" s="0" t="n">
        <v>2.26481782300954</v>
      </c>
      <c r="DF276" s="0" t="e">
        <v>#VALUE!</v>
      </c>
      <c r="DG276" s="0" t="n">
        <v>0</v>
      </c>
      <c r="DH276" s="0" t="e">
        <v>#VALUE!</v>
      </c>
      <c r="DJ276" s="0" t="n">
        <v>8.07</v>
      </c>
      <c r="DK276" s="0" t="n">
        <v>1.51719589794997</v>
      </c>
      <c r="DL276" s="0" t="n">
        <v>2.26481782300954</v>
      </c>
      <c r="DM276" s="0" t="n">
        <v>461.138718632095</v>
      </c>
      <c r="DN276" s="0" t="n">
        <v>39.7119114592515</v>
      </c>
      <c r="DO276" s="0" t="n">
        <v>-421.426807172844</v>
      </c>
      <c r="DQ276" s="0" t="n">
        <v>8.07</v>
      </c>
      <c r="DR276" s="0" t="n">
        <v>1.51719589794997</v>
      </c>
      <c r="DS276" s="0" t="n">
        <v>2.26481782300954</v>
      </c>
      <c r="DT276" s="0" t="n">
        <v>470.903685478088</v>
      </c>
      <c r="DU276" s="0" t="n">
        <v>40.3675165950432</v>
      </c>
      <c r="DV276" s="0" t="n">
        <v>-430.536168883045</v>
      </c>
      <c r="DX276" s="0" t="n">
        <v>8.07</v>
      </c>
      <c r="DY276" s="0" t="n">
        <v>1.51719589794997</v>
      </c>
      <c r="DZ276" s="0" t="n">
        <v>2.26481782300954</v>
      </c>
      <c r="EA276" s="0" t="n">
        <v>425.534782884358</v>
      </c>
      <c r="EB276" s="0" t="n">
        <v>40.3675165950432</v>
      </c>
      <c r="EC276" s="0" t="n">
        <v>-385.167266289315</v>
      </c>
    </row>
    <row r="277" customFormat="false" ht="12.8" hidden="false" customHeight="false" outlineLevel="0" collapsed="false">
      <c r="A277" s="0" t="str">
        <f aca="false">A5</f>
        <v>N-CTS1013</v>
      </c>
      <c r="K277" s="8" t="s">
        <v>241</v>
      </c>
      <c r="L277" s="8" t="n">
        <f aca="false">Z5</f>
        <v>118.5</v>
      </c>
      <c r="M277" s="8" t="s">
        <v>350</v>
      </c>
      <c r="BG277" s="0" t="n">
        <v>0.723653922635683</v>
      </c>
      <c r="BH277" s="0" t="n">
        <v>0.420079899049092</v>
      </c>
      <c r="BI277" s="0" t="n">
        <v>0.814712631952026</v>
      </c>
      <c r="BJ277" s="0" t="n">
        <f aca="false">LOG((BG277*PI())/(180*3600)*(Sheet2!N34*10^6))</f>
        <v>2.54832013359396</v>
      </c>
      <c r="BK277" s="0" t="n">
        <f aca="false">BM34</f>
        <v>1.45484486000851</v>
      </c>
      <c r="BL277" s="0" t="n">
        <f aca="false">LOG((BH277*PI())/(180*3600)*(Sheet2!N34*10^6))</f>
        <v>2.31212111392115</v>
      </c>
      <c r="BM277" s="0" t="n">
        <f aca="false">BK277</f>
        <v>1.45484486000851</v>
      </c>
      <c r="BN277" s="0" t="n">
        <f aca="false">LOG((BI277*PI())/(180*3600)*(Sheet2!N34*10^6))</f>
        <v>2.59979366301859</v>
      </c>
      <c r="BZ277" s="0" t="n">
        <v>8.01</v>
      </c>
      <c r="CA277" s="0" t="n">
        <v>1.3541084391474</v>
      </c>
      <c r="CB277" s="0" t="n">
        <v>39.820347244615</v>
      </c>
      <c r="CC277" s="0" t="n">
        <v>39.7992940202333</v>
      </c>
      <c r="CD277" s="0" t="n">
        <v>-0.0210532243817312</v>
      </c>
      <c r="CE277" s="20" t="n">
        <f aca="false">(CD277)^2</f>
        <v>0.00044323825686752</v>
      </c>
      <c r="CG277" s="0" t="n">
        <v>8.01</v>
      </c>
      <c r="CH277" s="0" t="n">
        <v>1.3541084391474</v>
      </c>
      <c r="CI277" s="0" t="n">
        <v>40.3075279363925</v>
      </c>
      <c r="CJ277" s="0" t="n">
        <v>40.5671950296227</v>
      </c>
      <c r="CK277" s="0" t="n">
        <v>0.259667093230249</v>
      </c>
      <c r="CL277" s="20" t="n">
        <f aca="false">(CK277)^2</f>
        <v>0.0674269993066467</v>
      </c>
      <c r="CN277" s="0" t="n">
        <v>8.01</v>
      </c>
      <c r="CO277" s="0" t="n">
        <v>1.3541084391474</v>
      </c>
      <c r="CP277" s="0" t="n">
        <v>40.1048477408931</v>
      </c>
      <c r="CQ277" s="0" t="n">
        <v>40.5671950296227</v>
      </c>
      <c r="CR277" s="0" t="n">
        <v>0.462347288729632</v>
      </c>
      <c r="CS277" s="20" t="n">
        <f aca="false">(CR277)^2</f>
        <v>0.213765015395641</v>
      </c>
      <c r="CU277" s="0" t="n">
        <v>7.95</v>
      </c>
      <c r="CV277" s="0" t="n">
        <v>1.9807859196854</v>
      </c>
      <c r="CW277" s="0" t="n">
        <v>1.91822534255641</v>
      </c>
      <c r="CX277" s="0" t="n">
        <v>-0.0625605771289948</v>
      </c>
      <c r="CY277" s="20" t="n">
        <f aca="false">(CX277)^2</f>
        <v>0.0039138258107129</v>
      </c>
      <c r="DC277" s="0" t="n">
        <v>8.07</v>
      </c>
      <c r="DD277" s="0" t="n">
        <v>1.32221929473392</v>
      </c>
      <c r="DE277" s="0" t="n">
        <v>1.69019608002851</v>
      </c>
      <c r="DF277" s="0" t="e">
        <v>#VALUE!</v>
      </c>
      <c r="DG277" s="0" t="n">
        <v>0</v>
      </c>
      <c r="DH277" s="0" t="e">
        <v>#VALUE!</v>
      </c>
      <c r="DJ277" s="0" t="n">
        <v>8.07</v>
      </c>
      <c r="DK277" s="0" t="n">
        <v>1.32221929473392</v>
      </c>
      <c r="DL277" s="0" t="n">
        <v>1.69019608002851</v>
      </c>
      <c r="DM277" s="0" t="n">
        <v>433.484939879462</v>
      </c>
      <c r="DN277" s="0" t="n">
        <v>39.8158956218551</v>
      </c>
      <c r="DO277" s="0" t="n">
        <v>-393.669044257607</v>
      </c>
      <c r="DQ277" s="0" t="n">
        <v>8.07</v>
      </c>
      <c r="DR277" s="0" t="n">
        <v>1.32221929473392</v>
      </c>
      <c r="DS277" s="0" t="n">
        <v>1.69019608002851</v>
      </c>
      <c r="DT277" s="0" t="n">
        <v>442.705248608151</v>
      </c>
      <c r="DU277" s="0" t="n">
        <v>40.2813702480347</v>
      </c>
      <c r="DV277" s="0" t="n">
        <v>-402.423878360116</v>
      </c>
      <c r="DX277" s="0" t="n">
        <v>8.07</v>
      </c>
      <c r="DY277" s="0" t="n">
        <v>1.32221929473392</v>
      </c>
      <c r="DZ277" s="0" t="n">
        <v>1.69019608002851</v>
      </c>
      <c r="EA277" s="0" t="n">
        <v>400.053105672712</v>
      </c>
      <c r="EB277" s="0" t="n">
        <v>40.2813702480347</v>
      </c>
      <c r="EC277" s="0" t="n">
        <v>-359.771735424678</v>
      </c>
    </row>
    <row r="278" customFormat="false" ht="12.8" hidden="false" customHeight="false" outlineLevel="0" collapsed="false">
      <c r="A278" s="0" t="str">
        <f aca="false">A6</f>
        <v>N-CTS1016</v>
      </c>
      <c r="K278" s="8" t="s">
        <v>241</v>
      </c>
      <c r="L278" s="8" t="n">
        <f aca="false">Z6</f>
        <v>150.6</v>
      </c>
      <c r="M278" s="8" t="s">
        <v>350</v>
      </c>
      <c r="BG278" s="0" t="n">
        <v>0.576861625978825</v>
      </c>
      <c r="BH278" s="0" t="n">
        <v>0.475782174149013</v>
      </c>
      <c r="BI278" s="0" t="n">
        <v>0.699586841090685</v>
      </c>
      <c r="BJ278" s="0" t="n">
        <f aca="false">LOG((BG278*PI())/(180*3600)*(Sheet2!N35*10^6))</f>
        <v>1.77171443148352</v>
      </c>
      <c r="BK278" s="0" t="n">
        <f aca="false">BM35</f>
        <v>1.24797326636181</v>
      </c>
      <c r="BL278" s="0" t="n">
        <f aca="false">LOG((BH278*PI())/(180*3600)*(Sheet2!N35*10^6))</f>
        <v>1.68805094827623</v>
      </c>
      <c r="BM278" s="0" t="n">
        <f aca="false">BK278</f>
        <v>1.24797326636181</v>
      </c>
      <c r="BN278" s="0" t="n">
        <f aca="false">LOG((BI278*PI())/(180*3600)*(Sheet2!N35*10^6))</f>
        <v>1.85548441372858</v>
      </c>
      <c r="BZ278" s="0" t="n">
        <v>7.74</v>
      </c>
      <c r="CA278" s="0" t="n">
        <v>1.20682587603185</v>
      </c>
      <c r="CB278" s="0" t="n">
        <v>39.4083135090008</v>
      </c>
      <c r="CC278" s="0" t="n">
        <v>39.5414546476421</v>
      </c>
      <c r="CD278" s="0" t="n">
        <v>0.133141138641321</v>
      </c>
      <c r="CE278" s="20" t="n">
        <f aca="false">(CD278)^2</f>
        <v>0.0177265627987074</v>
      </c>
      <c r="CG278" s="0" t="n">
        <v>7.74</v>
      </c>
      <c r="CH278" s="0" t="n">
        <v>1.20682587603185</v>
      </c>
      <c r="CI278" s="0" t="n">
        <v>39.9841262587951</v>
      </c>
      <c r="CJ278" s="0" t="n">
        <v>39.9994654634455</v>
      </c>
      <c r="CK278" s="0" t="n">
        <v>0.0153392046504308</v>
      </c>
      <c r="CL278" s="20" t="n">
        <f aca="false">(CK278)^2</f>
        <v>0.000235291199307798</v>
      </c>
      <c r="CN278" s="0" t="n">
        <v>7.74</v>
      </c>
      <c r="CO278" s="0" t="n">
        <v>1.20682587603185</v>
      </c>
      <c r="CP278" s="0" t="n">
        <v>39.7127371697252</v>
      </c>
      <c r="CQ278" s="0" t="n">
        <v>39.4317743737488</v>
      </c>
      <c r="CR278" s="0" t="n">
        <v>-0.2809627959764</v>
      </c>
      <c r="CS278" s="20" t="n">
        <f aca="false">(CR278)^2</f>
        <v>0.0789400927228762</v>
      </c>
      <c r="CU278" s="0" t="n">
        <v>7.77</v>
      </c>
      <c r="CV278" s="0" t="n">
        <v>1.96268329482193</v>
      </c>
      <c r="CW278" s="0" t="n">
        <v>1.53606284006086</v>
      </c>
      <c r="CX278" s="0" t="n">
        <v>-0.426620454761073</v>
      </c>
      <c r="CY278" s="20" t="n">
        <f aca="false">(CX278)^2</f>
        <v>0.182005012420545</v>
      </c>
      <c r="DC278" s="0" t="n">
        <v>8.27</v>
      </c>
      <c r="DD278" s="0" t="n">
        <v>1.23299611039215</v>
      </c>
      <c r="DE278" s="0" t="n">
        <v>1.83250891270624</v>
      </c>
      <c r="DF278" s="0" t="e">
        <v>#VALUE!</v>
      </c>
      <c r="DG278" s="0" t="n">
        <v>0</v>
      </c>
      <c r="DH278" s="0" t="e">
        <v>#VALUE!</v>
      </c>
      <c r="DJ278" s="0" t="n">
        <v>8.27</v>
      </c>
      <c r="DK278" s="0" t="n">
        <v>1.23299611039215</v>
      </c>
      <c r="DL278" s="0" t="n">
        <v>1.83250891270624</v>
      </c>
      <c r="DM278" s="0" t="n">
        <v>442.579144894648</v>
      </c>
      <c r="DN278" s="0" t="n">
        <v>39.9770046637507</v>
      </c>
      <c r="DO278" s="0" t="n">
        <v>-402.602140230897</v>
      </c>
      <c r="DQ278" s="0" t="n">
        <v>8.27</v>
      </c>
      <c r="DR278" s="0" t="n">
        <v>1.23299611039215</v>
      </c>
      <c r="DS278" s="0" t="n">
        <v>1.83250891270624</v>
      </c>
      <c r="DT278" s="0" t="n">
        <v>451.978569563558</v>
      </c>
      <c r="DU278" s="0" t="n">
        <v>40.5618565782759</v>
      </c>
      <c r="DV278" s="0" t="n">
        <v>-411.416712985282</v>
      </c>
      <c r="DX278" s="0" t="n">
        <v>8.27</v>
      </c>
      <c r="DY278" s="0" t="n">
        <v>1.23299611039215</v>
      </c>
      <c r="DZ278" s="0" t="n">
        <v>1.83250891270624</v>
      </c>
      <c r="EA278" s="0" t="n">
        <v>408.432994684135</v>
      </c>
      <c r="EB278" s="0" t="n">
        <v>40.2717584423895</v>
      </c>
      <c r="EC278" s="0" t="n">
        <v>-368.161236241746</v>
      </c>
    </row>
    <row r="279" customFormat="false" ht="12.8" hidden="false" customHeight="false" outlineLevel="0" collapsed="false">
      <c r="A279" s="0" t="str">
        <f aca="false">A7</f>
        <v>N-CTS1017 $   §</v>
      </c>
      <c r="K279" s="8" t="s">
        <v>241</v>
      </c>
      <c r="L279" s="8" t="n">
        <f aca="false">Z7</f>
        <v>154.5</v>
      </c>
      <c r="M279" s="8" t="s">
        <v>350</v>
      </c>
      <c r="BG279" s="0" t="n">
        <v>0.54290483457695</v>
      </c>
      <c r="BH279" s="0" t="n">
        <v>0.476701044459151</v>
      </c>
      <c r="BI279" s="0" t="n">
        <v>0.742700050690274</v>
      </c>
      <c r="BJ279" s="0" t="n">
        <f aca="false">LOG((BG279*PI())/(180*3600)*(Sheet2!N36*10^6))</f>
        <v>2.18934555230654</v>
      </c>
      <c r="BK279" s="0" t="n">
        <f aca="false">BM36</f>
        <v>1.3541084391474</v>
      </c>
      <c r="BL279" s="0" t="n">
        <f aca="false">LOG((BH279*PI())/(180*3600)*(Sheet2!N36*10^6))</f>
        <v>2.13286794670758</v>
      </c>
      <c r="BM279" s="0" t="n">
        <f aca="false">BK279</f>
        <v>1.3541084391474</v>
      </c>
      <c r="BN279" s="0" t="n">
        <f aca="false">LOG((BI279*PI())/(180*3600)*(Sheet2!N36*10^6))</f>
        <v>2.32543529679054</v>
      </c>
      <c r="BZ279" s="0" t="n">
        <v>7.95</v>
      </c>
      <c r="CA279" s="0" t="n">
        <v>1.09691001300806</v>
      </c>
      <c r="CB279" s="0" t="n">
        <v>39.1076506228488</v>
      </c>
      <c r="CC279" s="0" t="n">
        <v>39.2951320767752</v>
      </c>
      <c r="CD279" s="0" t="n">
        <v>0.187481453926431</v>
      </c>
      <c r="CE279" s="20" t="n">
        <f aca="false">(CD279)^2</f>
        <v>0.0351492955663683</v>
      </c>
      <c r="CG279" s="0" t="n">
        <v>7.95</v>
      </c>
      <c r="CH279" s="0" t="n">
        <v>1.09691001300806</v>
      </c>
      <c r="CI279" s="0" t="n">
        <v>39.7531271857531</v>
      </c>
      <c r="CJ279" s="0" t="n">
        <v>39.8338814731209</v>
      </c>
      <c r="CK279" s="0" t="n">
        <v>0.0807542873677676</v>
      </c>
      <c r="CL279" s="20" t="n">
        <f aca="false">(CK279)^2</f>
        <v>0.00652125492827599</v>
      </c>
      <c r="CN279" s="0" t="n">
        <v>7.95</v>
      </c>
      <c r="CO279" s="0" t="n">
        <v>1.09691001300806</v>
      </c>
      <c r="CP279" s="0" t="n">
        <v>39.4330096834989</v>
      </c>
      <c r="CQ279" s="0" t="n">
        <v>39.7495605874209</v>
      </c>
      <c r="CR279" s="0" t="n">
        <v>0.316550903921964</v>
      </c>
      <c r="CS279" s="20" t="n">
        <f aca="false">(CR279)^2</f>
        <v>0.100204474773813</v>
      </c>
      <c r="CU279" s="0" t="n">
        <v>7.92</v>
      </c>
      <c r="CV279" s="0" t="n">
        <v>1.97776881554149</v>
      </c>
      <c r="CW279" s="0" t="n">
        <v>1.58559671011752</v>
      </c>
      <c r="CX279" s="0" t="n">
        <v>-0.392172105423973</v>
      </c>
      <c r="CY279" s="20" t="n">
        <f aca="false">(CX279)^2</f>
        <v>0.153798960272672</v>
      </c>
      <c r="DC279" s="0" t="n">
        <v>7.89</v>
      </c>
      <c r="DD279" s="0" t="n">
        <v>1.23299611039215</v>
      </c>
      <c r="DE279" s="0" t="n">
        <v>1.79239168949825</v>
      </c>
      <c r="DF279" s="0" t="e">
        <v>#VALUE!</v>
      </c>
      <c r="DG279" s="0" t="n">
        <v>0</v>
      </c>
      <c r="DH279" s="0" t="e">
        <v>#VALUE!</v>
      </c>
      <c r="DJ279" s="0" t="n">
        <v>7.89</v>
      </c>
      <c r="DK279" s="0" t="n">
        <v>1.23299611039215</v>
      </c>
      <c r="DL279" s="0" t="n">
        <v>1.79239168949825</v>
      </c>
      <c r="DM279" s="0" t="n">
        <v>427.483181138783</v>
      </c>
      <c r="DN279" s="0" t="n">
        <v>39.0888685217564</v>
      </c>
      <c r="DO279" s="0" t="n">
        <v>-388.394312617027</v>
      </c>
      <c r="DQ279" s="0" t="n">
        <v>7.89</v>
      </c>
      <c r="DR279" s="0" t="n">
        <v>1.23299611039215</v>
      </c>
      <c r="DS279" s="0" t="n">
        <v>1.79239168949825</v>
      </c>
      <c r="DT279" s="0" t="n">
        <v>436.585281551515</v>
      </c>
      <c r="DU279" s="0" t="n">
        <v>39.807392282766</v>
      </c>
      <c r="DV279" s="0" t="n">
        <v>-396.777889268749</v>
      </c>
      <c r="DX279" s="0" t="n">
        <v>7.89</v>
      </c>
      <c r="DY279" s="0" t="n">
        <v>1.23299611039215</v>
      </c>
      <c r="DZ279" s="0" t="n">
        <v>1.79239168949825</v>
      </c>
      <c r="EA279" s="0" t="n">
        <v>394.522762774544</v>
      </c>
      <c r="EB279" s="0" t="n">
        <v>39.2678630647137</v>
      </c>
      <c r="EC279" s="0" t="n">
        <v>-355.25489970983</v>
      </c>
    </row>
    <row r="280" customFormat="false" ht="12.8" hidden="false" customHeight="false" outlineLevel="0" collapsed="false">
      <c r="A280" s="0" t="str">
        <f aca="false">A8</f>
        <v>N-CTS1020</v>
      </c>
      <c r="K280" s="8" t="s">
        <v>241</v>
      </c>
      <c r="L280" s="8" t="n">
        <f aca="false">Z8</f>
        <v>57.7</v>
      </c>
      <c r="M280" s="8" t="s">
        <v>350</v>
      </c>
      <c r="BG280" s="0" t="n">
        <v>0.648320769379365</v>
      </c>
      <c r="BH280" s="0" t="n">
        <v>0.481546237336541</v>
      </c>
      <c r="BI280" s="0" t="n">
        <v>0.824524819656264</v>
      </c>
      <c r="BJ280" s="0" t="n">
        <f aca="false">LOG((BG280*PI())/(180*3600)*(Sheet2!N37*10^6))</f>
        <v>1.95927824850459</v>
      </c>
      <c r="BK280" s="0" t="n">
        <f aca="false">BM37</f>
        <v>1.20682587603185</v>
      </c>
      <c r="BL280" s="0" t="n">
        <f aca="false">LOG((BH280*PI())/(180*3600)*(Sheet2!N37*10^6))</f>
        <v>1.830126307529</v>
      </c>
      <c r="BM280" s="0" t="n">
        <f aca="false">BK280</f>
        <v>1.20682587603185</v>
      </c>
      <c r="BN280" s="0" t="n">
        <f aca="false">LOG((BI280*PI())/(180*3600)*(Sheet2!N37*10^6))</f>
        <v>2.06369204698119</v>
      </c>
      <c r="BZ280" s="0" t="n">
        <v>7.77</v>
      </c>
      <c r="CA280" s="0" t="n">
        <v>1.28330122870355</v>
      </c>
      <c r="CB280" s="0" t="n">
        <v>39.6204286111849</v>
      </c>
      <c r="CC280" s="0" t="n">
        <v>39.0423920343584</v>
      </c>
      <c r="CD280" s="0" t="n">
        <v>-0.57803657682647</v>
      </c>
      <c r="CE280" s="20" t="n">
        <f aca="false">(CD280)^2</f>
        <v>0.334126284149264</v>
      </c>
      <c r="CG280" s="0" t="n">
        <v>7.77</v>
      </c>
      <c r="CH280" s="0" t="n">
        <v>1.28330122870355</v>
      </c>
      <c r="CI280" s="0" t="n">
        <v>40.1492776499738</v>
      </c>
      <c r="CJ280" s="0" t="n">
        <v>39.4843141944881</v>
      </c>
      <c r="CK280" s="0" t="n">
        <v>-0.664963455485662</v>
      </c>
      <c r="CL280" s="20" t="n">
        <f aca="false">(CK280)^2</f>
        <v>0.442176397131432</v>
      </c>
      <c r="CN280" s="0" t="n">
        <v>7.77</v>
      </c>
      <c r="CO280" s="0" t="n">
        <v>1.28330122870355</v>
      </c>
      <c r="CP280" s="0" t="n">
        <v>39.9128826646427</v>
      </c>
      <c r="CQ280" s="0" t="n">
        <v>39.4843141944881</v>
      </c>
      <c r="CR280" s="0" t="n">
        <v>-0.42856847015463</v>
      </c>
      <c r="CS280" s="20" t="n">
        <f aca="false">(CR280)^2</f>
        <v>0.18367093361068</v>
      </c>
      <c r="CU280" s="0" t="n">
        <v>7.85</v>
      </c>
      <c r="CV280" s="0" t="n">
        <v>1.97072890587237</v>
      </c>
      <c r="CW280" s="0" t="n">
        <v>1.92192076742725</v>
      </c>
      <c r="CX280" s="0" t="n">
        <v>-0.0488081384451149</v>
      </c>
      <c r="CY280" s="20" t="n">
        <f aca="false">(CX280)^2</f>
        <v>0.0023822343784775</v>
      </c>
      <c r="DC280" s="0" t="n">
        <v>8.49</v>
      </c>
      <c r="DD280" s="0" t="n">
        <v>1.48572142648158</v>
      </c>
      <c r="DE280" s="0" t="n">
        <v>1.34242268082221</v>
      </c>
      <c r="DF280" s="0" t="e">
        <v>#VALUE!</v>
      </c>
      <c r="DG280" s="0" t="n">
        <v>0</v>
      </c>
      <c r="DH280" s="0" t="e">
        <v>#VALUE!</v>
      </c>
      <c r="DJ280" s="0" t="n">
        <v>8.49</v>
      </c>
      <c r="DK280" s="0" t="n">
        <v>1.48572142648158</v>
      </c>
      <c r="DL280" s="0" t="n">
        <v>1.34242268082221</v>
      </c>
      <c r="DM280" s="0" t="n">
        <v>441.955319587981</v>
      </c>
      <c r="DN280" s="0" t="n">
        <v>40.3263420583806</v>
      </c>
      <c r="DO280" s="0" t="n">
        <v>-401.6289775296</v>
      </c>
      <c r="DQ280" s="0" t="n">
        <v>8.49</v>
      </c>
      <c r="DR280" s="0" t="n">
        <v>1.48572142648158</v>
      </c>
      <c r="DS280" s="0" t="n">
        <v>1.34242268082221</v>
      </c>
      <c r="DT280" s="0" t="n">
        <v>451.342457635229</v>
      </c>
      <c r="DU280" s="0" t="n">
        <v>40.3264007404092</v>
      </c>
      <c r="DV280" s="0" t="n">
        <v>-411.01605689482</v>
      </c>
      <c r="DX280" s="0" t="n">
        <v>8.49</v>
      </c>
      <c r="DY280" s="0" t="n">
        <v>1.48572142648158</v>
      </c>
      <c r="DZ280" s="0" t="n">
        <v>1.34242268082221</v>
      </c>
      <c r="EA280" s="0" t="n">
        <v>407.858168536752</v>
      </c>
      <c r="EB280" s="0" t="n">
        <v>40.3264007404092</v>
      </c>
      <c r="EC280" s="0" t="n">
        <v>-367.531767796343</v>
      </c>
    </row>
    <row r="281" customFormat="false" ht="12.8" hidden="false" customHeight="false" outlineLevel="0" collapsed="false">
      <c r="A281" s="0" t="str">
        <f aca="false">A9</f>
        <v>N-CTS1022 §</v>
      </c>
      <c r="K281" s="8" t="s">
        <v>241</v>
      </c>
      <c r="L281" s="8" t="n">
        <f aca="false">Z9</f>
        <v>62.9</v>
      </c>
      <c r="M281" s="8" t="s">
        <v>350</v>
      </c>
      <c r="BG281" s="0" t="n">
        <v>0.445100804606005</v>
      </c>
      <c r="BH281" s="0" t="n">
        <v>0.764954625202684</v>
      </c>
      <c r="BI281" s="0" t="n">
        <v>0.397273921682055</v>
      </c>
      <c r="BJ281" s="0" t="n">
        <f aca="false">LOG((BG281*PI())/(180*3600)*(Sheet2!N38*10^6))</f>
        <v>1.63201117717762</v>
      </c>
      <c r="BK281" s="0" t="n">
        <f aca="false">BM38</f>
        <v>1.09691001300806</v>
      </c>
      <c r="BL281" s="0" t="n">
        <f aca="false">LOG((BH281*PI())/(180*3600)*(Sheet2!N38*10^6))</f>
        <v>1.86718847270394</v>
      </c>
      <c r="BM281" s="0" t="n">
        <f aca="false">BK281</f>
        <v>1.09691001300806</v>
      </c>
      <c r="BN281" s="0" t="n">
        <f aca="false">LOG((BI281*PI())/(180*3600)*(Sheet2!N38*10^6))</f>
        <v>1.5826428553492</v>
      </c>
      <c r="BZ281" s="0" t="n">
        <v>7.92</v>
      </c>
      <c r="CA281" s="0" t="n">
        <v>1.23552844690755</v>
      </c>
      <c r="CB281" s="0" t="n">
        <v>39.4907267972033</v>
      </c>
      <c r="CC281" s="0" t="n">
        <v>39.7584397069598</v>
      </c>
      <c r="CD281" s="0" t="n">
        <v>0.267712909756511</v>
      </c>
      <c r="CE281" s="20" t="n">
        <f aca="false">(CD281)^2</f>
        <v>0.071670202050298</v>
      </c>
      <c r="CG281" s="0" t="n">
        <v>7.92</v>
      </c>
      <c r="CH281" s="0" t="n">
        <v>1.23552844690755</v>
      </c>
      <c r="CI281" s="0" t="n">
        <v>40.0503559808523</v>
      </c>
      <c r="CJ281" s="0" t="n">
        <v>40.1263375099171</v>
      </c>
      <c r="CK281" s="0" t="n">
        <v>0.0759815290647623</v>
      </c>
      <c r="CL281" s="20" t="n">
        <f aca="false">(CK281)^2</f>
        <v>0.00577319275901932</v>
      </c>
      <c r="CN281" s="0" t="n">
        <v>7.92</v>
      </c>
      <c r="CO281" s="0" t="n">
        <v>1.23552844690755</v>
      </c>
      <c r="CP281" s="0" t="n">
        <v>39.7931458575487</v>
      </c>
      <c r="CQ281" s="0" t="n">
        <v>39.9044887603007</v>
      </c>
      <c r="CR281" s="0" t="n">
        <v>0.111342902752014</v>
      </c>
      <c r="CS281" s="20" t="n">
        <f aca="false">(CR281)^2</f>
        <v>0.0123972419932445</v>
      </c>
      <c r="CU281" s="0" t="n">
        <v>7.72</v>
      </c>
      <c r="CV281" s="0" t="n">
        <v>1.95765478791541</v>
      </c>
      <c r="CW281" s="0" t="n">
        <v>1.75461831766389</v>
      </c>
      <c r="CX281" s="0" t="n">
        <v>-0.203036470251523</v>
      </c>
      <c r="CY281" s="20" t="n">
        <f aca="false">(CX281)^2</f>
        <v>0.0412238082521975</v>
      </c>
      <c r="DC281" s="0" t="n">
        <v>7.96</v>
      </c>
      <c r="DD281" s="0" t="n">
        <v>1.25527250510331</v>
      </c>
      <c r="DE281" s="0" t="n">
        <v>1.32221929473392</v>
      </c>
      <c r="DF281" s="0" t="e">
        <v>#VALUE!</v>
      </c>
      <c r="DG281" s="0" t="n">
        <v>0</v>
      </c>
      <c r="DH281" s="0" t="e">
        <v>#VALUE!</v>
      </c>
      <c r="DJ281" s="0" t="n">
        <v>7.96</v>
      </c>
      <c r="DK281" s="0" t="n">
        <v>1.25527250510331</v>
      </c>
      <c r="DL281" s="0" t="n">
        <v>1.32221929473392</v>
      </c>
      <c r="DM281" s="0" t="n">
        <v>413.904341697905</v>
      </c>
      <c r="DN281" s="0" t="n">
        <v>39.8138398098754</v>
      </c>
      <c r="DO281" s="0" t="n">
        <v>-374.090501888029</v>
      </c>
      <c r="DQ281" s="0" t="n">
        <v>7.96</v>
      </c>
      <c r="DR281" s="0" t="n">
        <v>1.25527250510331</v>
      </c>
      <c r="DS281" s="0" t="n">
        <v>1.32221929473392</v>
      </c>
      <c r="DT281" s="0" t="n">
        <v>422.738998547455</v>
      </c>
      <c r="DU281" s="0" t="n">
        <v>40.2861528339909</v>
      </c>
      <c r="DV281" s="0" t="n">
        <v>-382.452845713464</v>
      </c>
      <c r="DX281" s="0" t="n">
        <v>7.96</v>
      </c>
      <c r="DY281" s="0" t="n">
        <v>1.25527250510331</v>
      </c>
      <c r="DZ281" s="0" t="n">
        <v>1.32221929473392</v>
      </c>
      <c r="EA281" s="0" t="n">
        <v>382.010490703651</v>
      </c>
      <c r="EB281" s="0" t="n">
        <v>39.8999512285901</v>
      </c>
      <c r="EC281" s="0" t="n">
        <v>-342.110539475061</v>
      </c>
    </row>
    <row r="282" customFormat="false" ht="12.8" hidden="false" customHeight="false" outlineLevel="0" collapsed="false">
      <c r="A282" s="0" t="str">
        <f aca="false">A10</f>
        <v>N-CTS1034  Ha &amp;</v>
      </c>
      <c r="K282" s="8" t="s">
        <v>241</v>
      </c>
      <c r="L282" s="8" t="n">
        <f aca="false">Z10</f>
        <v>100.2</v>
      </c>
      <c r="M282" s="8" t="s">
        <v>350</v>
      </c>
      <c r="BG282" s="0" t="n">
        <v>0.536442866687446</v>
      </c>
      <c r="BH282" s="0" t="n">
        <v>0.743101978695529</v>
      </c>
      <c r="BI282" s="0" t="n">
        <v>0.439897275713609</v>
      </c>
      <c r="BJ282" s="0" t="n">
        <f aca="false">LOG((BG282*PI())/(180*3600)*(Sheet2!N39*10^6))</f>
        <v>1.8072421747504</v>
      </c>
      <c r="BK282" s="0" t="n">
        <f aca="false">BM39</f>
        <v>1.28330122870355</v>
      </c>
      <c r="BL282" s="0" t="n">
        <f aca="false">LOG((BH282*PI())/(180*3600)*(Sheet2!N39*10^6))</f>
        <v>1.94876711781128</v>
      </c>
      <c r="BM282" s="0" t="n">
        <f aca="false">BK282</f>
        <v>1.28330122870355</v>
      </c>
      <c r="BN282" s="0" t="n">
        <f aca="false">LOG((BI282*PI())/(180*3600)*(Sheet2!N39*10^6))</f>
        <v>1.72106997248311</v>
      </c>
      <c r="BZ282" s="0" t="n">
        <v>7.85</v>
      </c>
      <c r="CA282" s="0" t="n">
        <v>1.22788670461367</v>
      </c>
      <c r="CB282" s="0" t="n">
        <v>39.4684184831678</v>
      </c>
      <c r="CC282" s="0" t="n">
        <v>39.0217644408478</v>
      </c>
      <c r="CD282" s="0" t="n">
        <v>-0.446654042319999</v>
      </c>
      <c r="CE282" s="20" t="n">
        <f aca="false">(CD282)^2</f>
        <v>0.199499833520795</v>
      </c>
      <c r="CG282" s="0" t="n">
        <v>7.85</v>
      </c>
      <c r="CH282" s="0" t="n">
        <v>1.22788670461367</v>
      </c>
      <c r="CI282" s="0" t="n">
        <v>40.032167600847</v>
      </c>
      <c r="CJ282" s="0" t="n">
        <v>39.7989606416723</v>
      </c>
      <c r="CK282" s="0" t="n">
        <v>-0.233206959174737</v>
      </c>
      <c r="CL282" s="20" t="n">
        <f aca="false">(CK282)^2</f>
        <v>0.0543854858075274</v>
      </c>
      <c r="CN282" s="0" t="n">
        <v>7.85</v>
      </c>
      <c r="CO282" s="0" t="n">
        <v>1.22788670461367</v>
      </c>
      <c r="CP282" s="0" t="n">
        <v>39.7710457563687</v>
      </c>
      <c r="CQ282" s="0" t="n">
        <v>39.4018526150208</v>
      </c>
      <c r="CR282" s="0" t="n">
        <v>-0.369193141347949</v>
      </c>
      <c r="CS282" s="20" t="n">
        <f aca="false">(CR282)^2</f>
        <v>0.136303575618367</v>
      </c>
      <c r="CY282" s="0" t="n">
        <f aca="false">SQRT(SUM(CY244:CY281)/38)</f>
        <v>0.246600759770854</v>
      </c>
      <c r="DC282" s="0" t="n">
        <v>8.02</v>
      </c>
      <c r="DD282" s="0" t="n">
        <v>1.39269695325967</v>
      </c>
      <c r="DE282" s="0" t="n">
        <v>1.55630250076729</v>
      </c>
      <c r="DF282" s="0" t="e">
        <v>#VALUE!</v>
      </c>
      <c r="DG282" s="0" t="n">
        <v>0</v>
      </c>
      <c r="DH282" s="0" t="e">
        <v>#VALUE!</v>
      </c>
      <c r="DJ282" s="0" t="n">
        <v>8.02</v>
      </c>
      <c r="DK282" s="0" t="n">
        <v>1.39269695325967</v>
      </c>
      <c r="DL282" s="0" t="n">
        <v>1.55630250076729</v>
      </c>
      <c r="DM282" s="0" t="n">
        <v>429.409594870545</v>
      </c>
      <c r="DN282" s="0" t="n">
        <v>39.5808250944804</v>
      </c>
      <c r="DO282" s="0" t="n">
        <v>-389.828769776064</v>
      </c>
      <c r="DQ282" s="0" t="n">
        <v>8.02</v>
      </c>
      <c r="DR282" s="0" t="n">
        <v>1.39269695325967</v>
      </c>
      <c r="DS282" s="0" t="n">
        <v>1.55630250076729</v>
      </c>
      <c r="DT282" s="0" t="n">
        <v>438.549637182128</v>
      </c>
      <c r="DU282" s="0" t="n">
        <v>40.2880850465456</v>
      </c>
      <c r="DV282" s="0" t="n">
        <v>-398.261552135582</v>
      </c>
      <c r="DX282" s="0" t="n">
        <v>8.02</v>
      </c>
      <c r="DY282" s="0" t="n">
        <v>1.39269695325967</v>
      </c>
      <c r="DZ282" s="0" t="n">
        <v>1.55630250076729</v>
      </c>
      <c r="EA282" s="0" t="n">
        <v>396.297863867524</v>
      </c>
      <c r="EB282" s="0" t="n">
        <v>39.4996349548837</v>
      </c>
      <c r="EC282" s="0" t="n">
        <v>-356.798228912641</v>
      </c>
    </row>
    <row r="283" customFormat="false" ht="12.8" hidden="false" customHeight="false" outlineLevel="0" collapsed="false">
      <c r="A283" s="0" t="str">
        <f aca="false">A11</f>
        <v>N-CTS1035  &amp;</v>
      </c>
      <c r="K283" s="8" t="s">
        <v>241</v>
      </c>
      <c r="L283" s="8" t="n">
        <f aca="false">Z11</f>
        <v>123.2</v>
      </c>
      <c r="M283" s="8" t="s">
        <v>350</v>
      </c>
      <c r="BG283" s="0" t="n">
        <v>0.602768800023709</v>
      </c>
      <c r="BH283" s="0" t="n">
        <v>0.659517973531836</v>
      </c>
      <c r="BI283" s="0" t="n">
        <v>0.580108129863789</v>
      </c>
      <c r="BJ283" s="0" t="n">
        <f aca="false">LOG((BG283*PI())/(180*3600)*(Sheet2!N40*10^6))</f>
        <v>2.04320473000393</v>
      </c>
      <c r="BK283" s="0" t="n">
        <f aca="false">BM40</f>
        <v>1.23552844690755</v>
      </c>
      <c r="BL283" s="0" t="n">
        <f aca="false">LOG((BH283*PI())/(180*3600)*(Sheet2!N40*10^6))</f>
        <v>2.08228060100585</v>
      </c>
      <c r="BM283" s="0" t="n">
        <f aca="false">BK283</f>
        <v>1.23552844690755</v>
      </c>
      <c r="BN283" s="0" t="n">
        <f aca="false">LOG((BI283*PI())/(180*3600)*(Sheet2!N40*10^6))</f>
        <v>2.02656291722394</v>
      </c>
      <c r="CE283" s="0" t="n">
        <f aca="false">SQRT(SUM(CE245:CE282)/38)</f>
        <v>0.310608246741096</v>
      </c>
      <c r="CL283" s="0" t="n">
        <f aca="false">SQRT(SUM(CL245:CL282)/38)</f>
        <v>0.354357933169086</v>
      </c>
      <c r="CS283" s="0" t="n">
        <f aca="false">SQRT(SUM(CS245:CS282)/38)</f>
        <v>0.338389260512613</v>
      </c>
      <c r="DC283" s="0" t="n">
        <v>8.28</v>
      </c>
      <c r="DD283" s="0" t="n">
        <v>1.50379068305718</v>
      </c>
      <c r="DE283" s="0" t="n">
        <v>1.79239168949825</v>
      </c>
      <c r="DF283" s="0" t="e">
        <v>#VALUE!</v>
      </c>
      <c r="DG283" s="0" t="n">
        <v>0</v>
      </c>
      <c r="DH283" s="0" t="e">
        <v>#VALUE!</v>
      </c>
      <c r="DJ283" s="0" t="n">
        <v>8.28</v>
      </c>
      <c r="DK283" s="0" t="n">
        <v>1.50379068305718</v>
      </c>
      <c r="DL283" s="0" t="n">
        <v>1.79239168949825</v>
      </c>
      <c r="DM283" s="0" t="n">
        <v>451.227341977638</v>
      </c>
      <c r="DN283" s="0" t="n">
        <v>40.3643638589132</v>
      </c>
      <c r="DO283" s="0" t="n">
        <v>-410.862978118724</v>
      </c>
      <c r="DQ283" s="0" t="n">
        <v>8.28</v>
      </c>
      <c r="DR283" s="0" t="n">
        <v>1.50379068305718</v>
      </c>
      <c r="DS283" s="0" t="n">
        <v>1.79239168949825</v>
      </c>
      <c r="DT283" s="0" t="n">
        <v>460.797098187254</v>
      </c>
      <c r="DU283" s="0" t="n">
        <v>41.0286745143046</v>
      </c>
      <c r="DV283" s="0" t="n">
        <v>-419.76842367295</v>
      </c>
      <c r="DX283" s="0" t="n">
        <v>8.28</v>
      </c>
      <c r="DY283" s="0" t="n">
        <v>1.50379068305718</v>
      </c>
      <c r="DZ283" s="0" t="n">
        <v>1.79239168949825</v>
      </c>
      <c r="EA283" s="0" t="n">
        <v>416.40190802877</v>
      </c>
      <c r="EB283" s="0" t="n">
        <v>40.3849932800756</v>
      </c>
      <c r="EC283" s="0" t="n">
        <v>-376.016914748694</v>
      </c>
    </row>
    <row r="284" customFormat="false" ht="12.8" hidden="false" customHeight="false" outlineLevel="0" collapsed="false">
      <c r="A284" s="0" t="str">
        <f aca="false">A12</f>
        <v>N-Fariall30=Mrk 1271 = [F80] 30</v>
      </c>
      <c r="K284" s="8" t="s">
        <v>241</v>
      </c>
      <c r="L284" s="8" t="n">
        <f aca="false">Z12</f>
        <v>18.2</v>
      </c>
      <c r="M284" s="8" t="s">
        <v>350</v>
      </c>
      <c r="BG284" s="0" t="n">
        <v>0.685553154454816</v>
      </c>
      <c r="BH284" s="0" t="n">
        <v>0.651941644384333</v>
      </c>
      <c r="BI284" s="0" t="n">
        <v>0.542946172934714</v>
      </c>
      <c r="BJ284" s="0" t="n">
        <f aca="false">LOG((BG284*PI())/(180*3600)*(Sheet2!N41*10^6))</f>
        <v>1.87008024180446</v>
      </c>
      <c r="BK284" s="0" t="n">
        <f aca="false">BM41</f>
        <v>1.22788670461367</v>
      </c>
      <c r="BL284" s="0" t="n">
        <f aca="false">LOG((BH284*PI())/(180*3600)*(Sheet2!N41*10^6))</f>
        <v>1.84824783185314</v>
      </c>
      <c r="BM284" s="0" t="n">
        <f aca="false">BK284</f>
        <v>1.22788670461367</v>
      </c>
      <c r="BN284" s="0" t="n">
        <f aca="false">LOG((BI284*PI())/(180*3600)*(Sheet2!N41*10^6))</f>
        <v>1.76879588455571</v>
      </c>
      <c r="BS284" s="14"/>
      <c r="BZ284" s="14" t="s">
        <v>405</v>
      </c>
      <c r="CC284" s="13"/>
      <c r="CG284" s="14" t="s">
        <v>406</v>
      </c>
      <c r="CJ284" s="13"/>
      <c r="CK284" s="13"/>
      <c r="CN284" s="14" t="s">
        <v>407</v>
      </c>
      <c r="CU284" s="13" t="s">
        <v>408</v>
      </c>
      <c r="DC284" s="0" t="n">
        <v>7.54</v>
      </c>
      <c r="DD284" s="0" t="n">
        <v>1.24303804868629</v>
      </c>
      <c r="DE284" s="0" t="n">
        <v>2.11058971029925</v>
      </c>
      <c r="DF284" s="0" t="e">
        <v>#VALUE!</v>
      </c>
      <c r="DG284" s="0" t="n">
        <v>0</v>
      </c>
      <c r="DH284" s="0" t="e">
        <v>#VALUE!</v>
      </c>
      <c r="DJ284" s="0" t="n">
        <v>7.54</v>
      </c>
      <c r="DK284" s="0" t="n">
        <v>1.24303804868629</v>
      </c>
      <c r="DL284" s="0" t="n">
        <v>2.11058971029925</v>
      </c>
      <c r="DM284" s="0" t="n">
        <v>426.701283204874</v>
      </c>
      <c r="DN284" s="0" t="n">
        <v>39.8907352023789</v>
      </c>
      <c r="DO284" s="0" t="n">
        <v>-386.810548002495</v>
      </c>
      <c r="DQ284" s="0" t="n">
        <v>7.54</v>
      </c>
      <c r="DR284" s="0" t="n">
        <v>1.24303804868629</v>
      </c>
      <c r="DS284" s="0" t="n">
        <v>2.11058971029925</v>
      </c>
      <c r="DT284" s="0" t="n">
        <v>435.787983658692</v>
      </c>
      <c r="DU284" s="0" t="n">
        <v>40.3666338830954</v>
      </c>
      <c r="DV284" s="0" t="n">
        <v>-395.421349775596</v>
      </c>
      <c r="DX284" s="0" t="n">
        <v>7.54</v>
      </c>
      <c r="DY284" s="0" t="n">
        <v>1.24303804868629</v>
      </c>
      <c r="DZ284" s="0" t="n">
        <v>2.11058971029925</v>
      </c>
      <c r="EA284" s="0" t="n">
        <v>393.802280017285</v>
      </c>
      <c r="EB284" s="0" t="n">
        <v>40.0674853105121</v>
      </c>
      <c r="EC284" s="0" t="n">
        <v>-353.734794706773</v>
      </c>
    </row>
    <row r="285" customFormat="false" ht="12.8" hidden="false" customHeight="false" outlineLevel="0" collapsed="false">
      <c r="A285" s="0" t="str">
        <f aca="false">A13</f>
        <v>N-IIZw40-conti</v>
      </c>
      <c r="K285" s="8" t="s">
        <v>241</v>
      </c>
      <c r="L285" s="8" t="n">
        <f aca="false">Z13</f>
        <v>11.8</v>
      </c>
      <c r="M285" s="8" t="s">
        <v>350</v>
      </c>
      <c r="BZ285" s="0" t="s">
        <v>78</v>
      </c>
      <c r="CA285" s="0" t="s">
        <v>79</v>
      </c>
      <c r="CG285" s="0" t="s">
        <v>78</v>
      </c>
      <c r="CH285" s="0" t="s">
        <v>79</v>
      </c>
      <c r="CN285" s="0" t="s">
        <v>78</v>
      </c>
      <c r="CO285" s="0" t="s">
        <v>79</v>
      </c>
      <c r="CU285" s="0" t="s">
        <v>78</v>
      </c>
      <c r="CV285" s="0" t="s">
        <v>79</v>
      </c>
      <c r="DC285" s="0" t="n">
        <v>8.26</v>
      </c>
      <c r="DD285" s="0" t="n">
        <v>1.3096301674259</v>
      </c>
      <c r="DE285" s="0" t="n">
        <v>1.70757017609794</v>
      </c>
      <c r="DF285" s="0" t="e">
        <v>#VALUE!</v>
      </c>
      <c r="DG285" s="0" t="n">
        <v>0</v>
      </c>
      <c r="DH285" s="0" t="e">
        <v>#VALUE!</v>
      </c>
      <c r="DJ285" s="0" t="n">
        <v>8.26</v>
      </c>
      <c r="DK285" s="0" t="n">
        <v>1.3096301674259</v>
      </c>
      <c r="DL285" s="0" t="n">
        <v>1.70757017609794</v>
      </c>
      <c r="DM285" s="0" t="n">
        <v>440.484097891019</v>
      </c>
      <c r="DN285" s="0" t="n">
        <v>39.8855611883631</v>
      </c>
      <c r="DO285" s="0" t="n">
        <v>-400.598536702656</v>
      </c>
      <c r="DQ285" s="0" t="n">
        <v>8.26</v>
      </c>
      <c r="DR285" s="0" t="n">
        <v>1.3096301674259</v>
      </c>
      <c r="DS285" s="0" t="n">
        <v>1.70757017609794</v>
      </c>
      <c r="DT285" s="0" t="n">
        <v>449.842259325459</v>
      </c>
      <c r="DU285" s="0" t="n">
        <v>40.3210963526474</v>
      </c>
      <c r="DV285" s="0" t="n">
        <v>-409.521162972812</v>
      </c>
      <c r="DX285" s="0" t="n">
        <v>8.26</v>
      </c>
      <c r="DY285" s="0" t="n">
        <v>1.3096301674259</v>
      </c>
      <c r="DZ285" s="0" t="n">
        <v>1.70757017609794</v>
      </c>
      <c r="EA285" s="0" t="n">
        <v>406.502505836038</v>
      </c>
      <c r="EB285" s="0" t="n">
        <v>40.3210963526474</v>
      </c>
      <c r="EC285" s="0" t="n">
        <v>-366.181409483391</v>
      </c>
    </row>
    <row r="286" customFormat="false" ht="12.8" hidden="false" customHeight="false" outlineLevel="0" collapsed="false">
      <c r="A286" s="0" t="str">
        <f aca="false">A14</f>
        <v>N-IIZW70-conti   &amp;</v>
      </c>
      <c r="K286" s="8" t="s">
        <v>241</v>
      </c>
      <c r="L286" s="8" t="n">
        <f aca="false">Z14</f>
        <v>19.2</v>
      </c>
      <c r="M286" s="8" t="s">
        <v>350</v>
      </c>
      <c r="DC286" s="0" t="n">
        <v>8.01</v>
      </c>
      <c r="DD286" s="0" t="n">
        <v>1.54900326202579</v>
      </c>
      <c r="DE286" s="0" t="n">
        <v>2</v>
      </c>
      <c r="DF286" s="0" t="e">
        <v>#VALUE!</v>
      </c>
      <c r="DG286" s="0" t="n">
        <v>0</v>
      </c>
      <c r="DH286" s="0" t="e">
        <v>#VALUE!</v>
      </c>
      <c r="DJ286" s="0" t="n">
        <v>8.01</v>
      </c>
      <c r="DK286" s="0" t="n">
        <v>1.54900326202579</v>
      </c>
      <c r="DL286" s="0" t="n">
        <v>2</v>
      </c>
      <c r="DM286" s="0" t="n">
        <v>450.610049432635</v>
      </c>
      <c r="DN286" s="0" t="n">
        <v>40.8602418490241</v>
      </c>
      <c r="DO286" s="0" t="n">
        <v>-409.749807583611</v>
      </c>
      <c r="DQ286" s="0" t="n">
        <v>8.01</v>
      </c>
      <c r="DR286" s="0" t="n">
        <v>1.54900326202579</v>
      </c>
      <c r="DS286" s="0" t="n">
        <v>2</v>
      </c>
      <c r="DT286" s="0" t="n">
        <v>460.167647687334</v>
      </c>
      <c r="DU286" s="0" t="n">
        <v>41.2889669095893</v>
      </c>
      <c r="DV286" s="0" t="n">
        <v>-418.878680777744</v>
      </c>
      <c r="DX286" s="0" t="n">
        <v>8.01</v>
      </c>
      <c r="DY286" s="0" t="n">
        <v>1.54900326202579</v>
      </c>
      <c r="DZ286" s="0" t="n">
        <v>2</v>
      </c>
      <c r="EA286" s="0" t="n">
        <v>415.833101518903</v>
      </c>
      <c r="EB286" s="0" t="n">
        <v>40.7432526092177</v>
      </c>
      <c r="EC286" s="0" t="n">
        <v>-375.089848909686</v>
      </c>
    </row>
    <row r="287" customFormat="false" ht="12.8" hidden="false" customHeight="false" outlineLevel="0" collapsed="false">
      <c r="A287" s="0" t="str">
        <f aca="false">A15</f>
        <v>N-Mrk1318-conti</v>
      </c>
      <c r="K287" s="8" t="s">
        <v>241</v>
      </c>
      <c r="L287" s="8" t="n">
        <f aca="false">Z15</f>
        <v>26.2</v>
      </c>
      <c r="M287" s="8" t="s">
        <v>350</v>
      </c>
      <c r="BZ287" s="0" t="s">
        <v>84</v>
      </c>
      <c r="CG287" s="0" t="s">
        <v>84</v>
      </c>
      <c r="CN287" s="0" t="s">
        <v>84</v>
      </c>
      <c r="CU287" s="0" t="s">
        <v>84</v>
      </c>
      <c r="DC287" s="0" t="n">
        <v>8.48</v>
      </c>
      <c r="DD287" s="0" t="n">
        <v>1.38021124171161</v>
      </c>
      <c r="DE287" s="0" t="n">
        <v>0.698970004336019</v>
      </c>
      <c r="DF287" s="0" t="e">
        <v>#VALUE!</v>
      </c>
      <c r="DG287" s="0" t="n">
        <v>0</v>
      </c>
      <c r="DH287" s="0" t="e">
        <v>#VALUE!</v>
      </c>
      <c r="DJ287" s="0" t="n">
        <v>8.48</v>
      </c>
      <c r="DK287" s="0" t="n">
        <v>1.38021124171161</v>
      </c>
      <c r="DL287" s="0" t="n">
        <v>0.698970004336019</v>
      </c>
      <c r="DM287" s="0" t="n">
        <v>414.683702970877</v>
      </c>
      <c r="DN287" s="0" t="n">
        <v>39.5307026003539</v>
      </c>
      <c r="DO287" s="0" t="n">
        <v>-375.153000370523</v>
      </c>
      <c r="DQ287" s="0" t="n">
        <v>8.48</v>
      </c>
      <c r="DR287" s="0" t="n">
        <v>1.38021124171161</v>
      </c>
      <c r="DS287" s="0" t="n">
        <v>0.698970004336019</v>
      </c>
      <c r="DT287" s="0" t="n">
        <v>423.53370981825</v>
      </c>
      <c r="DU287" s="0" t="n">
        <v>40.3112205857885</v>
      </c>
      <c r="DV287" s="0" t="n">
        <v>-383.222489232461</v>
      </c>
      <c r="DX287" s="0" t="n">
        <v>8.48</v>
      </c>
      <c r="DY287" s="0" t="n">
        <v>1.38021124171161</v>
      </c>
      <c r="DZ287" s="0" t="n">
        <v>0.698970004336019</v>
      </c>
      <c r="EA287" s="0" t="n">
        <v>382.728636045262</v>
      </c>
      <c r="EB287" s="0" t="n">
        <v>39.8411325938</v>
      </c>
      <c r="EC287" s="0" t="n">
        <v>-342.887503451462</v>
      </c>
    </row>
    <row r="288" customFormat="false" ht="12.8" hidden="false" customHeight="false" outlineLevel="0" collapsed="false">
      <c r="A288" s="0" t="str">
        <f aca="false">A16</f>
        <v>N-Mrk36-conti  $ $</v>
      </c>
      <c r="K288" s="8" t="s">
        <v>241</v>
      </c>
      <c r="L288" s="8" t="n">
        <f aca="false">Z16</f>
        <v>13.2</v>
      </c>
      <c r="M288" s="8" t="s">
        <v>350</v>
      </c>
      <c r="BZ288" s="0" t="n">
        <f aca="false" t="array" ref="BZ288:CB292">LINEST($BG$95:$BG$132 , $BK$95:$BL$132 , 1 , 1)</f>
        <v>2.86323275530589</v>
      </c>
      <c r="CA288" s="0" t="n">
        <v>0.126496308380099</v>
      </c>
      <c r="CB288" s="0" t="n">
        <v>35.7332799820453</v>
      </c>
      <c r="CG288" s="0" t="n">
        <f aca="false" t="array" ref="CG288:CI292">LINEST($BH$95:$BH$132 , $BK$95:$BL$132 , 1 , 1)</f>
        <v>2.24115085467981</v>
      </c>
      <c r="CH288" s="0" t="n">
        <v>0.0751543333169943</v>
      </c>
      <c r="CI288" s="0" t="n">
        <v>37.1455248117655</v>
      </c>
      <c r="CN288" s="0" t="n">
        <f aca="false" t="array" ref="CN288:CP292">LINEST($BI$95:$BI$132 , $BK$95:$BL$132 , 1 , 1)</f>
        <v>2.72036854247562</v>
      </c>
      <c r="CO288" s="0" t="n">
        <v>0.0969718907626339</v>
      </c>
      <c r="CP288" s="0" t="n">
        <v>36.2571756139432</v>
      </c>
      <c r="CU288" s="0" t="n">
        <f aca="false" t="array" ref="CU288:CV292">LINEST($BK$95:$BK$132 , $BM$95:$BM$132 , 1 , 1)</f>
        <v>-0.130852942458238</v>
      </c>
      <c r="CV288" s="0" t="n">
        <v>2.6651378527421</v>
      </c>
      <c r="DC288" s="0" t="n">
        <v>7.85</v>
      </c>
      <c r="DD288" s="0" t="n">
        <v>1.23552844690755</v>
      </c>
      <c r="DE288" s="0" t="n">
        <v>1.27875360095283</v>
      </c>
      <c r="DF288" s="0" t="e">
        <v>#VALUE!</v>
      </c>
      <c r="DG288" s="0" t="n">
        <v>0</v>
      </c>
      <c r="DH288" s="0" t="e">
        <v>#VALUE!</v>
      </c>
      <c r="DJ288" s="0" t="n">
        <v>7.85</v>
      </c>
      <c r="DK288" s="0" t="n">
        <v>1.23552844690755</v>
      </c>
      <c r="DL288" s="0" t="n">
        <v>1.27875360095283</v>
      </c>
      <c r="DM288" s="0" t="n">
        <v>407.680440382842</v>
      </c>
      <c r="DN288" s="0" t="n">
        <v>39.7584397069598</v>
      </c>
      <c r="DO288" s="0" t="n">
        <v>-367.922000675882</v>
      </c>
      <c r="DQ288" s="0" t="n">
        <v>7.85</v>
      </c>
      <c r="DR288" s="0" t="n">
        <v>1.23552844690755</v>
      </c>
      <c r="DS288" s="0" t="n">
        <v>1.27875360095283</v>
      </c>
      <c r="DT288" s="0" t="n">
        <v>416.392513682315</v>
      </c>
      <c r="DU288" s="0" t="n">
        <v>40.1263375099171</v>
      </c>
      <c r="DV288" s="0" t="n">
        <v>-376.266176172397</v>
      </c>
      <c r="DX288" s="0" t="n">
        <v>7.85</v>
      </c>
      <c r="DY288" s="0" t="n">
        <v>1.23552844690755</v>
      </c>
      <c r="DZ288" s="0" t="n">
        <v>1.27875360095283</v>
      </c>
      <c r="EA288" s="0" t="n">
        <v>376.275453704685</v>
      </c>
      <c r="EB288" s="0" t="n">
        <v>39.9044887603007</v>
      </c>
      <c r="EC288" s="0" t="n">
        <v>-336.370964944384</v>
      </c>
    </row>
    <row r="289" customFormat="false" ht="12.8" hidden="false" customHeight="false" outlineLevel="0" collapsed="false">
      <c r="A289" s="0" t="str">
        <f aca="false">A17</f>
        <v>N-MS01-conti = [SC98] 01</v>
      </c>
      <c r="K289" s="8" t="s">
        <v>241</v>
      </c>
      <c r="L289" s="8" t="n">
        <f aca="false">Z17</f>
        <v>48.4</v>
      </c>
      <c r="M289" s="8" t="s">
        <v>350</v>
      </c>
      <c r="BZ289" s="0" t="n">
        <v>0.389824320497522</v>
      </c>
      <c r="CA289" s="0" t="n">
        <v>0.121266134223776</v>
      </c>
      <c r="CB289" s="0" t="n">
        <v>0.596163117880086</v>
      </c>
      <c r="CG289" s="0" t="n">
        <v>0.450550868743028</v>
      </c>
      <c r="CH289" s="0" t="n">
        <v>0.14015688414181</v>
      </c>
      <c r="CI289" s="0" t="n">
        <v>0.689032973444591</v>
      </c>
      <c r="CN289" s="0" t="n">
        <v>0.430041886630801</v>
      </c>
      <c r="CO289" s="0" t="n">
        <v>0.133776971840699</v>
      </c>
      <c r="CP289" s="0" t="n">
        <v>0.657668335381559</v>
      </c>
      <c r="CU289" s="0" t="n">
        <v>0.0580500887695269</v>
      </c>
      <c r="CV289" s="0" t="n">
        <v>0.46276446233924</v>
      </c>
    </row>
    <row r="290" customFormat="false" ht="12.8" hidden="false" customHeight="false" outlineLevel="0" collapsed="false">
      <c r="A290" s="0" t="str">
        <f aca="false">A18</f>
        <v>N-MS12-conti = [ SC98] 68 $</v>
      </c>
      <c r="K290" s="8" t="s">
        <v>241</v>
      </c>
      <c r="L290" s="8" t="n">
        <f aca="false">Z18</f>
        <v>104.7</v>
      </c>
      <c r="M290" s="8" t="s">
        <v>350</v>
      </c>
      <c r="BZ290" s="0" t="n">
        <v>0.60651323089966</v>
      </c>
      <c r="CA290" s="0" t="n">
        <v>0.319478486895752</v>
      </c>
      <c r="CB290" s="0" t="e">
        <v>#N/A</v>
      </c>
      <c r="CG290" s="0" t="n">
        <v>0.414492254967664</v>
      </c>
      <c r="CH290" s="0" t="n">
        <v>0.369246612504527</v>
      </c>
      <c r="CI290" s="0" t="e">
        <v>#N/A</v>
      </c>
      <c r="CN290" s="0" t="n">
        <v>0.533660435872292</v>
      </c>
      <c r="CO290" s="0" t="n">
        <v>0.352438583275812</v>
      </c>
      <c r="CP290" s="0" t="e">
        <v>#N/A</v>
      </c>
      <c r="CU290" s="0" t="n">
        <v>0.123685479424581</v>
      </c>
      <c r="CV290" s="0" t="n">
        <v>0.415397045602328</v>
      </c>
      <c r="DC290" s="14" t="s">
        <v>409</v>
      </c>
      <c r="DJ290" s="14" t="s">
        <v>410</v>
      </c>
      <c r="DQ290" s="14" t="s">
        <v>411</v>
      </c>
      <c r="DX290" s="14" t="s">
        <v>412</v>
      </c>
    </row>
    <row r="291" customFormat="false" ht="12.8" hidden="false" customHeight="false" outlineLevel="0" collapsed="false">
      <c r="A291" s="0" t="str">
        <f aca="false">A19</f>
        <v>N-MS13-conti = [SC98] 88</v>
      </c>
      <c r="K291" s="8" t="s">
        <v>241</v>
      </c>
      <c r="L291" s="8" t="n">
        <f aca="false">Z19</f>
        <v>65.6</v>
      </c>
      <c r="M291" s="8" t="s">
        <v>350</v>
      </c>
      <c r="BZ291" s="0" t="n">
        <v>26.9741764507397</v>
      </c>
      <c r="CA291" s="0" t="n">
        <v>35</v>
      </c>
      <c r="CB291" s="0" t="e">
        <v>#N/A</v>
      </c>
      <c r="CG291" s="0" t="n">
        <v>12.3885884063473</v>
      </c>
      <c r="CH291" s="0" t="n">
        <v>35</v>
      </c>
      <c r="CI291" s="0" t="e">
        <v>#N/A</v>
      </c>
      <c r="CN291" s="0" t="n">
        <v>20.0263034624435</v>
      </c>
      <c r="CO291" s="0" t="n">
        <v>35</v>
      </c>
      <c r="CP291" s="0" t="e">
        <v>#N/A</v>
      </c>
      <c r="CU291" s="0" t="n">
        <v>5.08114056624457</v>
      </c>
      <c r="CV291" s="0" t="n">
        <v>36</v>
      </c>
      <c r="DC291" s="0" t="s">
        <v>78</v>
      </c>
      <c r="DD291" s="0" t="s">
        <v>79</v>
      </c>
      <c r="DJ291" s="0" t="s">
        <v>78</v>
      </c>
      <c r="DK291" s="0" t="s">
        <v>79</v>
      </c>
      <c r="DQ291" s="0" t="s">
        <v>78</v>
      </c>
      <c r="DR291" s="0" t="s">
        <v>79</v>
      </c>
      <c r="DX291" s="0" t="s">
        <v>78</v>
      </c>
      <c r="DY291" s="0" t="s">
        <v>79</v>
      </c>
    </row>
    <row r="292" customFormat="false" ht="12.8" hidden="false" customHeight="false" outlineLevel="0" collapsed="false">
      <c r="A292" s="0" t="str">
        <f aca="false">A20</f>
        <v>N-Tol0505-conti</v>
      </c>
      <c r="K292" s="8" t="s">
        <v>241</v>
      </c>
      <c r="L292" s="8" t="n">
        <f aca="false">Z20</f>
        <v>122.6</v>
      </c>
      <c r="M292" s="8" t="s">
        <v>350</v>
      </c>
      <c r="BZ292" s="0" t="n">
        <v>5.50631975505023</v>
      </c>
      <c r="CA292" s="0" t="n">
        <v>3.57232762562196</v>
      </c>
      <c r="CB292" s="0" t="e">
        <v>#N/A</v>
      </c>
      <c r="CG292" s="0" t="n">
        <v>3.378196125767</v>
      </c>
      <c r="CH292" s="0" t="n">
        <v>4.77200712961238</v>
      </c>
      <c r="CI292" s="0" t="e">
        <v>#N/A</v>
      </c>
      <c r="CN292" s="0" t="n">
        <v>4.97505266085116</v>
      </c>
      <c r="CO292" s="0" t="n">
        <v>4.34745342435114</v>
      </c>
      <c r="CP292" s="0" t="e">
        <v>#N/A</v>
      </c>
      <c r="CU292" s="0" t="n">
        <v>0.876774713987753</v>
      </c>
      <c r="CV292" s="0" t="n">
        <v>6.21196939782512</v>
      </c>
    </row>
    <row r="293" customFormat="false" ht="12.8" hidden="false" customHeight="false" outlineLevel="0" collapsed="false">
      <c r="A293" s="0" t="str">
        <f aca="false">A21</f>
        <v>N-Tol0528-conti  $</v>
      </c>
      <c r="K293" s="8" t="s">
        <v>241</v>
      </c>
      <c r="L293" s="8" t="n">
        <f aca="false">Z21</f>
        <v>49.8</v>
      </c>
      <c r="M293" s="8" t="s">
        <v>350</v>
      </c>
      <c r="DC293" s="0" t="s">
        <v>84</v>
      </c>
      <c r="DJ293" s="0" t="s">
        <v>84</v>
      </c>
      <c r="DQ293" s="0" t="s">
        <v>84</v>
      </c>
      <c r="DX293" s="0" t="s">
        <v>84</v>
      </c>
    </row>
    <row r="294" customFormat="false" ht="12.8" hidden="false" customHeight="false" outlineLevel="0" collapsed="false">
      <c r="A294" s="0" t="str">
        <f aca="false">A22</f>
        <v>N-Tol0610-conti</v>
      </c>
      <c r="K294" s="8" t="s">
        <v>241</v>
      </c>
      <c r="L294" s="8" t="n">
        <f aca="false">Z22</f>
        <v>25.7</v>
      </c>
      <c r="M294" s="8" t="s">
        <v>350</v>
      </c>
      <c r="BZ294" s="0" t="s">
        <v>100</v>
      </c>
      <c r="CG294" s="0" t="s">
        <v>100</v>
      </c>
      <c r="CN294" s="0" t="s">
        <v>100</v>
      </c>
      <c r="CU294" s="0" t="s">
        <v>100</v>
      </c>
      <c r="DC294" s="0" t="e">
        <f aca="false" t="array" ref="DC294:DG298">LINEST($BE$138:$BE$153 , $BL$138:$BO$153 , 1 , 1)</f>
        <v>#VALUE!</v>
      </c>
      <c r="DD294" s="0" t="e">
        <v>#VALUE!</v>
      </c>
      <c r="DE294" s="0" t="e">
        <v>#VALUE!</v>
      </c>
      <c r="DF294" s="0" t="e">
        <v>#VALUE!</v>
      </c>
      <c r="DG294" s="0" t="e">
        <v>#VALUE!</v>
      </c>
      <c r="DJ294" s="0" t="n">
        <f aca="false" t="array" ref="DJ294:DN298">LINEST($BF$138:$BF$153 , $BL$138:$BO$153 , 1 , 1)</f>
        <v>1.12764221900528</v>
      </c>
      <c r="DK294" s="0" t="n">
        <v>0.459110689477662</v>
      </c>
      <c r="DL294" s="0" t="n">
        <v>1.78145487292554</v>
      </c>
      <c r="DM294" s="0" t="n">
        <v>-0.125553670508441</v>
      </c>
      <c r="DN294" s="0" t="n">
        <v>34.6684664844742</v>
      </c>
      <c r="DQ294" s="0" t="n">
        <f aca="false" t="array" ref="DQ294:DU298">LINEST($BG$138:$BG$153 , $BL$138:$BO$153 , 1 , 1)</f>
        <v>0.866127618464711</v>
      </c>
      <c r="DR294" s="0" t="n">
        <v>0.417386166752742</v>
      </c>
      <c r="DS294" s="0" t="n">
        <v>1.49773350489966</v>
      </c>
      <c r="DT294" s="0" t="n">
        <v>-0.106344655841574</v>
      </c>
      <c r="DU294" s="0" t="n">
        <v>36.183522693018</v>
      </c>
      <c r="DX294" s="0" t="n">
        <f aca="false" t="array" ref="DX294:EB298">LINEST($BH$138:$BH$153 , $BL$138:$BO$153 , 1 , 1)</f>
        <v>0.576133065177615</v>
      </c>
      <c r="DY294" s="0" t="n">
        <v>0.54047946590033</v>
      </c>
      <c r="DZ294" s="0" t="n">
        <v>1.55555762535713</v>
      </c>
      <c r="EA294" s="0" t="n">
        <v>0.340073474627204</v>
      </c>
      <c r="EB294" s="0" t="n">
        <v>32.806412294668</v>
      </c>
    </row>
    <row r="295" customFormat="false" ht="12.8" hidden="false" customHeight="false" outlineLevel="0" collapsed="false">
      <c r="A295" s="0" t="str">
        <f aca="false">A23</f>
        <v>N-Tol0633-conti  &amp;</v>
      </c>
      <c r="K295" s="8" t="s">
        <v>241</v>
      </c>
      <c r="L295" s="8" t="n">
        <f aca="false">Z23</f>
        <v>71.1</v>
      </c>
      <c r="M295" s="8" t="s">
        <v>350</v>
      </c>
      <c r="BZ295" s="0" t="s">
        <v>103</v>
      </c>
      <c r="CA295" s="0" t="n">
        <f aca="false">$BZ$290</f>
        <v>0.60651323089966</v>
      </c>
      <c r="CG295" s="0" t="s">
        <v>103</v>
      </c>
      <c r="CH295" s="0" t="n">
        <f aca="false">$CG$290</f>
        <v>0.414492254967664</v>
      </c>
      <c r="CN295" s="0" t="s">
        <v>103</v>
      </c>
      <c r="CO295" s="0" t="n">
        <f aca="false">$CN$290</f>
        <v>0.533660435872292</v>
      </c>
      <c r="CU295" s="0" t="s">
        <v>103</v>
      </c>
      <c r="CV295" s="0" t="n">
        <f aca="false">$CU$290</f>
        <v>0.123685479424581</v>
      </c>
      <c r="DC295" s="0" t="e">
        <v>#VALUE!</v>
      </c>
      <c r="DD295" s="0" t="e">
        <v>#VALUE!</v>
      </c>
      <c r="DE295" s="0" t="e">
        <v>#VALUE!</v>
      </c>
      <c r="DF295" s="0" t="e">
        <v>#VALUE!</v>
      </c>
      <c r="DG295" s="0" t="e">
        <v>#VALUE!</v>
      </c>
      <c r="DJ295" s="0" t="n">
        <v>0.420051869001849</v>
      </c>
      <c r="DK295" s="0" t="n">
        <v>0.249996406252239</v>
      </c>
      <c r="DL295" s="0" t="n">
        <v>0.730548869450736</v>
      </c>
      <c r="DM295" s="0" t="n">
        <v>0.433187643438598</v>
      </c>
      <c r="DN295" s="0" t="n">
        <v>3.10125507408632</v>
      </c>
      <c r="DQ295" s="0" t="n">
        <v>0.345573297656778</v>
      </c>
      <c r="DR295" s="0" t="n">
        <v>0.205670034789322</v>
      </c>
      <c r="DS295" s="0" t="n">
        <v>0.601016685190397</v>
      </c>
      <c r="DT295" s="0" t="n">
        <v>0.356379993744501</v>
      </c>
      <c r="DU295" s="0" t="n">
        <v>2.55137763194218</v>
      </c>
      <c r="DX295" s="0" t="n">
        <v>0.452265685165751</v>
      </c>
      <c r="DY295" s="0" t="n">
        <v>0.269168653460144</v>
      </c>
      <c r="DZ295" s="0" t="n">
        <v>0.786574728912224</v>
      </c>
      <c r="EA295" s="0" t="n">
        <v>0.466408843342708</v>
      </c>
      <c r="EB295" s="0" t="n">
        <v>3.33909060871061</v>
      </c>
    </row>
    <row r="296" customFormat="false" ht="12.8" hidden="false" customHeight="false" outlineLevel="0" collapsed="false">
      <c r="A296" s="0" t="str">
        <f aca="false">A24</f>
        <v>N-Tol0645-conti &amp;</v>
      </c>
      <c r="K296" s="8" t="s">
        <v>241</v>
      </c>
      <c r="L296" s="8" t="n">
        <f aca="false">Z24</f>
        <v>110.9</v>
      </c>
      <c r="M296" s="8" t="s">
        <v>350</v>
      </c>
      <c r="BZ296" s="0" t="s">
        <v>106</v>
      </c>
      <c r="CA296" s="0" t="n">
        <f aca="false">$CA$290</f>
        <v>0.319478486895752</v>
      </c>
      <c r="CG296" s="0" t="s">
        <v>106</v>
      </c>
      <c r="CH296" s="0" t="n">
        <f aca="false">$CH$290</f>
        <v>0.369246612504527</v>
      </c>
      <c r="CN296" s="0" t="s">
        <v>106</v>
      </c>
      <c r="CO296" s="0" t="n">
        <f aca="false">$CO$290</f>
        <v>0.352438583275812</v>
      </c>
      <c r="CU296" s="0" t="s">
        <v>106</v>
      </c>
      <c r="CV296" s="0" t="n">
        <f aca="false">$CV$290</f>
        <v>0.415397045602328</v>
      </c>
      <c r="DC296" s="0" t="e">
        <v>#VALUE!</v>
      </c>
      <c r="DD296" s="0" t="e">
        <v>#VALUE!</v>
      </c>
      <c r="DE296" s="0" t="e">
        <v>#VALUE!</v>
      </c>
      <c r="DF296" s="0" t="e">
        <v>#VALUE!</v>
      </c>
      <c r="DG296" s="0" t="e">
        <v>#VALUE!</v>
      </c>
      <c r="DJ296" s="0" t="n">
        <v>0.675574741323142</v>
      </c>
      <c r="DK296" s="0" t="n">
        <v>0.288409282283777</v>
      </c>
      <c r="DL296" s="0" t="e">
        <v>#N/A</v>
      </c>
      <c r="DM296" s="0" t="e">
        <v>#N/A</v>
      </c>
      <c r="DN296" s="0" t="e">
        <v>#N/A</v>
      </c>
      <c r="DQ296" s="0" t="n">
        <v>0.678512880072692</v>
      </c>
      <c r="DR296" s="0" t="n">
        <v>0.237271999266335</v>
      </c>
      <c r="DS296" s="0" t="e">
        <v>#N/A</v>
      </c>
      <c r="DT296" s="0" t="e">
        <v>#N/A</v>
      </c>
      <c r="DU296" s="0" t="e">
        <v>#N/A</v>
      </c>
      <c r="DX296" s="0" t="n">
        <v>0.621810482243932</v>
      </c>
      <c r="DY296" s="0" t="n">
        <v>0.310527416459754</v>
      </c>
      <c r="DZ296" s="0" t="e">
        <v>#N/A</v>
      </c>
      <c r="EA296" s="0" t="e">
        <v>#N/A</v>
      </c>
      <c r="EB296" s="0" t="e">
        <v>#N/A</v>
      </c>
    </row>
    <row r="297" customFormat="false" ht="12.8" hidden="false" customHeight="false" outlineLevel="0" collapsed="false">
      <c r="A297" s="0" t="str">
        <f aca="false">A25</f>
        <v>N-Tol0957-conti</v>
      </c>
      <c r="K297" s="8" t="s">
        <v>241</v>
      </c>
      <c r="L297" s="8" t="n">
        <f aca="false">Z25</f>
        <v>18.8</v>
      </c>
      <c r="M297" s="8" t="s">
        <v>350</v>
      </c>
      <c r="BZ297" s="0" t="s">
        <v>109</v>
      </c>
      <c r="CA297" s="0" t="n">
        <f aca="false">2</f>
        <v>2</v>
      </c>
      <c r="CG297" s="0" t="s">
        <v>109</v>
      </c>
      <c r="CH297" s="0" t="n">
        <f aca="false">2</f>
        <v>2</v>
      </c>
      <c r="CN297" s="0" t="s">
        <v>109</v>
      </c>
      <c r="CO297" s="0" t="n">
        <f aca="false">2</f>
        <v>2</v>
      </c>
      <c r="CU297" s="0" t="s">
        <v>109</v>
      </c>
      <c r="CV297" s="0" t="n">
        <f aca="false">1</f>
        <v>1</v>
      </c>
      <c r="DC297" s="0" t="e">
        <v>#VALUE!</v>
      </c>
      <c r="DD297" s="0" t="e">
        <v>#VALUE!</v>
      </c>
      <c r="DE297" s="0" t="e">
        <v>#VALUE!</v>
      </c>
      <c r="DF297" s="0" t="e">
        <v>#VALUE!</v>
      </c>
      <c r="DG297" s="0" t="e">
        <v>#VALUE!</v>
      </c>
      <c r="DJ297" s="0" t="n">
        <v>5.72652865012932</v>
      </c>
      <c r="DK297" s="0" t="n">
        <v>11</v>
      </c>
      <c r="DL297" s="0" t="e">
        <v>#N/A</v>
      </c>
      <c r="DM297" s="0" t="e">
        <v>#N/A</v>
      </c>
      <c r="DN297" s="0" t="e">
        <v>#N/A</v>
      </c>
      <c r="DQ297" s="0" t="n">
        <v>5.80399743735242</v>
      </c>
      <c r="DR297" s="0" t="n">
        <v>11</v>
      </c>
      <c r="DS297" s="0" t="e">
        <v>#N/A</v>
      </c>
      <c r="DT297" s="0" t="e">
        <v>#N/A</v>
      </c>
      <c r="DU297" s="0" t="e">
        <v>#N/A</v>
      </c>
      <c r="DX297" s="0" t="n">
        <v>4.52148657190904</v>
      </c>
      <c r="DY297" s="0" t="n">
        <v>11</v>
      </c>
      <c r="DZ297" s="0" t="e">
        <v>#N/A</v>
      </c>
      <c r="EA297" s="0" t="e">
        <v>#N/A</v>
      </c>
      <c r="EB297" s="0" t="e">
        <v>#N/A</v>
      </c>
    </row>
    <row r="298" customFormat="false" ht="12.8" hidden="false" customHeight="false" outlineLevel="0" collapsed="false">
      <c r="A298" s="0" t="str">
        <f aca="false">A26</f>
        <v>N-Tol1004-conti Ha</v>
      </c>
      <c r="K298" s="8" t="s">
        <v>241</v>
      </c>
      <c r="L298" s="8" t="n">
        <f aca="false">Z26</f>
        <v>20.2</v>
      </c>
      <c r="M298" s="8" t="s">
        <v>350</v>
      </c>
      <c r="BZ298" s="0" t="s">
        <v>112</v>
      </c>
      <c r="CA298" s="0" t="n">
        <f aca="false">38</f>
        <v>38</v>
      </c>
      <c r="CG298" s="0" t="s">
        <v>112</v>
      </c>
      <c r="CH298" s="0" t="n">
        <f aca="false">38</f>
        <v>38</v>
      </c>
      <c r="CN298" s="0" t="s">
        <v>112</v>
      </c>
      <c r="CO298" s="0" t="n">
        <f aca="false">38</f>
        <v>38</v>
      </c>
      <c r="CU298" s="0" t="s">
        <v>112</v>
      </c>
      <c r="CV298" s="0" t="n">
        <f aca="false">38</f>
        <v>38</v>
      </c>
      <c r="DC298" s="0" t="e">
        <v>#VALUE!</v>
      </c>
      <c r="DD298" s="0" t="e">
        <v>#VALUE!</v>
      </c>
      <c r="DE298" s="0" t="e">
        <v>#VALUE!</v>
      </c>
      <c r="DF298" s="0" t="e">
        <v>#VALUE!</v>
      </c>
      <c r="DG298" s="0" t="e">
        <v>#VALUE!</v>
      </c>
      <c r="DJ298" s="0" t="n">
        <v>1.90532864500628</v>
      </c>
      <c r="DK298" s="0" t="n">
        <v>0.914979055181878</v>
      </c>
      <c r="DL298" s="0" t="e">
        <v>#N/A</v>
      </c>
      <c r="DM298" s="0" t="e">
        <v>#N/A</v>
      </c>
      <c r="DN298" s="0" t="e">
        <v>#N/A</v>
      </c>
      <c r="DQ298" s="0" t="n">
        <v>1.30701382889</v>
      </c>
      <c r="DR298" s="0" t="n">
        <v>0.619278017994283</v>
      </c>
      <c r="DS298" s="0" t="e">
        <v>#N/A</v>
      </c>
      <c r="DT298" s="0" t="e">
        <v>#N/A</v>
      </c>
      <c r="DU298" s="0" t="e">
        <v>#N/A</v>
      </c>
      <c r="DX298" s="0" t="n">
        <v>1.74397854114819</v>
      </c>
      <c r="DY298" s="0" t="n">
        <v>1.06070004010486</v>
      </c>
      <c r="DZ298" s="0" t="e">
        <v>#N/A</v>
      </c>
      <c r="EA298" s="0" t="e">
        <v>#N/A</v>
      </c>
      <c r="EB298" s="0" t="e">
        <v>#N/A</v>
      </c>
    </row>
    <row r="299" customFormat="false" ht="12.8" hidden="false" customHeight="false" outlineLevel="0" collapsed="false">
      <c r="A299" s="0" t="str">
        <f aca="false">A27</f>
        <v>N-Tol1025-conti  &amp;</v>
      </c>
      <c r="K299" s="8" t="s">
        <v>241</v>
      </c>
      <c r="L299" s="8" t="n">
        <f aca="false">Z27</f>
        <v>134.5</v>
      </c>
      <c r="M299" s="8" t="s">
        <v>350</v>
      </c>
      <c r="BZ299" s="0" t="s">
        <v>115</v>
      </c>
      <c r="CA299" s="0" t="n">
        <f aca="false">1 - (1 - $BZ$290)*($CA$298 - 1)/($CA$298 - $CA$297 - 1)</f>
        <v>0.584028272665355</v>
      </c>
      <c r="CG299" s="0" t="s">
        <v>115</v>
      </c>
      <c r="CH299" s="0" t="n">
        <f aca="false">1 - (1 - $CG$290)*($CH$298 - 1)/($CH$298 - $CH$297 - 1)</f>
        <v>0.381034669537245</v>
      </c>
      <c r="CN299" s="0" t="s">
        <v>115</v>
      </c>
      <c r="CO299" s="0" t="n">
        <f aca="false">1 - (1 - $CN$290)*($CO$298 - 1)/($CO$298 - $CO$297 - 1)</f>
        <v>0.507012460779281</v>
      </c>
      <c r="CU299" s="0" t="s">
        <v>115</v>
      </c>
      <c r="CV299" s="0" t="n">
        <f aca="false">1 - (1 - $CU$290)*($CV$298 - 1)/($CV$298 - $CV$297 - 1)</f>
        <v>0.0993434094085974</v>
      </c>
    </row>
    <row r="300" customFormat="false" ht="12.8" hidden="false" customHeight="false" outlineLevel="0" collapsed="false">
      <c r="A300" s="0" t="str">
        <f aca="false">A28</f>
        <v>N-Tol1147-conti</v>
      </c>
      <c r="K300" s="8" t="s">
        <v>241</v>
      </c>
      <c r="L300" s="8" t="n">
        <f aca="false">Z28</f>
        <v>31.2</v>
      </c>
      <c r="M300" s="8" t="s">
        <v>350</v>
      </c>
      <c r="DC300" s="0" t="s">
        <v>100</v>
      </c>
      <c r="DJ300" s="0" t="s">
        <v>100</v>
      </c>
      <c r="DQ300" s="0" t="s">
        <v>100</v>
      </c>
      <c r="DX300" s="0" t="s">
        <v>100</v>
      </c>
    </row>
    <row r="301" customFormat="false" ht="12.8" hidden="false" customHeight="false" outlineLevel="0" collapsed="false">
      <c r="A301" s="0" t="str">
        <f aca="false">A29</f>
        <v>N-Tol1223-conti2 – 2stars</v>
      </c>
      <c r="K301" s="8" t="s">
        <v>241</v>
      </c>
      <c r="L301" s="8" t="n">
        <f aca="false">Z29</f>
        <v>44.2</v>
      </c>
      <c r="M301" s="8" t="s">
        <v>350</v>
      </c>
      <c r="BZ301" s="0" t="s">
        <v>120</v>
      </c>
      <c r="CG301" s="0" t="s">
        <v>120</v>
      </c>
      <c r="CN301" s="0" t="s">
        <v>120</v>
      </c>
      <c r="CU301" s="0" t="s">
        <v>120</v>
      </c>
      <c r="DC301" s="0" t="s">
        <v>103</v>
      </c>
      <c r="DD301" s="0" t="e">
        <f aca="false">$DC$296</f>
        <v>#VALUE!</v>
      </c>
      <c r="DJ301" s="0" t="s">
        <v>103</v>
      </c>
      <c r="DK301" s="0" t="n">
        <f aca="false">$DJ$296</f>
        <v>0.675574741323142</v>
      </c>
      <c r="DQ301" s="0" t="s">
        <v>103</v>
      </c>
      <c r="DR301" s="0" t="n">
        <f aca="false">$DQ$296</f>
        <v>0.678512880072692</v>
      </c>
      <c r="DX301" s="0" t="s">
        <v>103</v>
      </c>
      <c r="DY301" s="0" t="n">
        <f aca="false">$DX$296</f>
        <v>0.621810482243932</v>
      </c>
    </row>
    <row r="302" customFormat="false" ht="12.8" hidden="false" customHeight="false" outlineLevel="0" collapsed="false">
      <c r="A302" s="0" t="str">
        <f aca="false">A30</f>
        <v>N-Tol1345-conti2 – star</v>
      </c>
      <c r="K302" s="8" t="s">
        <v>241</v>
      </c>
      <c r="L302" s="8" t="n">
        <f aca="false">Z30</f>
        <v>37.5</v>
      </c>
      <c r="M302" s="8" t="s">
        <v>350</v>
      </c>
      <c r="CA302" s="0" t="s">
        <v>123</v>
      </c>
      <c r="CB302" s="0" t="s">
        <v>124</v>
      </c>
      <c r="CC302" s="0" t="s">
        <v>125</v>
      </c>
      <c r="CD302" s="0" t="s">
        <v>126</v>
      </c>
      <c r="CE302" s="0" t="s">
        <v>127</v>
      </c>
      <c r="CH302" s="0" t="s">
        <v>123</v>
      </c>
      <c r="CI302" s="0" t="s">
        <v>124</v>
      </c>
      <c r="CJ302" s="0" t="s">
        <v>125</v>
      </c>
      <c r="CK302" s="0" t="s">
        <v>126</v>
      </c>
      <c r="CL302" s="0" t="s">
        <v>127</v>
      </c>
      <c r="CO302" s="0" t="s">
        <v>123</v>
      </c>
      <c r="CP302" s="0" t="s">
        <v>124</v>
      </c>
      <c r="CQ302" s="0" t="s">
        <v>125</v>
      </c>
      <c r="CR302" s="0" t="s">
        <v>126</v>
      </c>
      <c r="CS302" s="0" t="s">
        <v>127</v>
      </c>
      <c r="CV302" s="0" t="s">
        <v>123</v>
      </c>
      <c r="CW302" s="0" t="s">
        <v>124</v>
      </c>
      <c r="CX302" s="0" t="s">
        <v>125</v>
      </c>
      <c r="CY302" s="0" t="s">
        <v>126</v>
      </c>
      <c r="CZ302" s="0" t="s">
        <v>127</v>
      </c>
      <c r="DC302" s="0" t="s">
        <v>106</v>
      </c>
      <c r="DD302" s="0" t="e">
        <f aca="false">$DD$296</f>
        <v>#VALUE!</v>
      </c>
      <c r="DJ302" s="0" t="s">
        <v>106</v>
      </c>
      <c r="DK302" s="0" t="n">
        <f aca="false">$DK$296</f>
        <v>0.288409282283777</v>
      </c>
      <c r="DQ302" s="0" t="s">
        <v>106</v>
      </c>
      <c r="DR302" s="0" t="n">
        <f aca="false">$DR$296</f>
        <v>0.237271999266335</v>
      </c>
      <c r="DX302" s="0" t="s">
        <v>106</v>
      </c>
      <c r="DY302" s="0" t="n">
        <f aca="false">$DY$296</f>
        <v>0.310527416459754</v>
      </c>
    </row>
    <row r="303" customFormat="false" ht="12.8" hidden="false" customHeight="false" outlineLevel="0" collapsed="false">
      <c r="A303" s="0" t="str">
        <f aca="false">A31</f>
        <v>N-Tol1924-conti – star Ha</v>
      </c>
      <c r="K303" s="8" t="s">
        <v>241</v>
      </c>
      <c r="L303" s="8" t="n">
        <f aca="false">Z31</f>
        <v>38.4</v>
      </c>
      <c r="M303" s="8" t="s">
        <v>350</v>
      </c>
      <c r="BZ303" s="0" t="s">
        <v>130</v>
      </c>
      <c r="CA303" s="0" t="n">
        <f aca="false">$CA$297</f>
        <v>2</v>
      </c>
      <c r="CB303" s="0" t="n">
        <f aca="false">$BZ$292</f>
        <v>5.50631975505023</v>
      </c>
      <c r="CC303" s="0" t="n">
        <f aca="false">$BZ$292 / $CA$303</f>
        <v>2.75315987752511</v>
      </c>
      <c r="CD303" s="0" t="n">
        <f aca="false">$BZ$291</f>
        <v>26.9741764507397</v>
      </c>
      <c r="CE303" s="0" t="n">
        <f aca="false">FDIST($BZ$291 , $CA$303 , $CA$291)</f>
        <v>8.15224725290451E-008</v>
      </c>
      <c r="CG303" s="0" t="s">
        <v>130</v>
      </c>
      <c r="CH303" s="0" t="n">
        <f aca="false">$CH$297</f>
        <v>2</v>
      </c>
      <c r="CI303" s="0" t="n">
        <f aca="false">$CG$292</f>
        <v>3.378196125767</v>
      </c>
      <c r="CJ303" s="0" t="n">
        <f aca="false">$CG$292 / $CH$303</f>
        <v>1.6890980628835</v>
      </c>
      <c r="CK303" s="0" t="n">
        <f aca="false">$CG$291</f>
        <v>12.3885884063473</v>
      </c>
      <c r="CL303" s="0" t="n">
        <f aca="false">FDIST($CG$291 , $CH$303 , $CH$291)</f>
        <v>8.54714898725802E-005</v>
      </c>
      <c r="CN303" s="0" t="s">
        <v>130</v>
      </c>
      <c r="CO303" s="0" t="n">
        <f aca="false">$CO$297</f>
        <v>2</v>
      </c>
      <c r="CP303" s="0" t="n">
        <f aca="false">$CN$292</f>
        <v>4.97505266085116</v>
      </c>
      <c r="CQ303" s="0" t="n">
        <f aca="false">$CN$292 / $CO$303</f>
        <v>2.48752633042558</v>
      </c>
      <c r="CR303" s="0" t="n">
        <f aca="false">$CN$291</f>
        <v>20.0263034624435</v>
      </c>
      <c r="CS303" s="0" t="n">
        <f aca="false">FDIST($CN$291 , $CO$303 , $CO$291)</f>
        <v>1.59327078529454E-006</v>
      </c>
      <c r="CU303" s="0" t="s">
        <v>130</v>
      </c>
      <c r="CV303" s="0" t="n">
        <f aca="false">$CV$297</f>
        <v>1</v>
      </c>
      <c r="CW303" s="0" t="n">
        <f aca="false">$CU$292</f>
        <v>0.876774713987753</v>
      </c>
      <c r="CX303" s="0" t="n">
        <f aca="false">$CU$292 / $CV$303</f>
        <v>0.876774713987753</v>
      </c>
      <c r="CY303" s="0" t="n">
        <f aca="false">$CU$291</f>
        <v>5.08114056624457</v>
      </c>
      <c r="CZ303" s="0" t="n">
        <f aca="false">FDIST($CU$291 , $CV$303 , $CV$291)</f>
        <v>0.0303693330158603</v>
      </c>
      <c r="DC303" s="0" t="s">
        <v>109</v>
      </c>
      <c r="DD303" s="0" t="n">
        <f aca="false">4</f>
        <v>4</v>
      </c>
      <c r="DJ303" s="0" t="s">
        <v>109</v>
      </c>
      <c r="DK303" s="0" t="n">
        <f aca="false">4</f>
        <v>4</v>
      </c>
      <c r="DQ303" s="0" t="s">
        <v>109</v>
      </c>
      <c r="DR303" s="0" t="n">
        <f aca="false">4</f>
        <v>4</v>
      </c>
      <c r="DX303" s="0" t="s">
        <v>109</v>
      </c>
      <c r="DY303" s="0" t="n">
        <f aca="false">4</f>
        <v>4</v>
      </c>
    </row>
    <row r="304" customFormat="false" ht="12.8" hidden="false" customHeight="false" outlineLevel="0" collapsed="false">
      <c r="A304" s="0" t="str">
        <f aca="false">A32</f>
        <v>N-Tol1937-conti</v>
      </c>
      <c r="K304" s="8" t="s">
        <v>241</v>
      </c>
      <c r="L304" s="8" t="n">
        <f aca="false">Z32</f>
        <v>37.4</v>
      </c>
      <c r="M304" s="8" t="s">
        <v>350</v>
      </c>
      <c r="BZ304" s="0" t="s">
        <v>133</v>
      </c>
      <c r="CA304" s="0" t="n">
        <f aca="false">$CA$291</f>
        <v>35</v>
      </c>
      <c r="CB304" s="0" t="n">
        <f aca="false">$CA$292</f>
        <v>3.57232762562196</v>
      </c>
      <c r="CC304" s="0" t="n">
        <f aca="false">$CA$292 / $CA$291</f>
        <v>0.102066503589199</v>
      </c>
      <c r="CG304" s="0" t="s">
        <v>133</v>
      </c>
      <c r="CH304" s="0" t="n">
        <f aca="false">$CH$291</f>
        <v>35</v>
      </c>
      <c r="CI304" s="0" t="n">
        <f aca="false">$CH$292</f>
        <v>4.77200712961238</v>
      </c>
      <c r="CJ304" s="0" t="n">
        <f aca="false">$CH$292 / $CH$291</f>
        <v>0.136343060846068</v>
      </c>
      <c r="CN304" s="0" t="s">
        <v>133</v>
      </c>
      <c r="CO304" s="0" t="n">
        <f aca="false">$CO$291</f>
        <v>35</v>
      </c>
      <c r="CP304" s="0" t="n">
        <f aca="false">$CO$292</f>
        <v>4.34745342435114</v>
      </c>
      <c r="CQ304" s="0" t="n">
        <f aca="false">$CO$292 / $CO$291</f>
        <v>0.124212954981461</v>
      </c>
      <c r="CU304" s="0" t="s">
        <v>133</v>
      </c>
      <c r="CV304" s="0" t="n">
        <f aca="false">$CV$291</f>
        <v>36</v>
      </c>
      <c r="CW304" s="0" t="n">
        <f aca="false">$CV$292</f>
        <v>6.21196939782512</v>
      </c>
      <c r="CX304" s="0" t="n">
        <f aca="false">$CV$292 / $CV$291</f>
        <v>0.172554705495142</v>
      </c>
      <c r="DC304" s="0" t="s">
        <v>112</v>
      </c>
      <c r="DD304" s="0" t="n">
        <f aca="false">16</f>
        <v>16</v>
      </c>
      <c r="DJ304" s="0" t="s">
        <v>112</v>
      </c>
      <c r="DK304" s="0" t="n">
        <f aca="false">16</f>
        <v>16</v>
      </c>
      <c r="DQ304" s="0" t="s">
        <v>112</v>
      </c>
      <c r="DR304" s="0" t="n">
        <f aca="false">16</f>
        <v>16</v>
      </c>
      <c r="DX304" s="0" t="s">
        <v>112</v>
      </c>
      <c r="DY304" s="0" t="n">
        <f aca="false">16</f>
        <v>16</v>
      </c>
    </row>
    <row r="305" customFormat="false" ht="12.8" hidden="false" customHeight="false" outlineLevel="0" collapsed="false">
      <c r="A305" s="0" t="str">
        <f aca="false">A33</f>
        <v>N-Tol2019-conti – star</v>
      </c>
      <c r="K305" s="8" t="s">
        <v>241</v>
      </c>
      <c r="L305" s="8" t="n">
        <f aca="false">Z33</f>
        <v>60.6</v>
      </c>
      <c r="M305" s="8" t="s">
        <v>350</v>
      </c>
      <c r="BZ305" s="0" t="s">
        <v>136</v>
      </c>
      <c r="CA305" s="0" t="n">
        <f aca="false">$CA$303 + $CA$291</f>
        <v>37</v>
      </c>
      <c r="CB305" s="0" t="n">
        <f aca="false">$BZ$292 + $CA$292</f>
        <v>9.07864738067219</v>
      </c>
      <c r="CG305" s="0" t="s">
        <v>136</v>
      </c>
      <c r="CH305" s="0" t="n">
        <f aca="false">$CH$303 + $CH$291</f>
        <v>37</v>
      </c>
      <c r="CI305" s="0" t="n">
        <f aca="false">$CG$292 + $CH$292</f>
        <v>8.15020325537938</v>
      </c>
      <c r="CN305" s="0" t="s">
        <v>136</v>
      </c>
      <c r="CO305" s="0" t="n">
        <f aca="false">$CO$303 + $CO$291</f>
        <v>37</v>
      </c>
      <c r="CP305" s="0" t="n">
        <f aca="false">$CN$292 + $CO$292</f>
        <v>9.32250608520231</v>
      </c>
      <c r="CU305" s="0" t="s">
        <v>136</v>
      </c>
      <c r="CV305" s="0" t="n">
        <f aca="false">$CV$303 + $CV$291</f>
        <v>37</v>
      </c>
      <c r="CW305" s="0" t="n">
        <f aca="false">$CU$292 + $CV$292</f>
        <v>7.08874411181287</v>
      </c>
      <c r="DC305" s="0" t="s">
        <v>115</v>
      </c>
      <c r="DD305" s="0" t="e">
        <f aca="false">1 - (1 - $DC$296)*($DD$304 - 1)/($DD$304 - $DD$303 - 1)</f>
        <v>#VALUE!</v>
      </c>
      <c r="DJ305" s="0" t="s">
        <v>115</v>
      </c>
      <c r="DK305" s="0" t="n">
        <f aca="false">1 - (1 - $DJ$296)*($DK$304 - 1)/($DK$304 - $DK$303 - 1)</f>
        <v>0.557601919986103</v>
      </c>
      <c r="DQ305" s="0" t="s">
        <v>115</v>
      </c>
      <c r="DR305" s="0" t="n">
        <f aca="false">1 - (1 - $DQ$296)*($DR$304 - 1)/($DR$304 - $DR$303 - 1)</f>
        <v>0.561608472826398</v>
      </c>
      <c r="DX305" s="0" t="s">
        <v>115</v>
      </c>
      <c r="DY305" s="0" t="n">
        <f aca="false">1 - (1 - $DX$296)*($DY$304 - 1)/($DY$304 - $DY$303 - 1)</f>
        <v>0.484287021241726</v>
      </c>
    </row>
    <row r="306" customFormat="false" ht="12.8" hidden="false" customHeight="false" outlineLevel="0" collapsed="false">
      <c r="A306" s="0" t="str">
        <f aca="false">A34</f>
        <v>N-Tol2041-conti – star Ha</v>
      </c>
      <c r="K306" s="8" t="s">
        <v>241</v>
      </c>
      <c r="L306" s="8" t="n">
        <f aca="false">Z34</f>
        <v>106</v>
      </c>
      <c r="M306" s="8" t="s">
        <v>350</v>
      </c>
    </row>
    <row r="307" customFormat="false" ht="12.8" hidden="false" customHeight="false" outlineLevel="0" collapsed="false">
      <c r="A307" s="0" t="str">
        <f aca="false">A35</f>
        <v>N-UM439-conti</v>
      </c>
      <c r="K307" s="8" t="s">
        <v>241</v>
      </c>
      <c r="L307" s="8" t="n">
        <f aca="false">Z35</f>
        <v>21.3</v>
      </c>
      <c r="M307" s="8" t="s">
        <v>350</v>
      </c>
      <c r="BZ307" s="0" t="s">
        <v>141</v>
      </c>
      <c r="CA307" s="0" t="n">
        <v>0.95</v>
      </c>
      <c r="CG307" s="0" t="s">
        <v>141</v>
      </c>
      <c r="CH307" s="0" t="n">
        <v>0.95</v>
      </c>
      <c r="CN307" s="0" t="s">
        <v>141</v>
      </c>
      <c r="CO307" s="0" t="n">
        <v>0.95</v>
      </c>
      <c r="CU307" s="0" t="s">
        <v>141</v>
      </c>
      <c r="CV307" s="0" t="n">
        <v>0.95</v>
      </c>
      <c r="DC307" s="0" t="s">
        <v>120</v>
      </c>
      <c r="DJ307" s="0" t="s">
        <v>120</v>
      </c>
      <c r="DQ307" s="0" t="s">
        <v>120</v>
      </c>
      <c r="DX307" s="0" t="s">
        <v>120</v>
      </c>
    </row>
    <row r="308" customFormat="false" ht="12.8" hidden="false" customHeight="false" outlineLevel="0" collapsed="false">
      <c r="A308" s="0" t="str">
        <f aca="false">A36</f>
        <v>N-UM455-conti – star</v>
      </c>
      <c r="K308" s="8" t="s">
        <v>241</v>
      </c>
      <c r="L308" s="8" t="n">
        <f aca="false">Z36</f>
        <v>60.3</v>
      </c>
      <c r="M308" s="8" t="s">
        <v>350</v>
      </c>
      <c r="DD308" s="0" t="s">
        <v>123</v>
      </c>
      <c r="DE308" s="0" t="s">
        <v>124</v>
      </c>
      <c r="DF308" s="0" t="s">
        <v>125</v>
      </c>
      <c r="DG308" s="0" t="s">
        <v>126</v>
      </c>
      <c r="DH308" s="0" t="s">
        <v>127</v>
      </c>
      <c r="DK308" s="0" t="s">
        <v>123</v>
      </c>
      <c r="DL308" s="0" t="s">
        <v>124</v>
      </c>
      <c r="DM308" s="0" t="s">
        <v>125</v>
      </c>
      <c r="DN308" s="0" t="s">
        <v>126</v>
      </c>
      <c r="DO308" s="0" t="s">
        <v>127</v>
      </c>
      <c r="DR308" s="0" t="s">
        <v>123</v>
      </c>
      <c r="DS308" s="0" t="s">
        <v>124</v>
      </c>
      <c r="DT308" s="0" t="s">
        <v>125</v>
      </c>
      <c r="DU308" s="0" t="s">
        <v>126</v>
      </c>
      <c r="DV308" s="0" t="s">
        <v>127</v>
      </c>
      <c r="DY308" s="0" t="s">
        <v>123</v>
      </c>
      <c r="DZ308" s="0" t="s">
        <v>124</v>
      </c>
      <c r="EA308" s="0" t="s">
        <v>125</v>
      </c>
      <c r="EB308" s="0" t="s">
        <v>126</v>
      </c>
      <c r="EC308" s="0" t="s">
        <v>127</v>
      </c>
    </row>
    <row r="309" customFormat="false" ht="12.8" hidden="false" customHeight="false" outlineLevel="0" collapsed="false">
      <c r="A309" s="0" t="str">
        <f aca="false">A37</f>
        <v>N-UM456-conti</v>
      </c>
      <c r="K309" s="8" t="s">
        <v>241</v>
      </c>
      <c r="L309" s="8" t="n">
        <f aca="false">Z37</f>
        <v>29.3</v>
      </c>
      <c r="M309" s="8" t="s">
        <v>350</v>
      </c>
      <c r="CA309" s="0" t="s">
        <v>146</v>
      </c>
      <c r="CB309" s="0" t="s">
        <v>106</v>
      </c>
      <c r="CC309" s="0" t="s">
        <v>147</v>
      </c>
      <c r="CD309" s="0" t="s">
        <v>148</v>
      </c>
      <c r="CE309" s="0" t="str">
        <f aca="false">_xlfn.CONCAT("Lower " , INT($CA$307 * 100) , "%")</f>
        <v>Lower 95%</v>
      </c>
      <c r="CF309" s="0" t="str">
        <f aca="false">_xlfn.CONCAT("Upper " , INT($CA$307 * 100) , "%")</f>
        <v>Upper 95%</v>
      </c>
      <c r="CH309" s="0" t="s">
        <v>146</v>
      </c>
      <c r="CI309" s="0" t="s">
        <v>106</v>
      </c>
      <c r="CJ309" s="0" t="s">
        <v>147</v>
      </c>
      <c r="CK309" s="0" t="s">
        <v>148</v>
      </c>
      <c r="CL309" s="0" t="str">
        <f aca="false">_xlfn.CONCAT("Lower " , INT($CH$307 * 100) , "%")</f>
        <v>Lower 95%</v>
      </c>
      <c r="CM309" s="0" t="str">
        <f aca="false">_xlfn.CONCAT("Upper " , INT($CH$307 * 100) , "%")</f>
        <v>Upper 95%</v>
      </c>
      <c r="CO309" s="0" t="s">
        <v>146</v>
      </c>
      <c r="CP309" s="0" t="s">
        <v>106</v>
      </c>
      <c r="CQ309" s="0" t="s">
        <v>147</v>
      </c>
      <c r="CR309" s="0" t="s">
        <v>148</v>
      </c>
      <c r="CS309" s="0" t="str">
        <f aca="false">_xlfn.CONCAT("Lower " , INT($CO$307 * 100) , "%")</f>
        <v>Lower 95%</v>
      </c>
      <c r="CT309" s="0" t="str">
        <f aca="false">_xlfn.CONCAT("Upper " , INT($CO$307 * 100) , "%")</f>
        <v>Upper 95%</v>
      </c>
      <c r="CV309" s="0" t="s">
        <v>146</v>
      </c>
      <c r="CW309" s="0" t="s">
        <v>106</v>
      </c>
      <c r="CX309" s="0" t="s">
        <v>147</v>
      </c>
      <c r="CY309" s="0" t="s">
        <v>148</v>
      </c>
      <c r="CZ309" s="0" t="str">
        <f aca="false">_xlfn.CONCAT("Lower " , INT($CV$307 * 100) , "%")</f>
        <v>Lower 95%</v>
      </c>
      <c r="DA309" s="0" t="str">
        <f aca="false">_xlfn.CONCAT("Upper " , INT($CV$307 * 100) , "%")</f>
        <v>Upper 95%</v>
      </c>
      <c r="DC309" s="0" t="s">
        <v>130</v>
      </c>
      <c r="DD309" s="0" t="n">
        <f aca="false">$DD$303</f>
        <v>4</v>
      </c>
      <c r="DE309" s="0" t="e">
        <f aca="false">$DC$298</f>
        <v>#VALUE!</v>
      </c>
      <c r="DF309" s="0" t="e">
        <f aca="false">$DC$298 / $DD$309</f>
        <v>#VALUE!</v>
      </c>
      <c r="DG309" s="0" t="e">
        <f aca="false">$DC$297</f>
        <v>#VALUE!</v>
      </c>
      <c r="DH309" s="0" t="e">
        <f aca="false">FDIST($DC$297 , $DD$309 , $DD$297)</f>
        <v>#VALUE!</v>
      </c>
      <c r="DJ309" s="0" t="s">
        <v>130</v>
      </c>
      <c r="DK309" s="0" t="n">
        <f aca="false">$DK$303</f>
        <v>4</v>
      </c>
      <c r="DL309" s="0" t="n">
        <f aca="false">$DJ$298</f>
        <v>1.90532864500628</v>
      </c>
      <c r="DM309" s="0" t="n">
        <f aca="false">$DJ$298 / $DK$309</f>
        <v>0.476332161251571</v>
      </c>
      <c r="DN309" s="0" t="n">
        <f aca="false">$DJ$297</f>
        <v>5.72652865012932</v>
      </c>
      <c r="DO309" s="0" t="n">
        <f aca="false">FDIST($DJ$297 , $DK$309 , $DK$297)</f>
        <v>0.00965324239985949</v>
      </c>
      <c r="DQ309" s="0" t="s">
        <v>130</v>
      </c>
      <c r="DR309" s="0" t="n">
        <f aca="false">$DR$303</f>
        <v>4</v>
      </c>
      <c r="DS309" s="0" t="n">
        <f aca="false">$DQ$298</f>
        <v>1.30701382889</v>
      </c>
      <c r="DT309" s="0" t="n">
        <f aca="false">$DQ$298 / $DR$309</f>
        <v>0.3267534572225</v>
      </c>
      <c r="DU309" s="0" t="n">
        <f aca="false">$DQ$297</f>
        <v>5.80399743735242</v>
      </c>
      <c r="DV309" s="0" t="n">
        <f aca="false">FDIST($DQ$297 , $DR$309 , $DR$297)</f>
        <v>0.00921357068003012</v>
      </c>
      <c r="DX309" s="0" t="s">
        <v>130</v>
      </c>
      <c r="DY309" s="0" t="n">
        <f aca="false">$DY$303</f>
        <v>4</v>
      </c>
      <c r="DZ309" s="0" t="n">
        <f aca="false">$DX$298</f>
        <v>1.74397854114819</v>
      </c>
      <c r="EA309" s="0" t="n">
        <f aca="false">$DX$298 / $DY$309</f>
        <v>0.435994635287048</v>
      </c>
      <c r="EB309" s="0" t="n">
        <f aca="false">$DX$297</f>
        <v>4.52148657190904</v>
      </c>
      <c r="EC309" s="0" t="n">
        <f aca="false">FDIST($DX$297 , $DY$309 , $DY$297)</f>
        <v>0.0210290807640041</v>
      </c>
    </row>
    <row r="310" customFormat="false" ht="12.8" hidden="false" customHeight="false" outlineLevel="0" collapsed="false">
      <c r="A310" s="0" t="str">
        <f aca="false">A38</f>
        <v>N-UM461-conti</v>
      </c>
      <c r="K310" s="8" t="s">
        <v>241</v>
      </c>
      <c r="L310" s="8" t="n">
        <f aca="false">Z38</f>
        <v>20</v>
      </c>
      <c r="M310" s="8" t="s">
        <v>350</v>
      </c>
      <c r="BZ310" s="0" t="str">
        <f aca="false">"Intercept"</f>
        <v>Intercept</v>
      </c>
      <c r="CA310" s="0" t="n">
        <f aca="false" t="array" ref="CA310:CA312">INDEX($BZ$288:$CB$288, 1 , 313 - ROW())</f>
        <v>35.7332799820453</v>
      </c>
      <c r="CB310" s="0" t="n">
        <f aca="false" t="array" ref="CB310:CB312">INDEX($BZ$289:$CB$289, 1 , 313 - ROW())</f>
        <v>0.596163117880086</v>
      </c>
      <c r="CC310" s="0" t="n">
        <f aca="false" t="array" ref="CC310:CC312">$CA$310:$CA$312 / $CB$310:$CB$312</f>
        <v>59.9387632517595</v>
      </c>
      <c r="CD310" s="0" t="n">
        <f aca="false" t="array" ref="CD310:CD312">TDIST(ABS($CC$310:$CC$312) , $CA$291 , 2 )</f>
        <v>7.18672062991291E-037</v>
      </c>
      <c r="CE310" s="0" t="n">
        <f aca="false" t="array" ref="CE310:CE312">$CA$310:$CA$312 - $CB$310:$CB$312 * TINV(1 - $CA$307 , $CA$291)</f>
        <v>34.5230045099065</v>
      </c>
      <c r="CF310" s="0" t="n">
        <f aca="false" t="array" ref="CF310:CF312">$CA$310:$CA$312 + $CB$310:$CB$312 * TINV(1 - $CA$307 , $CA$291)</f>
        <v>36.9435554541841</v>
      </c>
      <c r="CG310" s="0" t="str">
        <f aca="false">"Intercept"</f>
        <v>Intercept</v>
      </c>
      <c r="CH310" s="0" t="n">
        <f aca="false" t="array" ref="CH310:CH312">INDEX($CG$288:$CI$288, 1 , 313 - ROW())</f>
        <v>37.1455248117655</v>
      </c>
      <c r="CI310" s="0" t="n">
        <f aca="false" t="array" ref="CI310:CI312">INDEX($CG$289:$CI$289, 1 , 313 - ROW())</f>
        <v>0.689032973444591</v>
      </c>
      <c r="CJ310" s="0" t="n">
        <f aca="false" t="array" ref="CJ310:CJ312">$CH$310:$CH$312 / $CI$310:$CI$312</f>
        <v>53.9096476414892</v>
      </c>
      <c r="CK310" s="0" t="n">
        <f aca="false" t="array" ref="CK310:CK312">TDIST(ABS($CJ$310:$CJ$312) , $CH$291 , 2 )</f>
        <v>2.82581765893226E-035</v>
      </c>
      <c r="CL310" s="0" t="n">
        <f aca="false" t="array" ref="CL310:CL312">$CH$310:$CH$312 - $CI$310:$CI$312 * TINV(1 - $CH$307 , $CH$291)</f>
        <v>35.7467135095497</v>
      </c>
      <c r="CM310" s="0" t="n">
        <f aca="false" t="array" ref="CM310:CM312">$CH$310:$CH$312 + $CI$310:$CI$312 * TINV(1 - $CH$307 , $CH$291)</f>
        <v>38.5443361139813</v>
      </c>
      <c r="CN310" s="0" t="str">
        <f aca="false">"Intercept"</f>
        <v>Intercept</v>
      </c>
      <c r="CO310" s="0" t="n">
        <f aca="false" t="array" ref="CO310:CO312">INDEX($CN$288:$CP$288, 1 , 313 - ROW())</f>
        <v>36.2571756139432</v>
      </c>
      <c r="CP310" s="0" t="n">
        <f aca="false" t="array" ref="CP310:CP312">INDEX($CN$289:$CP$289, 1 , 313 - ROW())</f>
        <v>0.657668335381559</v>
      </c>
      <c r="CQ310" s="0" t="n">
        <f aca="false" t="array" ref="CQ310:CQ312">$CO$310:$CO$312 / $CP$310:$CP$312</f>
        <v>55.129878790512</v>
      </c>
      <c r="CR310" s="0" t="n">
        <f aca="false" t="array" ref="CR310:CR312">TDIST(ABS($CQ$310:$CQ$312) , $CO$291 , 2 )</f>
        <v>1.30250191061929E-035</v>
      </c>
      <c r="CS310" s="0" t="n">
        <f aca="false" t="array" ref="CS310:CS312">$CO$310:$CO$312 - $CP$310:$CP$312 * TINV(1 - $CO$307 , $CO$291)</f>
        <v>34.9220379121259</v>
      </c>
      <c r="CT310" s="0" t="n">
        <f aca="false" t="array" ref="CT310:CT312">$CO$310:$CO$312 + $CP$310:$CP$312 * TINV(1 - $CO$307 , $CO$291)</f>
        <v>37.5923133157605</v>
      </c>
      <c r="CU310" s="0" t="str">
        <f aca="false">"Intercept"</f>
        <v>Intercept</v>
      </c>
      <c r="CV310" s="0" t="n">
        <f aca="false" t="array" ref="CV310:CV311">INDEX($CU$288:$CV$288, 1 , 312 - ROW())</f>
        <v>2.6651378527421</v>
      </c>
      <c r="CW310" s="0" t="n">
        <f aca="false" t="array" ref="CW310:CW311">INDEX($CU$289:$CV$289, 1 , 312 - ROW())</f>
        <v>0.46276446233924</v>
      </c>
      <c r="CX310" s="0" t="n">
        <f aca="false" t="array" ref="CX310:CX311">$CV$310:$CV$311 / $CW$310:$CW$311</f>
        <v>5.75916707015492</v>
      </c>
      <c r="CY310" s="0" t="n">
        <f aca="false" t="array" ref="CY310:CY311">TDIST(ABS($CX$310:$CX$311) , $CV$291 , 2 )</f>
        <v>1.45832683865385E-006</v>
      </c>
      <c r="CZ310" s="0" t="n">
        <f aca="false" t="array" ref="CZ310:CZ311">$CV$310:$CV$311 - $CW$310:$CW$311 * TINV(1 - $CV$307 , $CV$291)</f>
        <v>1.72660802280494</v>
      </c>
      <c r="DA310" s="0" t="n">
        <f aca="false" t="array" ref="DA310:DA311">$CV$310:$CV$311 + $CW$310:$CW$311 * TINV(1 - $CV$307 , $CV$291)</f>
        <v>3.60366768267925</v>
      </c>
      <c r="DC310" s="0" t="s">
        <v>133</v>
      </c>
      <c r="DD310" s="0" t="e">
        <f aca="false">$DD$297</f>
        <v>#VALUE!</v>
      </c>
      <c r="DE310" s="0" t="e">
        <f aca="false">$DD$298</f>
        <v>#VALUE!</v>
      </c>
      <c r="DF310" s="0" t="e">
        <f aca="false">$DD$298 / $DD$297</f>
        <v>#VALUE!</v>
      </c>
      <c r="DJ310" s="0" t="s">
        <v>133</v>
      </c>
      <c r="DK310" s="0" t="n">
        <f aca="false">$DK$297</f>
        <v>11</v>
      </c>
      <c r="DL310" s="0" t="n">
        <f aca="false">$DK$298</f>
        <v>0.914979055181878</v>
      </c>
      <c r="DM310" s="0" t="n">
        <f aca="false">$DK$298 / $DK$297</f>
        <v>0.0831799141074434</v>
      </c>
      <c r="DQ310" s="0" t="s">
        <v>133</v>
      </c>
      <c r="DR310" s="0" t="n">
        <f aca="false">$DR$297</f>
        <v>11</v>
      </c>
      <c r="DS310" s="0" t="n">
        <f aca="false">$DR$298</f>
        <v>0.619278017994283</v>
      </c>
      <c r="DT310" s="0" t="n">
        <f aca="false">$DR$298 / $DR$297</f>
        <v>0.0562980016358439</v>
      </c>
      <c r="DX310" s="0" t="s">
        <v>133</v>
      </c>
      <c r="DY310" s="0" t="n">
        <f aca="false">$DY$297</f>
        <v>11</v>
      </c>
      <c r="DZ310" s="0" t="n">
        <f aca="false">$DY$298</f>
        <v>1.06070004010486</v>
      </c>
      <c r="EA310" s="0" t="n">
        <f aca="false">$DY$298 / $DY$297</f>
        <v>0.0964272763731695</v>
      </c>
    </row>
    <row r="311" customFormat="false" ht="12.8" hidden="false" customHeight="false" outlineLevel="0" collapsed="false">
      <c r="A311" s="0" t="str">
        <f aca="false">A39</f>
        <v>N-UM463-conti $</v>
      </c>
      <c r="K311" s="8" t="s">
        <v>241</v>
      </c>
      <c r="L311" s="8" t="n">
        <f aca="false">Z39</f>
        <v>24.9</v>
      </c>
      <c r="M311" s="8" t="s">
        <v>350</v>
      </c>
      <c r="BS311" s="24"/>
      <c r="BZ311" s="24" t="str">
        <f aca="false">$BK$94</f>
        <v>log (Whβ) FEROS</v>
      </c>
      <c r="CA311" s="0" t="n">
        <v>0.126496308380099</v>
      </c>
      <c r="CB311" s="0" t="n">
        <v>0.121266134223776</v>
      </c>
      <c r="CC311" s="0" t="n">
        <v>1.04312971787054</v>
      </c>
      <c r="CD311" s="0" t="n">
        <v>0.304040002551665</v>
      </c>
      <c r="CE311" s="0" t="n">
        <v>-0.119687032135859</v>
      </c>
      <c r="CF311" s="0" t="n">
        <v>0.372679648896058</v>
      </c>
      <c r="CG311" s="24" t="str">
        <f aca="false">$BK$94</f>
        <v>log (Whβ) FEROS</v>
      </c>
      <c r="CH311" s="0" t="n">
        <v>0.0751543333169943</v>
      </c>
      <c r="CI311" s="0" t="n">
        <v>0.14015688414181</v>
      </c>
      <c r="CJ311" s="0" t="n">
        <v>0.536215782600828</v>
      </c>
      <c r="CK311" s="0" t="n">
        <v>0.595201295126567</v>
      </c>
      <c r="CL311" s="0" t="n">
        <v>-0.209379268378159</v>
      </c>
      <c r="CM311" s="0" t="n">
        <v>0.359687935012148</v>
      </c>
      <c r="CN311" s="24" t="str">
        <f aca="false">$BK$94</f>
        <v>log (Whβ) FEROS</v>
      </c>
      <c r="CO311" s="0" t="n">
        <v>0.0969718907626339</v>
      </c>
      <c r="CP311" s="0" t="n">
        <v>0.133776971840699</v>
      </c>
      <c r="CQ311" s="0" t="n">
        <v>0.724877304579053</v>
      </c>
      <c r="CR311" s="0" t="n">
        <v>0.473345893889849</v>
      </c>
      <c r="CS311" s="0" t="n">
        <v>-0.174609800388493</v>
      </c>
      <c r="CT311" s="0" t="n">
        <v>0.36855358191376</v>
      </c>
      <c r="CU311" s="0" t="str">
        <f aca="false">$BM$94</f>
        <v>log(O/H)</v>
      </c>
      <c r="CV311" s="0" t="n">
        <v>-0.130852942458238</v>
      </c>
      <c r="CW311" s="0" t="n">
        <v>0.0580500887695269</v>
      </c>
      <c r="CX311" s="0" t="n">
        <v>-2.25413854193671</v>
      </c>
      <c r="CY311" s="0" t="n">
        <v>0.0303693330158603</v>
      </c>
      <c r="CZ311" s="0" t="n">
        <v>-0.248583979248098</v>
      </c>
      <c r="DA311" s="0" t="n">
        <v>-0.0131219056683781</v>
      </c>
      <c r="DC311" s="0" t="s">
        <v>136</v>
      </c>
      <c r="DD311" s="0" t="e">
        <f aca="false">$DD$309 + $DD$297</f>
        <v>#VALUE!</v>
      </c>
      <c r="DE311" s="0" t="e">
        <f aca="false">$DC$298 + $DD$298</f>
        <v>#VALUE!</v>
      </c>
      <c r="DJ311" s="0" t="s">
        <v>136</v>
      </c>
      <c r="DK311" s="0" t="n">
        <f aca="false">$DK$309 + $DK$297</f>
        <v>15</v>
      </c>
      <c r="DL311" s="0" t="n">
        <f aca="false">$DJ$298 + $DK$298</f>
        <v>2.82030770018816</v>
      </c>
      <c r="DQ311" s="0" t="s">
        <v>136</v>
      </c>
      <c r="DR311" s="0" t="n">
        <f aca="false">$DR$309 + $DR$297</f>
        <v>15</v>
      </c>
      <c r="DS311" s="0" t="n">
        <f aca="false">$DQ$298 + $DR$298</f>
        <v>1.92629184688428</v>
      </c>
      <c r="DX311" s="0" t="s">
        <v>136</v>
      </c>
      <c r="DY311" s="0" t="n">
        <f aca="false">$DY$309 + $DY$297</f>
        <v>15</v>
      </c>
      <c r="DZ311" s="0" t="n">
        <f aca="false">$DX$298 + $DY$298</f>
        <v>2.80467858125305</v>
      </c>
    </row>
    <row r="312" customFormat="false" ht="12.8" hidden="false" customHeight="false" outlineLevel="0" collapsed="false">
      <c r="A312" s="0" t="str">
        <f aca="false">A40</f>
        <v>N-UM483-conti</v>
      </c>
      <c r="K312" s="8" t="s">
        <v>241</v>
      </c>
      <c r="L312" s="8" t="n">
        <f aca="false">Z40</f>
        <v>38.4</v>
      </c>
      <c r="M312" s="8" t="s">
        <v>350</v>
      </c>
      <c r="BS312" s="24"/>
      <c r="BZ312" s="24" t="str">
        <f aca="false">$BL$94</f>
        <v>log (σHβ) (Km s-¹)</v>
      </c>
      <c r="CA312" s="0" t="n">
        <v>2.86323275530589</v>
      </c>
      <c r="CB312" s="0" t="n">
        <v>0.389824320497522</v>
      </c>
      <c r="CC312" s="0" t="n">
        <v>7.34493104907263</v>
      </c>
      <c r="CD312" s="0" t="n">
        <v>1.37837537400516E-008</v>
      </c>
      <c r="CE312" s="0" t="n">
        <v>2.07184731163907</v>
      </c>
      <c r="CF312" s="0" t="n">
        <v>3.65461819897272</v>
      </c>
      <c r="CG312" s="24" t="str">
        <f aca="false">$BL$94</f>
        <v>log (σHβ) (Km s-¹)</v>
      </c>
      <c r="CH312" s="0" t="n">
        <v>2.24115085467981</v>
      </c>
      <c r="CI312" s="0" t="n">
        <v>0.450550868743028</v>
      </c>
      <c r="CJ312" s="0" t="n">
        <v>4.97424599564596</v>
      </c>
      <c r="CK312" s="0" t="n">
        <v>1.7340201979712E-005</v>
      </c>
      <c r="CL312" s="0" t="n">
        <v>1.32648396396451</v>
      </c>
      <c r="CM312" s="0" t="n">
        <v>3.15581774539511</v>
      </c>
      <c r="CN312" s="24" t="str">
        <f aca="false">$BL$94</f>
        <v>log (σHβ) (Km s-¹)</v>
      </c>
      <c r="CO312" s="0" t="n">
        <v>2.72036854247562</v>
      </c>
      <c r="CP312" s="0" t="n">
        <v>0.430041886630801</v>
      </c>
      <c r="CQ312" s="0" t="n">
        <v>6.32582226765997</v>
      </c>
      <c r="CR312" s="0" t="n">
        <v>2.88078035259852E-007</v>
      </c>
      <c r="CS312" s="0" t="n">
        <v>1.8473370989467</v>
      </c>
      <c r="CT312" s="0" t="n">
        <v>3.59339998600455</v>
      </c>
    </row>
    <row r="313" customFormat="false" ht="12.8" hidden="false" customHeight="false" outlineLevel="0" collapsed="false">
      <c r="A313" s="0" t="str">
        <f aca="false">A41</f>
        <v>N-UM559-conti</v>
      </c>
      <c r="K313" s="8" t="s">
        <v>241</v>
      </c>
      <c r="L313" s="8" t="n">
        <f aca="false">Z41</f>
        <v>22.5</v>
      </c>
      <c r="M313" s="8" t="s">
        <v>350</v>
      </c>
      <c r="CU313" s="0" t="str">
        <f aca="false">$BM$94</f>
        <v>log(O/H)</v>
      </c>
      <c r="CV313" s="0" t="s">
        <v>157</v>
      </c>
      <c r="CW313" s="0" t="str">
        <f aca="false">$BK$94</f>
        <v>log (Whβ) FEROS</v>
      </c>
      <c r="CX313" s="0" t="s">
        <v>133</v>
      </c>
      <c r="CY313" s="26" t="s">
        <v>158</v>
      </c>
      <c r="DC313" s="0" t="s">
        <v>141</v>
      </c>
      <c r="DD313" s="0" t="n">
        <v>0.95</v>
      </c>
      <c r="DJ313" s="0" t="s">
        <v>141</v>
      </c>
      <c r="DK313" s="0" t="n">
        <v>0.95</v>
      </c>
      <c r="DQ313" s="0" t="s">
        <v>141</v>
      </c>
      <c r="DR313" s="0" t="n">
        <v>0.95</v>
      </c>
      <c r="DX313" s="0" t="s">
        <v>141</v>
      </c>
      <c r="DY313" s="0" t="n">
        <v>0.95</v>
      </c>
    </row>
    <row r="314" customFormat="false" ht="12.8" hidden="false" customHeight="false" outlineLevel="0" collapsed="false">
      <c r="K314" s="8"/>
      <c r="L314" s="8"/>
      <c r="M314" s="8"/>
      <c r="BZ314" s="0" t="str">
        <f aca="false">$BK$94</f>
        <v>log (Whβ) FEROS</v>
      </c>
      <c r="CA314" s="0" t="str">
        <f aca="false">$BL$94</f>
        <v>log (σHβ) (Km s-¹)</v>
      </c>
      <c r="CB314" s="0" t="s">
        <v>157</v>
      </c>
      <c r="CC314" s="0" t="str">
        <f aca="false">$BG$94</f>
        <v>log (LHβ) (erg s-¹) KTC</v>
      </c>
      <c r="CD314" s="0" t="s">
        <v>133</v>
      </c>
      <c r="CE314" s="26" t="s">
        <v>158</v>
      </c>
      <c r="CG314" s="0" t="str">
        <f aca="false">$BK$94</f>
        <v>log (Whβ) FEROS</v>
      </c>
      <c r="CH314" s="0" t="str">
        <f aca="false">$BL$94</f>
        <v>log (σHβ) (Km s-¹)</v>
      </c>
      <c r="CI314" s="0" t="s">
        <v>157</v>
      </c>
      <c r="CJ314" s="0" t="str">
        <f aca="false">$BH$94</f>
        <v>log (LHβ) (erg s-¹) NTT</v>
      </c>
      <c r="CK314" s="0" t="s">
        <v>133</v>
      </c>
      <c r="CL314" s="26" t="s">
        <v>158</v>
      </c>
      <c r="CN314" s="0" t="str">
        <f aca="false">$BK$94</f>
        <v>log (Whβ) FEROS</v>
      </c>
      <c r="CO314" s="0" t="str">
        <f aca="false">$BL$94</f>
        <v>log (σHβ) (Km s-¹)</v>
      </c>
      <c r="CP314" s="0" t="s">
        <v>157</v>
      </c>
      <c r="CQ314" s="0" t="str">
        <f aca="false">$BI$94</f>
        <v>log(LHβ) B.K (erg s-¹) NTT</v>
      </c>
      <c r="CR314" s="0" t="s">
        <v>133</v>
      </c>
      <c r="CS314" s="26" t="s">
        <v>158</v>
      </c>
      <c r="CU314" s="0" t="n">
        <f aca="false" t="array" ref="CU314:CU351">$BM$95:$BM$132</f>
        <v>7.73</v>
      </c>
      <c r="CV314" s="0" t="n">
        <f aca="false" t="array" ref="CV314:CV351">MMULT($CU$314:$CU$351 , $CV$311) + $CV$310</f>
        <v>1.65364460753991</v>
      </c>
      <c r="CW314" s="0" t="n">
        <f aca="false" t="array" ref="CW314:CW351">$BK$95:$BK$132</f>
        <v>1.64345267648619</v>
      </c>
      <c r="CX314" s="0" t="n">
        <f aca="false" t="array" ref="CX314:CX351">$CW$314:$CW$351 - $CV$314:$CV$351</f>
        <v>-0.0101919310537233</v>
      </c>
      <c r="CY314" s="20" t="n">
        <f aca="false">(CX314)^2</f>
        <v>0.000103875458603849</v>
      </c>
    </row>
    <row r="315" customFormat="false" ht="12.8" hidden="false" customHeight="false" outlineLevel="0" collapsed="false">
      <c r="K315" s="8"/>
      <c r="L315" s="8"/>
      <c r="M315" s="8"/>
      <c r="BZ315" s="0" t="n">
        <f aca="false" t="array" ref="BZ315:CA352">$BK$95:$BL$132</f>
        <v>1.64345267648619</v>
      </c>
      <c r="CA315" s="0" t="n">
        <v>1.18752072083646</v>
      </c>
      <c r="CB315" s="0" t="n">
        <f aca="false" t="array" ref="CB315:CB352">MMULT($BZ$315:$CA$352 , $CA$311:$CA$312) + $CA$310</f>
        <v>39.3413189041216</v>
      </c>
      <c r="CC315" s="0" t="n">
        <f aca="false" t="array" ref="CC315:CC352">$BG$95:$BG$132</f>
        <v>39.4693811697741</v>
      </c>
      <c r="CD315" s="0" t="n">
        <f aca="false" t="array" ref="CD315:CD352">$CC$315:$CC$352 - $CB$315:$CB$352</f>
        <v>0.128062265652517</v>
      </c>
      <c r="CE315" s="20" t="n">
        <f aca="false">(CD315)^2</f>
        <v>0.0163999438840558</v>
      </c>
      <c r="CG315" s="0" t="n">
        <f aca="false" t="array" ref="CG315:CH352">$BK$95:$BL$132</f>
        <v>1.64345267648619</v>
      </c>
      <c r="CH315" s="0" t="n">
        <v>1.18752072083646</v>
      </c>
      <c r="CI315" s="0" t="n">
        <f aca="false" t="array" ref="CI315:CI352">MMULT($CG$315:$CH$352 , $CH$311:$CH$312) + $CH$310</f>
        <v>39.9304504804575</v>
      </c>
      <c r="CJ315" s="0" t="n">
        <f aca="false" t="array" ref="CJ315:CJ352">$BH$95:$BH$132</f>
        <v>39.926839874903</v>
      </c>
      <c r="CK315" s="0" t="n">
        <f aca="false" t="array" ref="CK315:CK352">$CJ$315:$CJ$352 - $CI$315:$CI$352</f>
        <v>-0.003610605554492</v>
      </c>
      <c r="CL315" s="20" t="n">
        <f aca="false">(CK315)^2</f>
        <v>1.30364724701285E-005</v>
      </c>
      <c r="CN315" s="0" t="n">
        <f aca="false" t="array" ref="CN315:CO352">$BK$95:$BL$132</f>
        <v>1.64345267648619</v>
      </c>
      <c r="CO315" s="0" t="n">
        <v>1.18752072083646</v>
      </c>
      <c r="CP315" s="0" t="n">
        <f aca="false" t="array" ref="CP315:CP352">MMULT($CN$315:$CO$352 , $CO$311:$CO$312) + $CO$310</f>
        <v>39.6470383398624</v>
      </c>
      <c r="CQ315" s="0" t="n">
        <f aca="false" t="array" ref="CQ315:CQ352">$BI$95:$BI$132</f>
        <v>39.926839874903</v>
      </c>
      <c r="CR315" s="0" t="n">
        <f aca="false" t="array" ref="CR315:CR352">$CQ$315:$CQ$352 - $CP$315:$CP$352</f>
        <v>0.279801535040576</v>
      </c>
      <c r="CS315" s="20" t="n">
        <f aca="false">(CR315)^2</f>
        <v>0.0782888990110628</v>
      </c>
      <c r="CU315" s="0" t="n">
        <v>8.18</v>
      </c>
      <c r="CV315" s="0" t="n">
        <v>1.59476078343371</v>
      </c>
      <c r="CW315" s="0" t="n">
        <v>1.96848294855394</v>
      </c>
      <c r="CX315" s="0" t="n">
        <v>0.373722165120234</v>
      </c>
      <c r="CY315" s="20" t="n">
        <f aca="false">(CX315)^2</f>
        <v>0.139668256702155</v>
      </c>
      <c r="DD315" s="0" t="s">
        <v>146</v>
      </c>
      <c r="DE315" s="0" t="s">
        <v>106</v>
      </c>
      <c r="DF315" s="0" t="s">
        <v>147</v>
      </c>
      <c r="DG315" s="0" t="s">
        <v>148</v>
      </c>
      <c r="DH315" s="0" t="str">
        <f aca="false">_xlfn.CONCAT("Lower " , INT($DD$313 * 100) , "%")</f>
        <v>Lower 95%</v>
      </c>
      <c r="DI315" s="0" t="str">
        <f aca="false">_xlfn.CONCAT("Upper " , INT($DD$313 * 100) , "%")</f>
        <v>Upper 95%</v>
      </c>
      <c r="DK315" s="0" t="s">
        <v>146</v>
      </c>
      <c r="DL315" s="0" t="s">
        <v>106</v>
      </c>
      <c r="DM315" s="0" t="s">
        <v>147</v>
      </c>
      <c r="DN315" s="0" t="s">
        <v>148</v>
      </c>
      <c r="DO315" s="0" t="str">
        <f aca="false">_xlfn.CONCAT("Lower " , INT($DK$313 * 100) , "%")</f>
        <v>Lower 95%</v>
      </c>
      <c r="DP315" s="0" t="str">
        <f aca="false">_xlfn.CONCAT("Upper " , INT($DK$313 * 100) , "%")</f>
        <v>Upper 95%</v>
      </c>
      <c r="DR315" s="0" t="s">
        <v>146</v>
      </c>
      <c r="DS315" s="0" t="s">
        <v>106</v>
      </c>
      <c r="DT315" s="0" t="s">
        <v>147</v>
      </c>
      <c r="DU315" s="0" t="s">
        <v>148</v>
      </c>
      <c r="DV315" s="0" t="str">
        <f aca="false">_xlfn.CONCAT("Lower " , INT($DR$313 * 100) , "%")</f>
        <v>Lower 95%</v>
      </c>
      <c r="DW315" s="0" t="str">
        <f aca="false">_xlfn.CONCAT("Upper " , INT($DR$313 * 100) , "%")</f>
        <v>Upper 95%</v>
      </c>
      <c r="DY315" s="0" t="s">
        <v>146</v>
      </c>
      <c r="DZ315" s="0" t="s">
        <v>106</v>
      </c>
      <c r="EA315" s="0" t="s">
        <v>147</v>
      </c>
      <c r="EB315" s="0" t="s">
        <v>148</v>
      </c>
      <c r="EC315" s="0" t="str">
        <f aca="false">_xlfn.CONCAT("Lower " , INT($DY$313 * 100) , "%")</f>
        <v>Lower 95%</v>
      </c>
      <c r="ED315" s="0" t="str">
        <f aca="false">_xlfn.CONCAT("Upper " , INT($DY$313 * 100) , "%")</f>
        <v>Upper 95%</v>
      </c>
    </row>
    <row r="316" customFormat="false" ht="12.8" hidden="false" customHeight="false" outlineLevel="0" collapsed="false">
      <c r="K316" s="8"/>
      <c r="L316" s="8"/>
      <c r="M316" s="8"/>
      <c r="BZ316" s="0" t="n">
        <v>1.96848294855394</v>
      </c>
      <c r="CA316" s="0" t="n">
        <v>1.32633586092875</v>
      </c>
      <c r="CB316" s="0" t="n">
        <v>39.7798940896946</v>
      </c>
      <c r="CC316" s="0" t="n">
        <v>40.1317447055601</v>
      </c>
      <c r="CD316" s="0" t="n">
        <v>0.351850615865544</v>
      </c>
      <c r="CE316" s="20" t="n">
        <f aca="false">(CD316)^2</f>
        <v>0.123798855884963</v>
      </c>
      <c r="CG316" s="0" t="n">
        <v>1.96848294855394</v>
      </c>
      <c r="CH316" s="0" t="n">
        <v>1.32633586092875</v>
      </c>
      <c r="CI316" s="0" t="n">
        <v>40.2659835837229</v>
      </c>
      <c r="CJ316" s="0" t="n">
        <v>40.6654832485069</v>
      </c>
      <c r="CK316" s="0" t="n">
        <v>0.399499664783981</v>
      </c>
      <c r="CL316" s="20" t="n">
        <f aca="false">(CK316)^2</f>
        <v>0.159599982162513</v>
      </c>
      <c r="CN316" s="0" t="n">
        <v>1.96848294855394</v>
      </c>
      <c r="CO316" s="0" t="n">
        <v>1.32633586092875</v>
      </c>
      <c r="CP316" s="0" t="n">
        <v>40.0561854802263</v>
      </c>
      <c r="CQ316" s="0" t="n">
        <v>40.0250782651027</v>
      </c>
      <c r="CR316" s="0" t="n">
        <v>-0.0311072151236473</v>
      </c>
      <c r="CS316" s="20" t="n">
        <f aca="false">(CR316)^2</f>
        <v>0.000967658832748874</v>
      </c>
      <c r="CU316" s="0" t="n">
        <v>8.08</v>
      </c>
      <c r="CV316" s="0" t="n">
        <v>1.60784607767953</v>
      </c>
      <c r="CW316" s="0" t="n">
        <v>1.57978359661681</v>
      </c>
      <c r="CX316" s="0" t="n">
        <v>-0.0280624810627199</v>
      </c>
      <c r="CY316" s="20" t="n">
        <f aca="false">(CX316)^2</f>
        <v>0.000787502843395514</v>
      </c>
      <c r="DC316" s="0" t="str">
        <f aca="false">"Intercept"</f>
        <v>Intercept</v>
      </c>
      <c r="DD316" s="0" t="e">
        <f aca="false" t="array" ref="DD316:DD316">INDEX($DC$294:$DG$294, 1 , 321 - ROW())</f>
        <v>#VALUE!</v>
      </c>
      <c r="DE316" s="0" t="e">
        <f aca="false" t="array" ref="DE316:DE316">INDEX($DC$295:$DG$295, 1 , 321 - ROW())</f>
        <v>#VALUE!</v>
      </c>
      <c r="DF316" s="0" t="e">
        <f aca="false" t="array" ref="DF316:DF320">$DD$316:$DD$320 / $DE$316:$DE$320</f>
        <v>#VALUE!</v>
      </c>
      <c r="DG316" s="0" t="e">
        <f aca="false" t="array" ref="DG316:DG320">TDIST(ABS($DF$316:$DF$320) , $DD$297 , 2 )</f>
        <v>#VALUE!</v>
      </c>
      <c r="DH316" s="0" t="e">
        <f aca="false" t="array" ref="DH316:DH320">$DD$316:$DD$320 - $DE$316:$DE$320 * TINV(1 - $DD$313 , $DD$297)</f>
        <v>#VALUE!</v>
      </c>
      <c r="DI316" s="0" t="e">
        <f aca="false" t="array" ref="DI316:DI320">$DD$316:$DD$320 + $DE$316:$DE$320 * TINV(1 - $DD$313 , $DD$297)</f>
        <v>#VALUE!</v>
      </c>
      <c r="DJ316" s="0" t="str">
        <f aca="false">"Intercept"</f>
        <v>Intercept</v>
      </c>
      <c r="DK316" s="0" t="n">
        <f aca="false" t="array" ref="DK316:DK316">INDEX($DJ$294:$DN$294, 1 , 321 - ROW())</f>
        <v>34.6684664844742</v>
      </c>
      <c r="DL316" s="0" t="n">
        <f aca="false" t="array" ref="DL316:DL316">INDEX($DJ$295:$DN$295, 1 , 321 - ROW())</f>
        <v>3.10125507408632</v>
      </c>
      <c r="DM316" s="0" t="n">
        <f aca="false" t="array" ref="DM316:DM320">$DK$316:$DK$320 / $DL$316:$DL$320</f>
        <v>11.1788503867867</v>
      </c>
      <c r="DN316" s="0" t="n">
        <f aca="false" t="array" ref="DN316:DN320">TDIST(ABS($DM$316:$DM$320) , $DK$297 , 2 )</f>
        <v>2.40207711158097E-007</v>
      </c>
      <c r="DO316" s="0" t="n">
        <f aca="false" t="array" ref="DO316:DO320">$DK$316:$DK$320 - $DL$316:$DL$320 * TINV(1 - $DK$313 , $DK$297)</f>
        <v>27.8426500887513</v>
      </c>
      <c r="DP316" s="0" t="n">
        <f aca="false" t="array" ref="DP316:DP320">$DK$316:$DK$320 + $DL$316:$DL$320 * TINV(1 - $DK$313 , $DK$297)</f>
        <v>41.494282880197</v>
      </c>
      <c r="DQ316" s="0" t="str">
        <f aca="false">"Intercept"</f>
        <v>Intercept</v>
      </c>
      <c r="DR316" s="0" t="n">
        <f aca="false" t="array" ref="DR316:DR316">INDEX($DQ$294:$DU$294, 1 , 321 - ROW())</f>
        <v>36.183522693018</v>
      </c>
      <c r="DS316" s="0" t="n">
        <f aca="false" t="array" ref="DS316:DS316">INDEX($DQ$295:$DU$295, 1 , 321 - ROW())</f>
        <v>2.55137763194218</v>
      </c>
      <c r="DT316" s="0" t="n">
        <f aca="false" t="array" ref="DT316:DT320">$DR$316:$DR$320 / $DS$316:$DS$320</f>
        <v>14.1819549720964</v>
      </c>
      <c r="DU316" s="0" t="n">
        <f aca="false" t="array" ref="DU316:DU320">TDIST(ABS($DT$316:$DT$320) , $DR$297 , 2 )</f>
        <v>2.05357658359076E-008</v>
      </c>
      <c r="DV316" s="0" t="n">
        <f aca="false" t="array" ref="DV316:DV320">$DR$316:$DR$320 - $DS$316:$DS$320 * TINV(1 - $DR$313 , $DR$297)</f>
        <v>30.5679783873235</v>
      </c>
      <c r="DW316" s="0" t="n">
        <f aca="false" t="array" ref="DW316:DW320">$DR$316:$DR$320 + $DS$316:$DS$320 * TINV(1 - $DR$313 , $DR$297)</f>
        <v>41.7990669987125</v>
      </c>
      <c r="DX316" s="0" t="str">
        <f aca="false">"Intercept"</f>
        <v>Intercept</v>
      </c>
      <c r="DY316" s="0" t="n">
        <f aca="false" t="array" ref="DY316:DY316">INDEX($DX$294:$EB$294, 1 , 321 - ROW())</f>
        <v>32.806412294668</v>
      </c>
      <c r="DZ316" s="0" t="n">
        <f aca="false" t="array" ref="DZ316:DZ316">INDEX($DX$295:$EB$295, 1 , 321 - ROW())</f>
        <v>3.33909060871061</v>
      </c>
      <c r="EA316" s="0" t="n">
        <f aca="false" t="array" ref="EA316:EA320">$DY$316:$DY$320 / $DZ$316:$DZ$320</f>
        <v>9.82495419833372</v>
      </c>
      <c r="EB316" s="0" t="n">
        <f aca="false" t="array" ref="EB316:EB320">TDIST(ABS($EA$316:$EA$320) , $DY$297 , 2 )</f>
        <v>8.81727578231777E-007</v>
      </c>
      <c r="EC316" s="0" t="n">
        <f aca="false" t="array" ref="EC316:EC320">$DY$316:$DY$320 - $DZ$316:$DZ$320 * TINV(1 - $DY$313 , $DY$297)</f>
        <v>25.4571234166946</v>
      </c>
      <c r="ED316" s="0" t="n">
        <f aca="false" t="array" ref="ED316:ED320">$DY$316:$DY$320 + $DZ$316:$DZ$320 * TINV(1 - $DY$313 , $DY$297)</f>
        <v>40.1557011726414</v>
      </c>
    </row>
    <row r="317" customFormat="false" ht="12.8" hidden="false" customHeight="false" outlineLevel="0" collapsed="false">
      <c r="K317" s="8"/>
      <c r="L317" s="8"/>
      <c r="M317" s="8"/>
      <c r="BZ317" s="0" t="n">
        <v>1.57978359661681</v>
      </c>
      <c r="CA317" s="0" t="n">
        <v>1.52762990087134</v>
      </c>
      <c r="CB317" s="0" t="n">
        <v>40.3070767452163</v>
      </c>
      <c r="CC317" s="0" t="n">
        <v>39.9963150223595</v>
      </c>
      <c r="CD317" s="0" t="n">
        <v>-0.310761722856753</v>
      </c>
      <c r="CE317" s="20" t="n">
        <f aca="false">(CD317)^2</f>
        <v>0.0965728483928976</v>
      </c>
      <c r="CG317" s="0" t="n">
        <v>1.57978359661681</v>
      </c>
      <c r="CH317" s="0" t="n">
        <v>1.52762990087134</v>
      </c>
      <c r="CI317" s="0" t="n">
        <v>40.6879014527266</v>
      </c>
      <c r="CJ317" s="0" t="n">
        <v>40.4667860464016</v>
      </c>
      <c r="CK317" s="0" t="n">
        <v>-0.221115406325026</v>
      </c>
      <c r="CL317" s="20" t="n">
        <f aca="false">(CK317)^2</f>
        <v>0.0488920229142815</v>
      </c>
      <c r="CN317" s="0" t="n">
        <v>1.57978359661681</v>
      </c>
      <c r="CO317" s="0" t="n">
        <v>1.52762990087134</v>
      </c>
      <c r="CP317" s="0" t="n">
        <v>40.5660865431784</v>
      </c>
      <c r="CQ317" s="0" t="n">
        <v>40.4667860464016</v>
      </c>
      <c r="CR317" s="0" t="n">
        <v>-0.0993004967768414</v>
      </c>
      <c r="CS317" s="20" t="n">
        <f aca="false">(CR317)^2</f>
        <v>0.00986058866012749</v>
      </c>
      <c r="CU317" s="0" t="n">
        <v>8.36</v>
      </c>
      <c r="CV317" s="0" t="n">
        <v>1.57120725379122</v>
      </c>
      <c r="CW317" s="0" t="n">
        <v>1.41497334797082</v>
      </c>
      <c r="CX317" s="0" t="n">
        <v>-0.156233905820403</v>
      </c>
      <c r="CY317" s="20" t="n">
        <f aca="false">(CX317)^2</f>
        <v>0.0244090333278987</v>
      </c>
      <c r="DC317" s="24" t="str">
        <f aca="false">$BL$137</f>
        <v>Log(O/H) 2011</v>
      </c>
      <c r="DD317" s="0" t="n">
        <v>34.6699823480784</v>
      </c>
      <c r="DE317" s="0" t="n">
        <v>3.10125507408606</v>
      </c>
      <c r="DF317" s="0" t="n">
        <v>11.1793391771542</v>
      </c>
      <c r="DG317" s="0" t="e">
        <v>#VALUE!</v>
      </c>
      <c r="DH317" s="0" t="e">
        <v>#VALUE!</v>
      </c>
      <c r="DI317" s="0" t="e">
        <v>#VALUE!</v>
      </c>
      <c r="DJ317" s="24" t="str">
        <f aca="false">$BL$137</f>
        <v>Log(O/H) 2011</v>
      </c>
      <c r="DK317" s="0" t="n">
        <v>35.330628979715</v>
      </c>
      <c r="DL317" s="0" t="n">
        <v>3.06119388286911</v>
      </c>
      <c r="DM317" s="0" t="n">
        <v>11.5414541945319</v>
      </c>
      <c r="DN317" s="0" t="n">
        <v>1.73443980589679E-007</v>
      </c>
      <c r="DO317" s="0" t="n">
        <v>28.5929866713568</v>
      </c>
      <c r="DP317" s="0" t="n">
        <v>42.0682712880732</v>
      </c>
      <c r="DQ317" s="24" t="str">
        <f aca="false">$BL$137</f>
        <v>Log(O/H) 2011</v>
      </c>
      <c r="DR317" s="0" t="n">
        <v>36.183522693018</v>
      </c>
      <c r="DS317" s="0" t="n">
        <v>2.55137763194218</v>
      </c>
      <c r="DT317" s="0" t="n">
        <v>14.1819549720964</v>
      </c>
      <c r="DU317" s="0" t="n">
        <v>2.05357658359075E-008</v>
      </c>
      <c r="DV317" s="0" t="n">
        <v>30.5679783873235</v>
      </c>
      <c r="DW317" s="0" t="n">
        <v>41.7990669987125</v>
      </c>
      <c r="DX317" s="24" t="str">
        <f aca="false">$BL$137</f>
        <v>Log(O/H) 2011</v>
      </c>
      <c r="DY317" s="0" t="n">
        <v>32.806412294668</v>
      </c>
      <c r="DZ317" s="0" t="n">
        <v>3.33909060871061</v>
      </c>
      <c r="EA317" s="0" t="n">
        <v>9.82495419833372</v>
      </c>
      <c r="EB317" s="0" t="n">
        <v>8.81727578231777E-007</v>
      </c>
      <c r="EC317" s="0" t="n">
        <v>25.4571234166946</v>
      </c>
      <c r="ED317" s="0" t="n">
        <v>40.1557011726414</v>
      </c>
    </row>
    <row r="318" customFormat="false" ht="12.8" hidden="false" customHeight="false" outlineLevel="0" collapsed="false">
      <c r="A318" s="0" t="s">
        <v>413</v>
      </c>
      <c r="B318" s="22"/>
      <c r="C318" s="22" t="s">
        <v>279</v>
      </c>
      <c r="D318" s="22"/>
      <c r="E318" s="22" t="s">
        <v>348</v>
      </c>
      <c r="F318" s="22"/>
      <c r="G318" s="22" t="s">
        <v>414</v>
      </c>
      <c r="H318" s="22"/>
      <c r="I318" s="0" t="s">
        <v>415</v>
      </c>
      <c r="K318" s="22" t="s">
        <v>416</v>
      </c>
      <c r="L318" s="22"/>
      <c r="M318" s="0" t="s">
        <v>417</v>
      </c>
      <c r="O318" s="22" t="s">
        <v>349</v>
      </c>
      <c r="P318" s="22"/>
      <c r="Q318" s="22" t="s">
        <v>418</v>
      </c>
      <c r="BZ318" s="0" t="n">
        <v>1.41497334797082</v>
      </c>
      <c r="CA318" s="0" t="n">
        <v>1.54530711646582</v>
      </c>
      <c r="CB318" s="0" t="n">
        <v>40.336842839892</v>
      </c>
      <c r="CC318" s="0" t="n">
        <v>40.3308782653967</v>
      </c>
      <c r="CD318" s="0" t="n">
        <v>-0.00596457449535137</v>
      </c>
      <c r="CE318" s="20" t="n">
        <f aca="false">(CD318)^2</f>
        <v>3.55761489105961E-005</v>
      </c>
      <c r="CG318" s="0" t="n">
        <v>1.41497334797082</v>
      </c>
      <c r="CH318" s="0" t="n">
        <v>1.54530711646582</v>
      </c>
      <c r="CI318" s="0" t="n">
        <v>40.7151325552038</v>
      </c>
      <c r="CJ318" s="0" t="n">
        <v>40.6750396842358</v>
      </c>
      <c r="CK318" s="0" t="n">
        <v>-0.0400928709679604</v>
      </c>
      <c r="CL318" s="20" t="n">
        <f aca="false">(CK318)^2</f>
        <v>0.00160743830245352</v>
      </c>
      <c r="CN318" s="0" t="n">
        <v>1.41497334797082</v>
      </c>
      <c r="CO318" s="0" t="n">
        <v>1.54530711646582</v>
      </c>
      <c r="CP318" s="0" t="n">
        <v>40.598193122972</v>
      </c>
      <c r="CQ318" s="0" t="n">
        <v>40.6750396842358</v>
      </c>
      <c r="CR318" s="0" t="n">
        <v>0.0768465612638352</v>
      </c>
      <c r="CS318" s="20" t="n">
        <f aca="false">(CR318)^2</f>
        <v>0.00590539397807637</v>
      </c>
      <c r="CU318" s="0" t="n">
        <v>7.98</v>
      </c>
      <c r="CV318" s="0" t="n">
        <v>1.62093137192535</v>
      </c>
      <c r="CW318" s="0" t="n">
        <v>2.20682587603185</v>
      </c>
      <c r="CX318" s="0" t="n">
        <v>0.585894504106496</v>
      </c>
      <c r="CY318" s="20" t="n">
        <f aca="false">(CX318)^2</f>
        <v>0.343272369942197</v>
      </c>
      <c r="DC318" s="24" t="str">
        <f aca="false">$BM$137</f>
        <v>Log(σH) 2011</v>
      </c>
      <c r="DD318" s="0" t="n">
        <v>34.6699823480784</v>
      </c>
      <c r="DE318" s="0" t="n">
        <v>3.10125507408606</v>
      </c>
      <c r="DF318" s="0" t="n">
        <v>11.1793391771542</v>
      </c>
      <c r="DG318" s="0" t="e">
        <v>#VALUE!</v>
      </c>
      <c r="DH318" s="0" t="e">
        <v>#VALUE!</v>
      </c>
      <c r="DI318" s="0" t="e">
        <v>#VALUE!</v>
      </c>
      <c r="DJ318" s="24" t="str">
        <f aca="false">$BM$137</f>
        <v>Log(σH) 2011</v>
      </c>
      <c r="DK318" s="0" t="n">
        <v>35.330628979715</v>
      </c>
      <c r="DL318" s="0" t="n">
        <v>3.06119388286911</v>
      </c>
      <c r="DM318" s="0" t="n">
        <v>11.5414541945319</v>
      </c>
      <c r="DN318" s="0" t="n">
        <v>1.73443980589679E-007</v>
      </c>
      <c r="DO318" s="0" t="n">
        <v>28.5929866713568</v>
      </c>
      <c r="DP318" s="0" t="n">
        <v>42.0682712880732</v>
      </c>
      <c r="DQ318" s="24" t="str">
        <f aca="false">$BM$137</f>
        <v>Log(σH) 2011</v>
      </c>
      <c r="DR318" s="0" t="n">
        <v>36.183522693018</v>
      </c>
      <c r="DS318" s="0" t="n">
        <v>2.55137763194218</v>
      </c>
      <c r="DT318" s="0" t="n">
        <v>14.1819549720964</v>
      </c>
      <c r="DU318" s="0" t="n">
        <v>2.05357658359075E-008</v>
      </c>
      <c r="DV318" s="0" t="n">
        <v>30.5679783873235</v>
      </c>
      <c r="DW318" s="0" t="n">
        <v>41.7990669987125</v>
      </c>
      <c r="DX318" s="24" t="str">
        <f aca="false">$BM$137</f>
        <v>Log(σH) 2011</v>
      </c>
      <c r="DY318" s="0" t="n">
        <v>32.806412294668</v>
      </c>
      <c r="DZ318" s="0" t="n">
        <v>3.33909060871061</v>
      </c>
      <c r="EA318" s="0" t="n">
        <v>9.82495419833372</v>
      </c>
      <c r="EB318" s="0" t="n">
        <v>8.81727578231777E-007</v>
      </c>
      <c r="EC318" s="0" t="n">
        <v>25.4571234166946</v>
      </c>
      <c r="ED318" s="0" t="n">
        <v>40.1557011726414</v>
      </c>
    </row>
    <row r="319" customFormat="false" ht="13.2" hidden="false" customHeight="false" outlineLevel="0" collapsed="false">
      <c r="A319" s="8" t="s">
        <v>419</v>
      </c>
      <c r="B319" s="42" t="s">
        <v>241</v>
      </c>
      <c r="C319" s="42" t="n">
        <f aca="false">BN3</f>
        <v>7.73</v>
      </c>
      <c r="D319" s="42" t="s">
        <v>241</v>
      </c>
      <c r="E319" s="42" t="n">
        <f aca="false">BM3</f>
        <v>1.18752072083646</v>
      </c>
      <c r="F319" s="42" t="s">
        <v>241</v>
      </c>
      <c r="G319" s="42" t="n">
        <f aca="false">AN3</f>
        <v>1.98720395836898</v>
      </c>
      <c r="H319" s="42" t="s">
        <v>241</v>
      </c>
      <c r="I319" s="42" t="n">
        <f aca="false">H3</f>
        <v>0.5718</v>
      </c>
      <c r="J319" s="8" t="s">
        <v>241</v>
      </c>
      <c r="K319" s="42" t="n">
        <f aca="false">AS3</f>
        <v>0.67110956500573</v>
      </c>
      <c r="L319" s="42" t="s">
        <v>241</v>
      </c>
      <c r="M319" s="42" t="n">
        <f aca="false">Q3</f>
        <v>0.05</v>
      </c>
      <c r="N319" s="42" t="s">
        <v>241</v>
      </c>
      <c r="O319" s="42" t="n">
        <f aca="false">BC3*2.355</f>
        <v>2.425530366</v>
      </c>
      <c r="P319" s="42" t="s">
        <v>241</v>
      </c>
      <c r="Q319" s="42" t="n">
        <f aca="false">Sheet2!N3</f>
        <v>45.2991220904434</v>
      </c>
      <c r="R319" s="42" t="s">
        <v>350</v>
      </c>
      <c r="BZ319" s="0" t="n">
        <v>2.20682587603185</v>
      </c>
      <c r="CA319" s="0" t="n">
        <v>1.44247976906445</v>
      </c>
      <c r="CB319" s="0" t="n">
        <v>40.1425906322524</v>
      </c>
      <c r="CC319" s="0" t="n">
        <v>40.4850090486329</v>
      </c>
      <c r="CD319" s="0" t="n">
        <v>0.342418416380504</v>
      </c>
      <c r="CE319" s="20" t="n">
        <f aca="false">(CD319)^2</f>
        <v>0.117250371876532</v>
      </c>
      <c r="CG319" s="0" t="n">
        <v>2.20682587603185</v>
      </c>
      <c r="CH319" s="0" t="n">
        <v>1.44247976906445</v>
      </c>
      <c r="CI319" s="0" t="n">
        <v>40.5441921065225</v>
      </c>
      <c r="CJ319" s="0" t="n">
        <v>40.9096967114523</v>
      </c>
      <c r="CK319" s="0" t="n">
        <v>0.365504604929775</v>
      </c>
      <c r="CL319" s="20" t="n">
        <f aca="false">(CK319)^2</f>
        <v>0.133593616224871</v>
      </c>
      <c r="CN319" s="0" t="n">
        <v>2.20682587603185</v>
      </c>
      <c r="CO319" s="0" t="n">
        <v>1.44247976906445</v>
      </c>
      <c r="CP319" s="0" t="n">
        <v>40.3952522786463</v>
      </c>
      <c r="CQ319" s="0" t="n">
        <v>40.9096967114523</v>
      </c>
      <c r="CR319" s="0" t="n">
        <v>0.514444432805981</v>
      </c>
      <c r="CS319" s="20" t="n">
        <f aca="false">(CR319)^2</f>
        <v>0.264653074445067</v>
      </c>
      <c r="CU319" s="0" t="n">
        <v>8.25</v>
      </c>
      <c r="CV319" s="0" t="n">
        <v>1.58560107746163</v>
      </c>
      <c r="CW319" s="0" t="n">
        <v>2.03742649794062</v>
      </c>
      <c r="CX319" s="0" t="n">
        <v>0.45182542047899</v>
      </c>
      <c r="CY319" s="20" t="n">
        <f aca="false">(CX319)^2</f>
        <v>0.204146210591016</v>
      </c>
      <c r="DC319" s="24" t="str">
        <f aca="false">$BN$137</f>
        <v>Log(Whβ)</v>
      </c>
      <c r="DD319" s="0" t="n">
        <v>34.6699823480784</v>
      </c>
      <c r="DE319" s="0" t="n">
        <v>3.10125507408606</v>
      </c>
      <c r="DF319" s="0" t="n">
        <v>11.1793391771542</v>
      </c>
      <c r="DG319" s="0" t="e">
        <v>#VALUE!</v>
      </c>
      <c r="DH319" s="0" t="e">
        <v>#VALUE!</v>
      </c>
      <c r="DI319" s="0" t="e">
        <v>#VALUE!</v>
      </c>
      <c r="DJ319" s="24" t="str">
        <f aca="false">$BN$137</f>
        <v>Log(Whβ)</v>
      </c>
      <c r="DK319" s="0" t="n">
        <v>35.330628979715</v>
      </c>
      <c r="DL319" s="0" t="n">
        <v>3.06119388286911</v>
      </c>
      <c r="DM319" s="0" t="n">
        <v>11.5414541945319</v>
      </c>
      <c r="DN319" s="0" t="n">
        <v>1.73443980589679E-007</v>
      </c>
      <c r="DO319" s="0" t="n">
        <v>28.5929866713568</v>
      </c>
      <c r="DP319" s="0" t="n">
        <v>42.0682712880732</v>
      </c>
      <c r="DQ319" s="24" t="str">
        <f aca="false">$BN$137</f>
        <v>Log(Whβ)</v>
      </c>
      <c r="DR319" s="0" t="n">
        <v>36.183522693018</v>
      </c>
      <c r="DS319" s="0" t="n">
        <v>2.55137763194218</v>
      </c>
      <c r="DT319" s="0" t="n">
        <v>14.1819549720964</v>
      </c>
      <c r="DU319" s="0" t="n">
        <v>2.05357658359075E-008</v>
      </c>
      <c r="DV319" s="0" t="n">
        <v>30.5679783873235</v>
      </c>
      <c r="DW319" s="0" t="n">
        <v>41.7990669987125</v>
      </c>
      <c r="DX319" s="24" t="str">
        <f aca="false">$BN$137</f>
        <v>Log(Whβ)</v>
      </c>
      <c r="DY319" s="0" t="n">
        <v>32.806412294668</v>
      </c>
      <c r="DZ319" s="0" t="n">
        <v>3.33909060871061</v>
      </c>
      <c r="EA319" s="0" t="n">
        <v>9.82495419833372</v>
      </c>
      <c r="EB319" s="0" t="n">
        <v>8.81727578231777E-007</v>
      </c>
      <c r="EC319" s="0" t="n">
        <v>25.4571234166946</v>
      </c>
      <c r="ED319" s="0" t="n">
        <v>40.1557011726414</v>
      </c>
    </row>
    <row r="320" customFormat="false" ht="13.2" hidden="false" customHeight="false" outlineLevel="0" collapsed="false">
      <c r="A320" s="8" t="s">
        <v>420</v>
      </c>
      <c r="B320" s="42" t="s">
        <v>241</v>
      </c>
      <c r="C320" s="42" t="n">
        <f aca="false">BN4</f>
        <v>8.18</v>
      </c>
      <c r="D320" s="42" t="s">
        <v>241</v>
      </c>
      <c r="E320" s="42" t="n">
        <f aca="false">BM4</f>
        <v>1.32633586092875</v>
      </c>
      <c r="F320" s="42" t="s">
        <v>241</v>
      </c>
      <c r="G320" s="42" t="n">
        <f aca="false">AN4</f>
        <v>2.32646184801725</v>
      </c>
      <c r="H320" s="42" t="s">
        <v>241</v>
      </c>
      <c r="I320" s="42" t="n">
        <f aca="false">H4</f>
        <v>0.4</v>
      </c>
      <c r="J320" s="8" t="s">
        <v>241</v>
      </c>
      <c r="K320" s="42" t="n">
        <f aca="false">AS4</f>
        <v>0.621303130249106</v>
      </c>
      <c r="L320" s="42" t="s">
        <v>241</v>
      </c>
      <c r="M320" s="42" t="n">
        <f aca="false">Q4</f>
        <v>0.05</v>
      </c>
      <c r="N320" s="42" t="s">
        <v>241</v>
      </c>
      <c r="O320" s="42" t="n">
        <f aca="false">BC4*2.355</f>
        <v>2.33256156</v>
      </c>
      <c r="P320" s="42" t="s">
        <v>241</v>
      </c>
      <c r="Q320" s="42" t="n">
        <f aca="false">Sheet2!N4</f>
        <v>54.5746180231519</v>
      </c>
      <c r="R320" s="42" t="s">
        <v>350</v>
      </c>
      <c r="BZ320" s="0" t="n">
        <v>2.03742649794062</v>
      </c>
      <c r="CA320" s="0" t="n">
        <v>1.53781909507327</v>
      </c>
      <c r="CB320" s="0" t="n">
        <v>40.3941409173792</v>
      </c>
      <c r="CC320" s="0" t="n">
        <v>40.5363222856562</v>
      </c>
      <c r="CD320" s="0" t="n">
        <v>0.142181368276987</v>
      </c>
      <c r="CE320" s="20" t="n">
        <f aca="false">(CD320)^2</f>
        <v>0.0202155414851161</v>
      </c>
      <c r="CG320" s="0" t="n">
        <v>2.03742649794062</v>
      </c>
      <c r="CH320" s="0" t="n">
        <v>1.53781909507327</v>
      </c>
      <c r="CI320" s="0" t="n">
        <v>40.745130821167</v>
      </c>
      <c r="CJ320" s="0" t="n">
        <v>40.8519069419647</v>
      </c>
      <c r="CK320" s="0" t="n">
        <v>0.106776120797669</v>
      </c>
      <c r="CL320" s="20" t="n">
        <f aca="false">(CK320)^2</f>
        <v>0.0114011399725983</v>
      </c>
      <c r="CN320" s="0" t="n">
        <v>2.03742649794062</v>
      </c>
      <c r="CO320" s="0" t="n">
        <v>1.53781909507327</v>
      </c>
      <c r="CP320" s="0" t="n">
        <v>40.638183403994</v>
      </c>
      <c r="CQ320" s="0" t="n">
        <v>40.8519069419647</v>
      </c>
      <c r="CR320" s="0" t="n">
        <v>0.213723537970679</v>
      </c>
      <c r="CS320" s="20" t="n">
        <f aca="false">(CR320)^2</f>
        <v>0.0456777506827045</v>
      </c>
      <c r="CU320" s="0" t="n">
        <v>8.09</v>
      </c>
      <c r="CV320" s="0" t="n">
        <v>1.60653754825495</v>
      </c>
      <c r="CW320" s="0" t="n">
        <v>1.75587485567249</v>
      </c>
      <c r="CX320" s="0" t="n">
        <v>0.149337307417543</v>
      </c>
      <c r="CY320" s="20" t="n">
        <f aca="false">(CX320)^2</f>
        <v>0.0223016313867216</v>
      </c>
      <c r="DC320" s="24" t="str">
        <f aca="false">$BO$137</f>
        <v>Log(Ref)</v>
      </c>
      <c r="DD320" s="0" t="n">
        <v>34.6699823480784</v>
      </c>
      <c r="DE320" s="0" t="n">
        <v>3.10125507408606</v>
      </c>
      <c r="DF320" s="0" t="n">
        <v>11.1793391771542</v>
      </c>
      <c r="DG320" s="0" t="e">
        <v>#VALUE!</v>
      </c>
      <c r="DH320" s="0" t="e">
        <v>#VALUE!</v>
      </c>
      <c r="DI320" s="0" t="e">
        <v>#VALUE!</v>
      </c>
      <c r="DJ320" s="24" t="str">
        <f aca="false">$BO$137</f>
        <v>Log(Ref)</v>
      </c>
      <c r="DK320" s="0" t="n">
        <v>35.330628979715</v>
      </c>
      <c r="DL320" s="0" t="n">
        <v>3.06119388286911</v>
      </c>
      <c r="DM320" s="0" t="n">
        <v>11.5414541945319</v>
      </c>
      <c r="DN320" s="0" t="n">
        <v>1.73443980589679E-007</v>
      </c>
      <c r="DO320" s="0" t="n">
        <v>28.5929866713568</v>
      </c>
      <c r="DP320" s="0" t="n">
        <v>42.0682712880732</v>
      </c>
      <c r="DQ320" s="24" t="str">
        <f aca="false">$BO$137</f>
        <v>Log(Ref)</v>
      </c>
      <c r="DR320" s="0" t="n">
        <v>36.183522693018</v>
      </c>
      <c r="DS320" s="0" t="n">
        <v>2.55137763194218</v>
      </c>
      <c r="DT320" s="0" t="n">
        <v>14.1819549720964</v>
      </c>
      <c r="DU320" s="0" t="n">
        <v>2.05357658359075E-008</v>
      </c>
      <c r="DV320" s="0" t="n">
        <v>30.5679783873235</v>
      </c>
      <c r="DW320" s="0" t="n">
        <v>41.7990669987125</v>
      </c>
      <c r="DX320" s="24" t="str">
        <f aca="false">$BO$137</f>
        <v>Log(Ref)</v>
      </c>
      <c r="DY320" s="0" t="n">
        <v>32.806412294668</v>
      </c>
      <c r="DZ320" s="0" t="n">
        <v>3.33909060871061</v>
      </c>
      <c r="EA320" s="0" t="n">
        <v>9.82495419833372</v>
      </c>
      <c r="EB320" s="0" t="n">
        <v>8.81727578231777E-007</v>
      </c>
      <c r="EC320" s="0" t="n">
        <v>25.4571234166946</v>
      </c>
      <c r="ED320" s="0" t="n">
        <v>40.1557011726414</v>
      </c>
    </row>
    <row r="321" customFormat="false" ht="13.2" hidden="false" customHeight="false" outlineLevel="0" collapsed="false">
      <c r="A321" s="8" t="s">
        <v>421</v>
      </c>
      <c r="B321" s="42" t="s">
        <v>241</v>
      </c>
      <c r="C321" s="42" t="n">
        <f aca="false">BN5</f>
        <v>8.08</v>
      </c>
      <c r="D321" s="42" t="s">
        <v>241</v>
      </c>
      <c r="E321" s="42" t="n">
        <f aca="false">BM5</f>
        <v>1.52762990087134</v>
      </c>
      <c r="F321" s="42" t="s">
        <v>241</v>
      </c>
      <c r="G321" s="42" t="n">
        <f aca="false">AN5</f>
        <v>1.45596628812863</v>
      </c>
      <c r="H321" s="42" t="s">
        <v>241</v>
      </c>
      <c r="I321" s="42" t="n">
        <f aca="false">H5</f>
        <v>0.3</v>
      </c>
      <c r="J321" s="8" t="s">
        <v>241</v>
      </c>
      <c r="K321" s="42" t="n">
        <f aca="false">AS5</f>
        <v>0.54797375688789</v>
      </c>
      <c r="L321" s="42" t="s">
        <v>241</v>
      </c>
      <c r="M321" s="42" t="n">
        <f aca="false">Q5</f>
        <v>0.32</v>
      </c>
      <c r="N321" s="42" t="s">
        <v>241</v>
      </c>
      <c r="O321" s="42" t="n">
        <f aca="false">BC5*2.355</f>
        <v>1.1636275</v>
      </c>
      <c r="P321" s="42" t="s">
        <v>241</v>
      </c>
      <c r="Q321" s="42" t="n">
        <f aca="false">Sheet2!N5</f>
        <v>112.377394726055</v>
      </c>
      <c r="R321" s="42" t="s">
        <v>350</v>
      </c>
      <c r="BZ321" s="0" t="n">
        <v>1.75587485567249</v>
      </c>
      <c r="CA321" s="0" t="n">
        <v>1.3541084391474</v>
      </c>
      <c r="CB321" s="0" t="n">
        <v>39.8325193064683</v>
      </c>
      <c r="CC321" s="0" t="n">
        <v>39.9166540391504</v>
      </c>
      <c r="CD321" s="0" t="n">
        <v>0.0841347326821449</v>
      </c>
      <c r="CE321" s="20" t="n">
        <f aca="false">(CD321)^2</f>
        <v>0.00707865324349598</v>
      </c>
      <c r="CG321" s="0" t="n">
        <v>1.75587485567249</v>
      </c>
      <c r="CH321" s="0" t="n">
        <v>1.3541084391474</v>
      </c>
      <c r="CI321" s="0" t="n">
        <v>40.312247701656</v>
      </c>
      <c r="CJ321" s="0" t="n">
        <v>40.3823661888664</v>
      </c>
      <c r="CK321" s="0" t="n">
        <v>0.0701184872103866</v>
      </c>
      <c r="CL321" s="20" t="n">
        <f aca="false">(CK321)^2</f>
        <v>0.00491660224867315</v>
      </c>
      <c r="CN321" s="0" t="n">
        <v>1.75587485567249</v>
      </c>
      <c r="CO321" s="0" t="n">
        <v>1.3541084391474</v>
      </c>
      <c r="CP321" s="0" t="n">
        <v>40.1111201195977</v>
      </c>
      <c r="CQ321" s="0" t="n">
        <v>40.3823661888664</v>
      </c>
      <c r="CR321" s="0" t="n">
        <v>0.271246069268749</v>
      </c>
      <c r="CS321" s="20" t="n">
        <f aca="false">(CR321)^2</f>
        <v>0.0735744300937468</v>
      </c>
      <c r="CU321" s="0" t="n">
        <v>7.96</v>
      </c>
      <c r="CV321" s="0" t="n">
        <v>1.62354843077452</v>
      </c>
      <c r="CW321" s="0" t="n">
        <v>1.30102999566398</v>
      </c>
      <c r="CX321" s="0" t="n">
        <v>-0.322518435110539</v>
      </c>
      <c r="CY321" s="20" t="n">
        <f aca="false">(CX321)^2</f>
        <v>0.104018140986151</v>
      </c>
    </row>
    <row r="322" customFormat="false" ht="13.2" hidden="false" customHeight="false" outlineLevel="0" collapsed="false">
      <c r="A322" s="8" t="s">
        <v>422</v>
      </c>
      <c r="B322" s="42" t="s">
        <v>241</v>
      </c>
      <c r="C322" s="42" t="n">
        <f aca="false">BN6</f>
        <v>8.36</v>
      </c>
      <c r="D322" s="42" t="s">
        <v>241</v>
      </c>
      <c r="E322" s="42" t="n">
        <f aca="false">BM6</f>
        <v>1.54530711646582</v>
      </c>
      <c r="F322" s="42" t="s">
        <v>241</v>
      </c>
      <c r="G322" s="42" t="n">
        <f aca="false">AN6</f>
        <v>0.977233356266786</v>
      </c>
      <c r="H322" s="42" t="s">
        <v>241</v>
      </c>
      <c r="I322" s="42" t="n">
        <f aca="false">H6</f>
        <v>0.2711</v>
      </c>
      <c r="J322" s="8" t="s">
        <v>241</v>
      </c>
      <c r="K322" s="42" t="n">
        <f aca="false">AS6</f>
        <v>0.470658392194273</v>
      </c>
      <c r="L322" s="42" t="s">
        <v>241</v>
      </c>
      <c r="M322" s="42" t="n">
        <f aca="false">Q6</f>
        <v>0.375</v>
      </c>
      <c r="N322" s="42" t="s">
        <v>241</v>
      </c>
      <c r="O322" s="42" t="n">
        <f aca="false">BC6*2.355</f>
        <v>0.652533</v>
      </c>
      <c r="P322" s="42" t="s">
        <v>241</v>
      </c>
      <c r="Q322" s="42" t="n">
        <f aca="false">Sheet2!N6</f>
        <v>140.722642539492</v>
      </c>
      <c r="R322" s="42" t="s">
        <v>350</v>
      </c>
      <c r="BZ322" s="0" t="n">
        <v>1.30102999566398</v>
      </c>
      <c r="CA322" s="0" t="n">
        <v>1.42488163663107</v>
      </c>
      <c r="CB322" s="0" t="n">
        <v>39.9776232480245</v>
      </c>
      <c r="CC322" s="0" t="n">
        <v>39.9203081956583</v>
      </c>
      <c r="CD322" s="0" t="n">
        <v>-0.0573150523661923</v>
      </c>
      <c r="CE322" s="20" t="n">
        <f aca="false">(CD322)^2</f>
        <v>0.00328501522773936</v>
      </c>
      <c r="CG322" s="0" t="n">
        <v>1.30102999566398</v>
      </c>
      <c r="CH322" s="0" t="n">
        <v>1.42488163663107</v>
      </c>
      <c r="CI322" s="0" t="n">
        <v>40.4366775514684</v>
      </c>
      <c r="CJ322" s="0" t="n">
        <v>39.8052047714277</v>
      </c>
      <c r="CK322" s="0" t="n">
        <v>-0.63147278004066</v>
      </c>
      <c r="CL322" s="20" t="n">
        <f aca="false">(CK322)^2</f>
        <v>0.39875787193228</v>
      </c>
      <c r="CN322" s="0" t="n">
        <v>1.30102999566398</v>
      </c>
      <c r="CO322" s="0" t="n">
        <v>1.42488163663107</v>
      </c>
      <c r="CP322" s="0" t="n">
        <v>40.259542133604</v>
      </c>
      <c r="CQ322" s="0" t="n">
        <v>39.8052047714277</v>
      </c>
      <c r="CR322" s="0" t="n">
        <v>-0.454337362176254</v>
      </c>
      <c r="CS322" s="20" t="n">
        <f aca="false">(CR322)^2</f>
        <v>0.206422438669277</v>
      </c>
      <c r="CU322" s="0" t="n">
        <v>8.01</v>
      </c>
      <c r="CV322" s="0" t="n">
        <v>1.61700578365161</v>
      </c>
      <c r="CW322" s="0" t="n">
        <v>1.79239168949825</v>
      </c>
      <c r="CX322" s="0" t="n">
        <v>0.175385905846643</v>
      </c>
      <c r="CY322" s="20" t="n">
        <f aca="false">(CX322)^2</f>
        <v>0.0307602159696476</v>
      </c>
      <c r="DC322" s="0" t="str">
        <f aca="false">$BL$137</f>
        <v>Log(O/H) 2011</v>
      </c>
      <c r="DD322" s="0" t="str">
        <f aca="false">$BM$137</f>
        <v>Log(σH) 2011</v>
      </c>
      <c r="DE322" s="0" t="str">
        <f aca="false">$BN$137</f>
        <v>Log(Whβ)</v>
      </c>
      <c r="DF322" s="0" t="str">
        <f aca="false">$BO$137</f>
        <v>Log(Ref)</v>
      </c>
      <c r="DG322" s="0" t="s">
        <v>157</v>
      </c>
      <c r="DH322" s="0" t="n">
        <f aca="false">$BE$137</f>
        <v>0</v>
      </c>
      <c r="DI322" s="0" t="s">
        <v>133</v>
      </c>
      <c r="DJ322" s="0" t="str">
        <f aca="false">$BL$137</f>
        <v>Log(O/H) 2011</v>
      </c>
      <c r="DK322" s="0" t="str">
        <f aca="false">$BM$137</f>
        <v>Log(σH) 2011</v>
      </c>
      <c r="DL322" s="0" t="str">
        <f aca="false">$BN$137</f>
        <v>Log(Whβ)</v>
      </c>
      <c r="DM322" s="0" t="str">
        <f aca="false">$BO$137</f>
        <v>Log(Ref)</v>
      </c>
      <c r="DN322" s="0" t="s">
        <v>157</v>
      </c>
      <c r="DO322" s="0" t="str">
        <f aca="false">$BF$137</f>
        <v>Log(LHβ) 2011</v>
      </c>
      <c r="DP322" s="0" t="s">
        <v>133</v>
      </c>
      <c r="DQ322" s="0" t="str">
        <f aca="false">$BL$137</f>
        <v>Log(O/H) 2011</v>
      </c>
      <c r="DR322" s="0" t="str">
        <f aca="false">$BM$137</f>
        <v>Log(σH) 2011</v>
      </c>
      <c r="DS322" s="0" t="str">
        <f aca="false">$BN$137</f>
        <v>Log(Whβ)</v>
      </c>
      <c r="DT322" s="0" t="str">
        <f aca="false">$BO$137</f>
        <v>Log(Ref)</v>
      </c>
      <c r="DU322" s="0" t="s">
        <v>157</v>
      </c>
      <c r="DV322" s="0" t="str">
        <f aca="false">$BG$137</f>
        <v>Full Log(LHβ) 2007</v>
      </c>
      <c r="DW322" s="0" t="s">
        <v>133</v>
      </c>
      <c r="DX322" s="0" t="str">
        <f aca="false">$BL$137</f>
        <v>Log(O/H) 2011</v>
      </c>
      <c r="DY322" s="0" t="str">
        <f aca="false">$BM$137</f>
        <v>Log(σH) 2011</v>
      </c>
      <c r="DZ322" s="0" t="str">
        <f aca="false">$BN$137</f>
        <v>Log(Whβ)</v>
      </c>
      <c r="EA322" s="0" t="str">
        <f aca="false">$BO$137</f>
        <v>Log(Ref)</v>
      </c>
      <c r="EB322" s="0" t="s">
        <v>157</v>
      </c>
      <c r="EC322" s="0" t="str">
        <f aca="false">$BH$137</f>
        <v>BK Log(LHβ) 2007</v>
      </c>
      <c r="ED322" s="0" t="s">
        <v>133</v>
      </c>
    </row>
    <row r="323" customFormat="false" ht="13.2" hidden="false" customHeight="false" outlineLevel="0" collapsed="false">
      <c r="A323" s="8" t="s">
        <v>423</v>
      </c>
      <c r="B323" s="42" t="s">
        <v>241</v>
      </c>
      <c r="C323" s="42" t="n">
        <f aca="false">BN7</f>
        <v>7.98</v>
      </c>
      <c r="D323" s="42" t="s">
        <v>241</v>
      </c>
      <c r="E323" s="42" t="n">
        <f aca="false">BM7</f>
        <v>1.44247976906445</v>
      </c>
      <c r="F323" s="42" t="s">
        <v>241</v>
      </c>
      <c r="G323" s="42" t="n">
        <f aca="false">AN7</f>
        <v>0.826483878365439</v>
      </c>
      <c r="H323" s="42" t="s">
        <v>241</v>
      </c>
      <c r="I323" s="42" t="n">
        <f aca="false">H7</f>
        <v>0.25</v>
      </c>
      <c r="J323" s="8" t="s">
        <v>241</v>
      </c>
      <c r="K323" s="42" t="n">
        <f aca="false">AS7</f>
        <v>0.499318526233216</v>
      </c>
      <c r="L323" s="42" t="s">
        <v>241</v>
      </c>
      <c r="M323" s="42" t="n">
        <f aca="false">Q7</f>
        <v>0.05</v>
      </c>
      <c r="N323" s="42" t="s">
        <v>241</v>
      </c>
      <c r="O323" s="42" t="n">
        <f aca="false">BC7*2.355</f>
        <v>0.781252499999999</v>
      </c>
      <c r="P323" s="42" t="s">
        <v>241</v>
      </c>
      <c r="Q323" s="42" t="n">
        <f aca="false">Sheet2!N7</f>
        <v>144.104853229694</v>
      </c>
      <c r="R323" s="42" t="s">
        <v>350</v>
      </c>
      <c r="BZ323" s="0" t="n">
        <v>1.79239168949825</v>
      </c>
      <c r="CA323" s="0" t="n">
        <v>1.43775056282039</v>
      </c>
      <c r="CB323" s="0" t="n">
        <v>40.0766254193648</v>
      </c>
      <c r="CC323" s="0" t="n">
        <v>40.0555420750015</v>
      </c>
      <c r="CD323" s="0" t="n">
        <v>-0.0210833443632978</v>
      </c>
      <c r="CE323" s="20" t="n">
        <f aca="false">(CD323)^2</f>
        <v>0.000444507409541403</v>
      </c>
      <c r="CG323" s="0" t="n">
        <v>1.79239168949825</v>
      </c>
      <c r="CH323" s="0" t="n">
        <v>1.43775056282039</v>
      </c>
      <c r="CI323" s="0" t="n">
        <v>40.502446716914</v>
      </c>
      <c r="CJ323" s="0" t="n">
        <v>40.1409607062428</v>
      </c>
      <c r="CK323" s="0" t="n">
        <v>-0.361486010671186</v>
      </c>
      <c r="CL323" s="20" t="n">
        <f aca="false">(CK323)^2</f>
        <v>0.130672135910969</v>
      </c>
      <c r="CN323" s="0" t="n">
        <v>1.79239168949825</v>
      </c>
      <c r="CO323" s="0" t="n">
        <v>1.43775056282039</v>
      </c>
      <c r="CP323" s="0" t="n">
        <v>40.3421986280843</v>
      </c>
      <c r="CQ323" s="0" t="n">
        <v>40.1409607062428</v>
      </c>
      <c r="CR323" s="0" t="n">
        <v>-0.201237921841461</v>
      </c>
      <c r="CS323" s="20" t="n">
        <f aca="false">(CR323)^2</f>
        <v>0.0404967011870699</v>
      </c>
      <c r="CU323" s="0" t="n">
        <v>7.99</v>
      </c>
      <c r="CV323" s="0" t="n">
        <v>1.61962284250077</v>
      </c>
      <c r="CW323" s="0" t="n">
        <v>1.98677173426624</v>
      </c>
      <c r="CX323" s="0" t="n">
        <v>0.367148891765469</v>
      </c>
      <c r="CY323" s="20" t="n">
        <f aca="false">(CX323)^2</f>
        <v>0.134798308724612</v>
      </c>
      <c r="DC323" s="0" t="n">
        <f aca="false" t="array" ref="DC323:DF338">$BL$138:$BO$153</f>
        <v>8.08</v>
      </c>
      <c r="DD323" s="0" t="n">
        <v>1.52762990087134</v>
      </c>
      <c r="DE323" s="0" t="n">
        <v>1.57978359661681</v>
      </c>
      <c r="DF323" s="0" t="n">
        <v>2.87121125667452</v>
      </c>
      <c r="DG323" s="0" t="e">
        <f aca="false" t="array" ref="DG323:DG338">MMULT($DC$323:$DF$338 , $DD$317:$DD$320) + $DD$316</f>
        <v>#VALUE!</v>
      </c>
      <c r="DH323" s="0" t="n">
        <f aca="false" t="array" ref="DH323:DH338">$BE$138:$BE$153</f>
        <v>0</v>
      </c>
      <c r="DI323" s="0" t="e">
        <f aca="false" t="array" ref="DI323:DI338">$DH$323:$DH$338 - $DG$323:$DG$338</f>
        <v>#VALUE!</v>
      </c>
      <c r="DJ323" s="0" t="n">
        <f aca="false" t="array" ref="DJ323:DM338">$BL$138:$BO$153</f>
        <v>8.08</v>
      </c>
      <c r="DK323" s="0" t="n">
        <v>1.52762990087134</v>
      </c>
      <c r="DL323" s="0" t="n">
        <v>1.57978359661681</v>
      </c>
      <c r="DM323" s="0" t="n">
        <v>2.87121125667452</v>
      </c>
      <c r="DN323" s="0" t="n">
        <f aca="false" t="array" ref="DN323:DN338">MMULT($DJ$323:$DM$338 , $DK$317:$DK$320) + $DK$316</f>
        <v>531.368521638832</v>
      </c>
      <c r="DO323" s="0" t="n">
        <f aca="false" t="array" ref="DO323:DO338">$BF$138:$BF$153</f>
        <v>39.9963150223595</v>
      </c>
      <c r="DP323" s="0" t="n">
        <f aca="false" t="array" ref="DP323:DP338">$DO$323:$DO$338 - $DN$323:$DN$338</f>
        <v>-491.372206616473</v>
      </c>
      <c r="DQ323" s="0" t="n">
        <f aca="false" t="array" ref="DQ323:DT338">$BL$138:$BO$153</f>
        <v>8.08</v>
      </c>
      <c r="DR323" s="0" t="n">
        <v>1.52762990087134</v>
      </c>
      <c r="DS323" s="0" t="n">
        <v>1.57978359661681</v>
      </c>
      <c r="DT323" s="0" t="n">
        <v>2.87121125667452</v>
      </c>
      <c r="DU323" s="0" t="n">
        <f aca="false" t="array" ref="DU323:DU338">MMULT($DQ$323:$DT$338 , $DR$317:$DR$320) + $DR$316</f>
        <v>544.874090517888</v>
      </c>
      <c r="DV323" s="0" t="n">
        <f aca="false" t="array" ref="DV323:DV338">$BG$138:$BG$153</f>
        <v>40.4667860464016</v>
      </c>
      <c r="DW323" s="0" t="n">
        <f aca="false" t="array" ref="DW323:DW338">$DV$323:$DV$338 - $DU$323:$DU$338</f>
        <v>-504.407304471486</v>
      </c>
      <c r="DX323" s="0" t="n">
        <f aca="false" t="array" ref="DX323:EA338">$BL$138:$BO$153</f>
        <v>8.08</v>
      </c>
      <c r="DY323" s="0" t="n">
        <v>1.52762990087134</v>
      </c>
      <c r="DZ323" s="0" t="n">
        <v>1.57978359661681</v>
      </c>
      <c r="EA323" s="0" t="n">
        <v>2.87121125667452</v>
      </c>
      <c r="EB323" s="0" t="n">
        <f aca="false" t="array" ref="EB323:EB338">MMULT($DX$323:$EA$338 , $DY$317:$DY$320) + $DY$316</f>
        <v>494.019452275754</v>
      </c>
      <c r="EC323" s="0" t="n">
        <f aca="false" t="array" ref="EC323:EC338">$BH$138:$BH$153</f>
        <v>40.4667860464016</v>
      </c>
      <c r="ED323" s="0" t="n">
        <f aca="false" t="array" ref="ED323:ED338">$EC$323:$EC$338 - $EB$323:$EB$338</f>
        <v>-453.552666229353</v>
      </c>
    </row>
    <row r="324" customFormat="false" ht="13.2" hidden="false" customHeight="false" outlineLevel="0" collapsed="false">
      <c r="A324" s="8" t="s">
        <v>424</v>
      </c>
      <c r="B324" s="42" t="s">
        <v>241</v>
      </c>
      <c r="C324" s="42" t="n">
        <f aca="false">BN8</f>
        <v>8.25</v>
      </c>
      <c r="D324" s="42" t="s">
        <v>241</v>
      </c>
      <c r="E324" s="42" t="n">
        <f aca="false">BM8</f>
        <v>1.53781909507327</v>
      </c>
      <c r="F324" s="42" t="s">
        <v>241</v>
      </c>
      <c r="G324" s="42" t="n">
        <f aca="false">AN8</f>
        <v>1.28066567303325</v>
      </c>
      <c r="H324" s="42" t="s">
        <v>241</v>
      </c>
      <c r="I324" s="42" t="n">
        <f aca="false">H8</f>
        <v>0.49</v>
      </c>
      <c r="J324" s="8" t="s">
        <v>241</v>
      </c>
      <c r="K324" s="42" t="n">
        <f aca="false">AS8</f>
        <v>0.635332627271214</v>
      </c>
      <c r="L324" s="42" t="s">
        <v>241</v>
      </c>
      <c r="M324" s="42" t="n">
        <f aca="false">Q8</f>
        <v>0.3</v>
      </c>
      <c r="N324" s="42" t="s">
        <v>241</v>
      </c>
      <c r="O324" s="42" t="n">
        <f aca="false">BC8*2.355</f>
        <v>0.748650000000001</v>
      </c>
      <c r="P324" s="42" t="s">
        <v>241</v>
      </c>
      <c r="Q324" s="42" t="n">
        <f aca="false">Sheet2!N8</f>
        <v>56.286326668462</v>
      </c>
      <c r="R324" s="42" t="s">
        <v>350</v>
      </c>
      <c r="BZ324" s="0" t="n">
        <v>1.98677173426624</v>
      </c>
      <c r="CA324" s="0" t="n">
        <v>1.31386722036915</v>
      </c>
      <c r="CB324" s="0" t="n">
        <v>39.7465069335075</v>
      </c>
      <c r="CC324" s="0" t="n">
        <v>39.6009701741581</v>
      </c>
      <c r="CD324" s="0" t="n">
        <v>-0.14553675934944</v>
      </c>
      <c r="CE324" s="20" t="n">
        <f aca="false">(CD324)^2</f>
        <v>0.0211809483219368</v>
      </c>
      <c r="CG324" s="0" t="n">
        <v>1.98677173426624</v>
      </c>
      <c r="CH324" s="0" t="n">
        <v>1.31386722036915</v>
      </c>
      <c r="CI324" s="0" t="n">
        <v>40.2394139607735</v>
      </c>
      <c r="CJ324" s="0" t="n">
        <v>39.9728485150304</v>
      </c>
      <c r="CK324" s="0" t="n">
        <v>-0.266565445743062</v>
      </c>
      <c r="CL324" s="20" t="n">
        <f aca="false">(CK324)^2</f>
        <v>0.0710571368641973</v>
      </c>
      <c r="CN324" s="0" t="n">
        <v>1.98677173426624</v>
      </c>
      <c r="CO324" s="0" t="n">
        <v>1.31386722036915</v>
      </c>
      <c r="CP324" s="0" t="n">
        <v>40.0240396808109</v>
      </c>
      <c r="CQ324" s="0" t="n">
        <v>39.9728485150304</v>
      </c>
      <c r="CR324" s="0" t="n">
        <v>-0.0511911657804447</v>
      </c>
      <c r="CS324" s="20" t="n">
        <f aca="false">(CR324)^2</f>
        <v>0.00262053545396097</v>
      </c>
      <c r="CU324" s="0" t="n">
        <v>1</v>
      </c>
      <c r="CV324" s="0" t="n">
        <v>2.53428491028386</v>
      </c>
      <c r="CW324" s="0" t="n">
        <v>2.26481782300954</v>
      </c>
      <c r="CX324" s="0" t="n">
        <v>-0.269467087274317</v>
      </c>
      <c r="CY324" s="20" t="n">
        <f aca="false">(CX324)^2</f>
        <v>0.0726125111241045</v>
      </c>
      <c r="DC324" s="0" t="n">
        <v>8.36</v>
      </c>
      <c r="DD324" s="0" t="n">
        <v>1.54530711646582</v>
      </c>
      <c r="DE324" s="0" t="n">
        <v>1.41497334797082</v>
      </c>
      <c r="DF324" s="0" t="n">
        <v>2.83671772153776</v>
      </c>
      <c r="DG324" s="0" t="e">
        <v>#VALUE!</v>
      </c>
      <c r="DH324" s="0" t="n">
        <v>0</v>
      </c>
      <c r="DI324" s="0" t="e">
        <v>#VALUE!</v>
      </c>
      <c r="DJ324" s="0" t="n">
        <v>8.36</v>
      </c>
      <c r="DK324" s="0" t="n">
        <v>1.54530711646582</v>
      </c>
      <c r="DL324" s="0" t="n">
        <v>1.41497334797082</v>
      </c>
      <c r="DM324" s="0" t="n">
        <v>2.83671772153776</v>
      </c>
      <c r="DN324" s="0" t="n">
        <v>534.844116859634</v>
      </c>
      <c r="DO324" s="0" t="n">
        <v>40.3308782653967</v>
      </c>
      <c r="DP324" s="0" t="n">
        <v>-494.513238594237</v>
      </c>
      <c r="DQ324" s="0" t="n">
        <v>8.36</v>
      </c>
      <c r="DR324" s="0" t="n">
        <v>1.54530711646582</v>
      </c>
      <c r="DS324" s="0" t="n">
        <v>1.41497334797082</v>
      </c>
      <c r="DT324" s="0" t="n">
        <v>2.83671772153776</v>
      </c>
      <c r="DU324" s="0" t="n">
        <v>548.433587820237</v>
      </c>
      <c r="DV324" s="0" t="n">
        <v>40.6750396842358</v>
      </c>
      <c r="DW324" s="0" t="n">
        <v>-507.758548136002</v>
      </c>
      <c r="DX324" s="0" t="n">
        <v>8.36</v>
      </c>
      <c r="DY324" s="0" t="n">
        <v>1.54530711646582</v>
      </c>
      <c r="DZ324" s="0" t="n">
        <v>1.41497334797082</v>
      </c>
      <c r="EA324" s="0" t="n">
        <v>2.83671772153776</v>
      </c>
      <c r="EB324" s="0" t="n">
        <v>497.246731638611</v>
      </c>
      <c r="EC324" s="0" t="n">
        <v>40.6750396842358</v>
      </c>
      <c r="ED324" s="0" t="n">
        <v>-456.571691954375</v>
      </c>
    </row>
    <row r="325" customFormat="false" ht="13.2" hidden="false" customHeight="false" outlineLevel="0" collapsed="false">
      <c r="A325" s="8" t="s">
        <v>425</v>
      </c>
      <c r="B325" s="42" t="s">
        <v>241</v>
      </c>
      <c r="C325" s="42" t="n">
        <f aca="false">BN9</f>
        <v>8.09</v>
      </c>
      <c r="D325" s="42" t="s">
        <v>241</v>
      </c>
      <c r="E325" s="42" t="n">
        <f aca="false">BM9</f>
        <v>1.3541084391474</v>
      </c>
      <c r="F325" s="42" t="s">
        <v>241</v>
      </c>
      <c r="G325" s="42" t="n">
        <f aca="false">AN9</f>
        <v>0.912168108513389</v>
      </c>
      <c r="H325" s="42" t="s">
        <v>241</v>
      </c>
      <c r="I325" s="42" t="n">
        <f aca="false">H9</f>
        <v>0.004</v>
      </c>
      <c r="J325" s="8" t="s">
        <v>241</v>
      </c>
      <c r="K325" s="42" t="n">
        <f aca="false">AS9</f>
        <v>0.498927462479892</v>
      </c>
      <c r="L325" s="42" t="s">
        <v>241</v>
      </c>
      <c r="M325" s="42" t="n">
        <f aca="false">Q9</f>
        <v>0.05</v>
      </c>
      <c r="N325" s="42" t="s">
        <v>241</v>
      </c>
      <c r="O325" s="42" t="n">
        <f aca="false">BC9*2.355</f>
        <v>0.729598333333334</v>
      </c>
      <c r="P325" s="42" t="s">
        <v>241</v>
      </c>
      <c r="Q325" s="42" t="n">
        <f aca="false">Sheet2!N9</f>
        <v>61.2125287494312</v>
      </c>
      <c r="R325" s="42" t="s">
        <v>350</v>
      </c>
      <c r="BZ325" s="0" t="n">
        <v>2.26481782300954</v>
      </c>
      <c r="CA325" s="0" t="n">
        <v>1.51719589794997</v>
      </c>
      <c r="CB325" s="0" t="n">
        <v>40.3638560670355</v>
      </c>
      <c r="CC325" s="0" t="n">
        <v>39.7119114592515</v>
      </c>
      <c r="CD325" s="0" t="n">
        <v>-0.651944607784024</v>
      </c>
      <c r="CE325" s="20" t="n">
        <f aca="false">(CD325)^2</f>
        <v>0.425031771618665</v>
      </c>
      <c r="CG325" s="0" t="n">
        <v>2.26481782300954</v>
      </c>
      <c r="CH325" s="0" t="n">
        <v>1.51719589794997</v>
      </c>
      <c r="CI325" s="0" t="n">
        <v>40.7160005687455</v>
      </c>
      <c r="CJ325" s="0" t="n">
        <v>40.3675165950432</v>
      </c>
      <c r="CK325" s="0" t="n">
        <v>-0.348483973702336</v>
      </c>
      <c r="CL325" s="20" t="n">
        <f aca="false">(CK325)^2</f>
        <v>0.121441079927371</v>
      </c>
      <c r="CN325" s="0" t="n">
        <v>2.26481782300954</v>
      </c>
      <c r="CO325" s="0" t="n">
        <v>1.51719589794997</v>
      </c>
      <c r="CP325" s="0" t="n">
        <v>40.6041312740295</v>
      </c>
      <c r="CQ325" s="0" t="n">
        <v>40.3675165950432</v>
      </c>
      <c r="CR325" s="0" t="n">
        <v>-0.236614678986271</v>
      </c>
      <c r="CS325" s="20" t="n">
        <f aca="false">(CR325)^2</f>
        <v>0.0559865063117761</v>
      </c>
      <c r="CU325" s="0" t="n">
        <v>8.07</v>
      </c>
      <c r="CV325" s="0" t="n">
        <v>1.60915460710411</v>
      </c>
      <c r="CW325" s="0" t="n">
        <v>1.69019608002851</v>
      </c>
      <c r="CX325" s="0" t="n">
        <v>0.0810414729243976</v>
      </c>
      <c r="CY325" s="20" t="n">
        <f aca="false">(CX325)^2</f>
        <v>0.00656772033375586</v>
      </c>
      <c r="DC325" s="0" t="n">
        <v>8.25</v>
      </c>
      <c r="DD325" s="0" t="n">
        <v>1.53781909507327</v>
      </c>
      <c r="DE325" s="0" t="n">
        <v>2.03742649794062</v>
      </c>
      <c r="DF325" s="0" t="n">
        <v>2.65881683983858</v>
      </c>
      <c r="DG325" s="0" t="e">
        <v>#VALUE!</v>
      </c>
      <c r="DH325" s="0" t="n">
        <v>0</v>
      </c>
      <c r="DI325" s="0" t="e">
        <v>#VALUE!</v>
      </c>
      <c r="DJ325" s="0" t="n">
        <v>8.25</v>
      </c>
      <c r="DK325" s="0" t="n">
        <v>1.53781909507327</v>
      </c>
      <c r="DL325" s="0" t="n">
        <v>2.03742649794062</v>
      </c>
      <c r="DM325" s="0" t="n">
        <v>2.65881683983858</v>
      </c>
      <c r="DN325" s="0" t="n">
        <v>546.399502418613</v>
      </c>
      <c r="DO325" s="0" t="n">
        <v>40.5363222856562</v>
      </c>
      <c r="DP325" s="0" t="n">
        <v>-505.863180132957</v>
      </c>
      <c r="DQ325" s="0" t="n">
        <v>8.25</v>
      </c>
      <c r="DR325" s="0" t="n">
        <v>1.53781909507327</v>
      </c>
      <c r="DS325" s="0" t="n">
        <v>2.03742649794062</v>
      </c>
      <c r="DT325" s="0" t="n">
        <v>2.65881683983858</v>
      </c>
      <c r="DU325" s="0" t="n">
        <v>560.267924419225</v>
      </c>
      <c r="DV325" s="0" t="n">
        <v>40.8519069419647</v>
      </c>
      <c r="DW325" s="0" t="n">
        <v>-519.41601747726</v>
      </c>
      <c r="DX325" s="0" t="n">
        <v>8.25</v>
      </c>
      <c r="DY325" s="0" t="n">
        <v>1.53781909507327</v>
      </c>
      <c r="DZ325" s="0" t="n">
        <v>2.03742649794062</v>
      </c>
      <c r="EA325" s="0" t="n">
        <v>2.65881683983858</v>
      </c>
      <c r="EB325" s="0" t="n">
        <v>507.976536168538</v>
      </c>
      <c r="EC325" s="0" t="n">
        <v>40.8519069419647</v>
      </c>
      <c r="ED325" s="0" t="n">
        <v>-467.124629226573</v>
      </c>
    </row>
    <row r="326" customFormat="false" ht="13.2" hidden="false" customHeight="false" outlineLevel="0" collapsed="false">
      <c r="A326" s="8" t="s">
        <v>426</v>
      </c>
      <c r="B326" s="42" t="s">
        <v>241</v>
      </c>
      <c r="C326" s="42" t="n">
        <f aca="false">BN10</f>
        <v>7.96</v>
      </c>
      <c r="D326" s="42" t="s">
        <v>241</v>
      </c>
      <c r="E326" s="42" t="n">
        <f aca="false">BM10</f>
        <v>1.42488163663107</v>
      </c>
      <c r="F326" s="42" t="s">
        <v>241</v>
      </c>
      <c r="G326" s="42" t="n">
        <f aca="false">AN10</f>
        <v>2.5738001175032</v>
      </c>
      <c r="H326" s="42" t="s">
        <v>241</v>
      </c>
      <c r="I326" s="42" t="n">
        <f aca="false">H10</f>
        <v>0.2332</v>
      </c>
      <c r="J326" s="8" t="s">
        <v>241</v>
      </c>
      <c r="K326" s="42" t="n">
        <f aca="false">AS10</f>
        <v>0.77273971790606</v>
      </c>
      <c r="L326" s="42" t="s">
        <v>241</v>
      </c>
      <c r="M326" s="42" t="n">
        <f aca="false">Q10</f>
        <v>0.3195</v>
      </c>
      <c r="N326" s="42" t="s">
        <v>241</v>
      </c>
      <c r="O326" s="42" t="n">
        <f aca="false">BC10*2.355</f>
        <v>1.53433</v>
      </c>
      <c r="P326" s="42" t="s">
        <v>241</v>
      </c>
      <c r="Q326" s="42" t="n">
        <f aca="false">Sheet2!N10</f>
        <v>95.7600538472889</v>
      </c>
      <c r="R326" s="42" t="s">
        <v>350</v>
      </c>
      <c r="BZ326" s="0" t="n">
        <v>1.69019608002851</v>
      </c>
      <c r="CA326" s="0" t="n">
        <v>1.32221929473392</v>
      </c>
      <c r="CB326" s="0" t="n">
        <v>39.732905140987</v>
      </c>
      <c r="CC326" s="0" t="n">
        <v>39.8158956218551</v>
      </c>
      <c r="CD326" s="0" t="n">
        <v>0.0829904808680837</v>
      </c>
      <c r="CE326" s="20" t="n">
        <f aca="false">(CD326)^2</f>
        <v>0.00688741991471577</v>
      </c>
      <c r="CG326" s="0" t="n">
        <v>1.69019608002851</v>
      </c>
      <c r="CH326" s="0" t="n">
        <v>1.32221929473392</v>
      </c>
      <c r="CI326" s="0" t="n">
        <v>40.2358432738021</v>
      </c>
      <c r="CJ326" s="0" t="n">
        <v>40.2813702480347</v>
      </c>
      <c r="CK326" s="0" t="n">
        <v>0.0455269742325655</v>
      </c>
      <c r="CL326" s="20" t="n">
        <f aca="false">(CK326)^2</f>
        <v>0.00207270538277268</v>
      </c>
      <c r="CN326" s="0" t="n">
        <v>1.69019608002851</v>
      </c>
      <c r="CO326" s="0" t="n">
        <v>1.32221929473392</v>
      </c>
      <c r="CP326" s="0" t="n">
        <v>40.0180008992316</v>
      </c>
      <c r="CQ326" s="0" t="n">
        <v>40.2813702480347</v>
      </c>
      <c r="CR326" s="0" t="n">
        <v>0.26336934880311</v>
      </c>
      <c r="CS326" s="20" t="n">
        <f aca="false">(CR326)^2</f>
        <v>0.0693634138889742</v>
      </c>
      <c r="CU326" s="0" t="n">
        <v>8.27</v>
      </c>
      <c r="CV326" s="0" t="n">
        <v>1.58298401861246</v>
      </c>
      <c r="CW326" s="0" t="n">
        <v>1.83250891270624</v>
      </c>
      <c r="CX326" s="0" t="n">
        <v>0.249524894093775</v>
      </c>
      <c r="CY326" s="20" t="n">
        <f aca="false">(CX326)^2</f>
        <v>0.0622626727725098</v>
      </c>
      <c r="DC326" s="0" t="n">
        <v>8.07</v>
      </c>
      <c r="DD326" s="0" t="n">
        <v>1.51719589794997</v>
      </c>
      <c r="DE326" s="0" t="n">
        <v>2.26481782300954</v>
      </c>
      <c r="DF326" s="0" t="n">
        <v>2.39301947013859</v>
      </c>
      <c r="DG326" s="0" t="e">
        <v>#VALUE!</v>
      </c>
      <c r="DH326" s="0" t="n">
        <v>0</v>
      </c>
      <c r="DI326" s="0" t="e">
        <v>#VALUE!</v>
      </c>
      <c r="DJ326" s="0" t="n">
        <v>8.07</v>
      </c>
      <c r="DK326" s="0" t="n">
        <v>1.51719589794997</v>
      </c>
      <c r="DL326" s="0" t="n">
        <v>2.26481782300954</v>
      </c>
      <c r="DM326" s="0" t="n">
        <v>2.39301947013859</v>
      </c>
      <c r="DN326" s="0" t="n">
        <v>537.954448962887</v>
      </c>
      <c r="DO326" s="0" t="n">
        <v>39.7119114592515</v>
      </c>
      <c r="DP326" s="0" t="n">
        <v>-498.242537503635</v>
      </c>
      <c r="DQ326" s="0" t="n">
        <v>8.07</v>
      </c>
      <c r="DR326" s="0" t="n">
        <v>1.51719589794997</v>
      </c>
      <c r="DS326" s="0" t="n">
        <v>2.26481782300954</v>
      </c>
      <c r="DT326" s="0" t="n">
        <v>2.39301947013859</v>
      </c>
      <c r="DU326" s="0" t="n">
        <v>551.619004425911</v>
      </c>
      <c r="DV326" s="0" t="n">
        <v>40.3675165950432</v>
      </c>
      <c r="DW326" s="0" t="n">
        <v>-511.251487830868</v>
      </c>
      <c r="DX326" s="0" t="n">
        <v>8.07</v>
      </c>
      <c r="DY326" s="0" t="n">
        <v>1.51719589794997</v>
      </c>
      <c r="DZ326" s="0" t="n">
        <v>2.26481782300954</v>
      </c>
      <c r="EA326" s="0" t="n">
        <v>2.39301947013859</v>
      </c>
      <c r="EB326" s="0" t="n">
        <v>500.134844313063</v>
      </c>
      <c r="EC326" s="0" t="n">
        <v>40.3675165950432</v>
      </c>
      <c r="ED326" s="0" t="n">
        <v>-459.767327718019</v>
      </c>
    </row>
    <row r="327" customFormat="false" ht="13.2" hidden="false" customHeight="false" outlineLevel="0" collapsed="false">
      <c r="A327" s="8" t="s">
        <v>427</v>
      </c>
      <c r="B327" s="42" t="s">
        <v>241</v>
      </c>
      <c r="C327" s="42" t="n">
        <f aca="false">BN11</f>
        <v>8.01</v>
      </c>
      <c r="D327" s="42" t="s">
        <v>241</v>
      </c>
      <c r="E327" s="42" t="n">
        <f aca="false">BM11</f>
        <v>1.43775056282039</v>
      </c>
      <c r="F327" s="42" t="s">
        <v>241</v>
      </c>
      <c r="G327" s="42" t="n">
        <f aca="false">AN11</f>
        <v>1.72203803066862</v>
      </c>
      <c r="H327" s="42" t="s">
        <v>241</v>
      </c>
      <c r="I327" s="42" t="n">
        <f aca="false">H11</f>
        <v>0.0998</v>
      </c>
      <c r="J327" s="8" t="s">
        <v>241</v>
      </c>
      <c r="K327" s="42" t="n">
        <f aca="false">AS11</f>
        <v>0.609368685677178</v>
      </c>
      <c r="L327" s="42" t="s">
        <v>241</v>
      </c>
      <c r="M327" s="42" t="n">
        <f aca="false">Q11</f>
        <v>0.3787</v>
      </c>
      <c r="N327" s="42" t="s">
        <v>241</v>
      </c>
      <c r="O327" s="42" t="n">
        <f aca="false">BC11*2.355</f>
        <v>1.23460166666667</v>
      </c>
      <c r="P327" s="42" t="s">
        <v>241</v>
      </c>
      <c r="Q327" s="42" t="n">
        <f aca="false">Sheet2!N11</f>
        <v>116.47132237655</v>
      </c>
      <c r="R327" s="42" t="s">
        <v>350</v>
      </c>
      <c r="BZ327" s="0" t="n">
        <v>1.83250891270624</v>
      </c>
      <c r="CA327" s="0" t="n">
        <v>1.23299611039215</v>
      </c>
      <c r="CB327" s="0" t="n">
        <v>39.4954404450158</v>
      </c>
      <c r="CC327" s="0" t="n">
        <v>39.9770046637507</v>
      </c>
      <c r="CD327" s="0" t="n">
        <v>0.481564218734889</v>
      </c>
      <c r="CE327" s="20" t="n">
        <f aca="false">(CD327)^2</f>
        <v>0.231904096765744</v>
      </c>
      <c r="CG327" s="0" t="n">
        <v>1.83250891270624</v>
      </c>
      <c r="CH327" s="0" t="n">
        <v>1.23299611039215</v>
      </c>
      <c r="CI327" s="0" t="n">
        <v>40.0465760840197</v>
      </c>
      <c r="CJ327" s="0" t="n">
        <v>40.5618565782759</v>
      </c>
      <c r="CK327" s="0" t="n">
        <v>0.515280494256238</v>
      </c>
      <c r="CL327" s="20" t="n">
        <f aca="false">(CK327)^2</f>
        <v>0.265513987760953</v>
      </c>
      <c r="CN327" s="0" t="n">
        <v>1.83250891270624</v>
      </c>
      <c r="CO327" s="0" t="n">
        <v>1.23299611039215</v>
      </c>
      <c r="CP327" s="0" t="n">
        <v>39.7890812997533</v>
      </c>
      <c r="CQ327" s="0" t="n">
        <v>40.2717584423895</v>
      </c>
      <c r="CR327" s="0" t="n">
        <v>0.48267714263622</v>
      </c>
      <c r="CS327" s="20" t="n">
        <f aca="false">(CR327)^2</f>
        <v>0.232977224023466</v>
      </c>
      <c r="CU327" s="0" t="n">
        <v>7.89</v>
      </c>
      <c r="CV327" s="0" t="n">
        <v>1.6327081367466</v>
      </c>
      <c r="CW327" s="0" t="n">
        <v>1.79239168949825</v>
      </c>
      <c r="CX327" s="0" t="n">
        <v>0.159683552751655</v>
      </c>
      <c r="CY327" s="20" t="n">
        <f aca="false">(CX327)^2</f>
        <v>0.0254988370193905</v>
      </c>
      <c r="DC327" s="0" t="n">
        <v>8.07</v>
      </c>
      <c r="DD327" s="0" t="n">
        <v>1.32221929473392</v>
      </c>
      <c r="DE327" s="0" t="n">
        <v>1.69019608002851</v>
      </c>
      <c r="DF327" s="0" t="n">
        <v>2.33598198537144</v>
      </c>
      <c r="DG327" s="0" t="e">
        <v>#VALUE!</v>
      </c>
      <c r="DH327" s="0" t="n">
        <v>0</v>
      </c>
      <c r="DI327" s="0" t="e">
        <v>#VALUE!</v>
      </c>
      <c r="DJ327" s="0" t="n">
        <v>8.07</v>
      </c>
      <c r="DK327" s="0" t="n">
        <v>1.32221929473392</v>
      </c>
      <c r="DL327" s="0" t="n">
        <v>1.69019608002851</v>
      </c>
      <c r="DM327" s="0" t="n">
        <v>2.33598198537144</v>
      </c>
      <c r="DN327" s="0" t="n">
        <v>508.748885117751</v>
      </c>
      <c r="DO327" s="0" t="n">
        <v>39.8158956218551</v>
      </c>
      <c r="DP327" s="0" t="n">
        <v>-468.932989495896</v>
      </c>
      <c r="DQ327" s="0" t="n">
        <v>8.07</v>
      </c>
      <c r="DR327" s="0" t="n">
        <v>1.32221929473392</v>
      </c>
      <c r="DS327" s="0" t="n">
        <v>1.69019608002851</v>
      </c>
      <c r="DT327" s="0" t="n">
        <v>2.33598198537144</v>
      </c>
      <c r="DU327" s="0" t="n">
        <v>521.708408077355</v>
      </c>
      <c r="DV327" s="0" t="n">
        <v>40.2813702480347</v>
      </c>
      <c r="DW327" s="0" t="n">
        <v>-481.42703782932</v>
      </c>
      <c r="DX327" s="0" t="n">
        <v>8.07</v>
      </c>
      <c r="DY327" s="0" t="n">
        <v>1.32221929473392</v>
      </c>
      <c r="DZ327" s="0" t="n">
        <v>1.69019608002851</v>
      </c>
      <c r="EA327" s="0" t="n">
        <v>2.33598198537144</v>
      </c>
      <c r="EB327" s="0" t="n">
        <v>473.015888424905</v>
      </c>
      <c r="EC327" s="0" t="n">
        <v>40.2813702480347</v>
      </c>
      <c r="ED327" s="0" t="n">
        <v>-432.73451817687</v>
      </c>
    </row>
    <row r="328" customFormat="false" ht="13.2" hidden="false" customHeight="false" outlineLevel="0" collapsed="false">
      <c r="A328" s="8" t="s">
        <v>428</v>
      </c>
      <c r="B328" s="42" t="s">
        <v>241</v>
      </c>
      <c r="C328" s="42" t="n">
        <f aca="false">BN12</f>
        <v>7.99</v>
      </c>
      <c r="D328" s="42" t="s">
        <v>241</v>
      </c>
      <c r="E328" s="42" t="n">
        <f aca="false">BM12</f>
        <v>1.31386722036915</v>
      </c>
      <c r="F328" s="42" t="s">
        <v>241</v>
      </c>
      <c r="G328" s="42" t="n">
        <f aca="false">AN12</f>
        <v>2.47227095394793</v>
      </c>
      <c r="H328" s="42" t="s">
        <v>241</v>
      </c>
      <c r="I328" s="42" t="n">
        <f aca="false">H12</f>
        <v>0.259</v>
      </c>
      <c r="J328" s="8" t="s">
        <v>241</v>
      </c>
      <c r="K328" s="42" t="n">
        <f aca="false">AS12</f>
        <v>0.60166004775985</v>
      </c>
      <c r="L328" s="42" t="s">
        <v>241</v>
      </c>
      <c r="M328" s="42" t="n">
        <f aca="false">Q12</f>
        <v>0.05</v>
      </c>
      <c r="N328" s="42" t="s">
        <v>241</v>
      </c>
      <c r="O328" s="42" t="n">
        <f aca="false">BC12*2.355</f>
        <v>2.210018664</v>
      </c>
      <c r="P328" s="42" t="s">
        <v>241</v>
      </c>
      <c r="Q328" s="42" t="n">
        <f aca="false">Sheet2!N12</f>
        <v>18.0786700229718</v>
      </c>
      <c r="R328" s="42" t="s">
        <v>350</v>
      </c>
      <c r="BZ328" s="0" t="n">
        <v>1.79239168949825</v>
      </c>
      <c r="CA328" s="0" t="n">
        <v>1.23299611039215</v>
      </c>
      <c r="CB328" s="0" t="n">
        <v>39.4903657643775</v>
      </c>
      <c r="CC328" s="0" t="n">
        <v>39.0888685217564</v>
      </c>
      <c r="CD328" s="0" t="n">
        <v>-0.401497242621133</v>
      </c>
      <c r="CE328" s="20" t="n">
        <f aca="false">(CD328)^2</f>
        <v>0.161200035832373</v>
      </c>
      <c r="CG328" s="0" t="n">
        <v>1.79239168949825</v>
      </c>
      <c r="CH328" s="0" t="n">
        <v>1.23299611039215</v>
      </c>
      <c r="CI328" s="0" t="n">
        <v>40.0435611008549</v>
      </c>
      <c r="CJ328" s="0" t="n">
        <v>39.807392282766</v>
      </c>
      <c r="CK328" s="0" t="n">
        <v>-0.236168818088935</v>
      </c>
      <c r="CL328" s="20" t="n">
        <f aca="false">(CK328)^2</f>
        <v>0.0557757106375242</v>
      </c>
      <c r="CN328" s="0" t="n">
        <v>1.79239168949825</v>
      </c>
      <c r="CO328" s="0" t="n">
        <v>1.23299611039215</v>
      </c>
      <c r="CP328" s="0" t="n">
        <v>39.7851910567666</v>
      </c>
      <c r="CQ328" s="0" t="n">
        <v>39.2678630647137</v>
      </c>
      <c r="CR328" s="0" t="n">
        <v>-0.517327992052948</v>
      </c>
      <c r="CS328" s="20" t="n">
        <f aca="false">(CR328)^2</f>
        <v>0.267628251361535</v>
      </c>
      <c r="CU328" s="0" t="n">
        <v>8.27</v>
      </c>
      <c r="CV328" s="0" t="n">
        <v>1.58298401861246</v>
      </c>
      <c r="CW328" s="0" t="n">
        <v>1.53147891704226</v>
      </c>
      <c r="CX328" s="0" t="n">
        <v>-0.0515051015702046</v>
      </c>
      <c r="CY328" s="20" t="n">
        <f aca="false">(CX328)^2</f>
        <v>0.00265277548775709</v>
      </c>
      <c r="DC328" s="0" t="n">
        <v>8.27</v>
      </c>
      <c r="DD328" s="0" t="n">
        <v>1.23299611039215</v>
      </c>
      <c r="DE328" s="0" t="n">
        <v>1.83250891270624</v>
      </c>
      <c r="DF328" s="0" t="n">
        <v>3.06174587184761</v>
      </c>
      <c r="DG328" s="0" t="e">
        <v>#VALUE!</v>
      </c>
      <c r="DH328" s="0" t="n">
        <v>0</v>
      </c>
      <c r="DI328" s="0" t="e">
        <v>#VALUE!</v>
      </c>
      <c r="DJ328" s="0" t="n">
        <v>8.27</v>
      </c>
      <c r="DK328" s="0" t="n">
        <v>1.23299611039215</v>
      </c>
      <c r="DL328" s="0" t="n">
        <v>1.83250891270624</v>
      </c>
      <c r="DM328" s="0" t="n">
        <v>3.06174587184761</v>
      </c>
      <c r="DN328" s="0" t="n">
        <v>543.332396181681</v>
      </c>
      <c r="DO328" s="0" t="n">
        <v>39.9770046637507</v>
      </c>
      <c r="DP328" s="0" t="n">
        <v>-503.35539151793</v>
      </c>
      <c r="DQ328" s="0" t="n">
        <v>8.27</v>
      </c>
      <c r="DR328" s="0" t="n">
        <v>1.23299611039215</v>
      </c>
      <c r="DS328" s="0" t="n">
        <v>1.83250891270624</v>
      </c>
      <c r="DT328" s="0" t="n">
        <v>3.06174587184761</v>
      </c>
      <c r="DU328" s="0" t="n">
        <v>557.12677716737</v>
      </c>
      <c r="DV328" s="0" t="n">
        <v>40.5618565782759</v>
      </c>
      <c r="DW328" s="0" t="n">
        <v>-516.564920589095</v>
      </c>
      <c r="DX328" s="0" t="n">
        <v>8.27</v>
      </c>
      <c r="DY328" s="0" t="n">
        <v>1.23299611039215</v>
      </c>
      <c r="DZ328" s="0" t="n">
        <v>1.83250891270624</v>
      </c>
      <c r="EA328" s="0" t="n">
        <v>3.06174587184761</v>
      </c>
      <c r="EB328" s="0" t="n">
        <v>505.128561064044</v>
      </c>
      <c r="EC328" s="0" t="n">
        <v>40.2717584423895</v>
      </c>
      <c r="ED328" s="0" t="n">
        <v>-464.856802621655</v>
      </c>
    </row>
    <row r="329" customFormat="false" ht="13.2" hidden="false" customHeight="false" outlineLevel="0" collapsed="false">
      <c r="A329" s="8" t="s">
        <v>429</v>
      </c>
      <c r="B329" s="42" t="s">
        <v>241</v>
      </c>
      <c r="C329" s="42" t="n">
        <f aca="false">BN13</f>
        <v>8.07</v>
      </c>
      <c r="D329" s="42" t="s">
        <v>241</v>
      </c>
      <c r="E329" s="42" t="n">
        <f aca="false">BM13</f>
        <v>1.51719589794997</v>
      </c>
      <c r="F329" s="42" t="s">
        <v>241</v>
      </c>
      <c r="G329" s="42" t="n">
        <f aca="false">AN13</f>
        <v>3.41882801718779</v>
      </c>
      <c r="H329" s="42" t="s">
        <v>241</v>
      </c>
      <c r="I329" s="42" t="n">
        <f aca="false">H13</f>
        <v>0.4119</v>
      </c>
      <c r="J329" s="8" t="s">
        <v>241</v>
      </c>
      <c r="K329" s="42" t="n">
        <f aca="false">AS13</f>
        <v>0.625687074083191</v>
      </c>
      <c r="L329" s="42" t="s">
        <v>241</v>
      </c>
      <c r="M329" s="42" t="n">
        <f aca="false">Q13</f>
        <v>0.05</v>
      </c>
      <c r="N329" s="42" t="s">
        <v>241</v>
      </c>
      <c r="O329" s="42" t="n">
        <f aca="false">BC13*2.355</f>
        <v>2.6658008895</v>
      </c>
      <c r="P329" s="42" t="s">
        <v>241</v>
      </c>
      <c r="Q329" s="42" t="n">
        <f aca="false">Sheet2!N13</f>
        <v>11.7393468285763</v>
      </c>
      <c r="R329" s="42" t="s">
        <v>350</v>
      </c>
      <c r="BZ329" s="0" t="n">
        <v>1.53147891704226</v>
      </c>
      <c r="CA329" s="0" t="n">
        <v>1.3541084391474</v>
      </c>
      <c r="CB329" s="0" t="n">
        <v>39.804134048616</v>
      </c>
      <c r="CC329" s="0" t="n">
        <v>39.3364926286811</v>
      </c>
      <c r="CD329" s="0" t="n">
        <v>-0.467641419934949</v>
      </c>
      <c r="CE329" s="20" t="n">
        <f aca="false">(CD329)^2</f>
        <v>0.218688497638776</v>
      </c>
      <c r="CG329" s="0" t="n">
        <v>1.53147891704226</v>
      </c>
      <c r="CH329" s="0" t="n">
        <v>1.3541084391474</v>
      </c>
      <c r="CI329" s="0" t="n">
        <v>40.2953833744892</v>
      </c>
      <c r="CJ329" s="0" t="n">
        <v>39.6234285182525</v>
      </c>
      <c r="CK329" s="0" t="n">
        <v>-0.67195485623671</v>
      </c>
      <c r="CL329" s="20" t="n">
        <f aca="false">(CK329)^2</f>
        <v>0.451523328820097</v>
      </c>
      <c r="CN329" s="0" t="n">
        <v>1.53147891704226</v>
      </c>
      <c r="CO329" s="0" t="n">
        <v>1.3541084391474</v>
      </c>
      <c r="CP329" s="0" t="n">
        <v>40.0893600211492</v>
      </c>
      <c r="CQ329" s="0" t="n">
        <v>39.6234285182525</v>
      </c>
      <c r="CR329" s="0" t="n">
        <v>-0.465931502896723</v>
      </c>
      <c r="CS329" s="20" t="n">
        <f aca="false">(CR329)^2</f>
        <v>0.217092165391599</v>
      </c>
      <c r="CU329" s="0" t="n">
        <v>8.49</v>
      </c>
      <c r="CV329" s="0" t="n">
        <v>1.55419637127165</v>
      </c>
      <c r="CW329" s="0" t="n">
        <v>1.34242268082221</v>
      </c>
      <c r="CX329" s="0" t="n">
        <v>-0.211773690449442</v>
      </c>
      <c r="CY329" s="20" t="n">
        <f aca="false">(CX329)^2</f>
        <v>0.0448480959665762</v>
      </c>
      <c r="DC329" s="0" t="n">
        <v>7.89</v>
      </c>
      <c r="DD329" s="0" t="n">
        <v>1.23299611039215</v>
      </c>
      <c r="DE329" s="0" t="n">
        <v>1.79239168949825</v>
      </c>
      <c r="DF329" s="0" t="n">
        <v>2.3701921055245</v>
      </c>
      <c r="DG329" s="0" t="e">
        <v>#VALUE!</v>
      </c>
      <c r="DH329" s="0" t="n">
        <v>0</v>
      </c>
      <c r="DI329" s="0" t="e">
        <v>#VALUE!</v>
      </c>
      <c r="DJ329" s="0" t="n">
        <v>7.89</v>
      </c>
      <c r="DK329" s="0" t="n">
        <v>1.23299611039215</v>
      </c>
      <c r="DL329" s="0" t="n">
        <v>1.79239168949825</v>
      </c>
      <c r="DM329" s="0" t="n">
        <v>2.3701921055245</v>
      </c>
      <c r="DN329" s="0" t="n">
        <v>504.056360903045</v>
      </c>
      <c r="DO329" s="0" t="n">
        <v>39.0888685217564</v>
      </c>
      <c r="DP329" s="0" t="n">
        <v>-464.967492381289</v>
      </c>
      <c r="DQ329" s="0" t="n">
        <v>7.89</v>
      </c>
      <c r="DR329" s="0" t="n">
        <v>1.23299611039215</v>
      </c>
      <c r="DS329" s="0" t="n">
        <v>1.79239168949825</v>
      </c>
      <c r="DT329" s="0" t="n">
        <v>2.3701921055245</v>
      </c>
      <c r="DU329" s="0" t="n">
        <v>516.902604690502</v>
      </c>
      <c r="DV329" s="0" t="n">
        <v>39.807392282766</v>
      </c>
      <c r="DW329" s="0" t="n">
        <v>-477.095212407736</v>
      </c>
      <c r="DX329" s="0" t="n">
        <v>7.89</v>
      </c>
      <c r="DY329" s="0" t="n">
        <v>1.23299611039215</v>
      </c>
      <c r="DZ329" s="0" t="n">
        <v>1.79239168949825</v>
      </c>
      <c r="EA329" s="0" t="n">
        <v>2.3701921055245</v>
      </c>
      <c r="EB329" s="0" t="n">
        <v>468.658624245466</v>
      </c>
      <c r="EC329" s="0" t="n">
        <v>39.2678630647137</v>
      </c>
      <c r="ED329" s="0" t="n">
        <v>-429.390761180752</v>
      </c>
    </row>
    <row r="330" customFormat="false" ht="13.2" hidden="false" customHeight="false" outlineLevel="0" collapsed="false">
      <c r="A330" s="8" t="s">
        <v>430</v>
      </c>
      <c r="B330" s="42" t="s">
        <v>241</v>
      </c>
      <c r="C330" s="42" t="n">
        <f aca="false">BN14</f>
        <v>8.07</v>
      </c>
      <c r="D330" s="42" t="s">
        <v>241</v>
      </c>
      <c r="E330" s="42" t="n">
        <f aca="false">BM14</f>
        <v>1.32221929473392</v>
      </c>
      <c r="F330" s="42" t="s">
        <v>241</v>
      </c>
      <c r="G330" s="42" t="n">
        <f aca="false">AN14</f>
        <v>1.7947395747854</v>
      </c>
      <c r="H330" s="42" t="s">
        <v>241</v>
      </c>
      <c r="I330" s="42" t="n">
        <f aca="false">H14</f>
        <v>0.5827</v>
      </c>
      <c r="J330" s="8" t="s">
        <v>241</v>
      </c>
      <c r="K330" s="42" t="n">
        <f aca="false">AS14</f>
        <v>0.82999165280762</v>
      </c>
      <c r="L330" s="42" t="s">
        <v>241</v>
      </c>
      <c r="M330" s="42" t="n">
        <f aca="false">Q14</f>
        <v>0.234</v>
      </c>
      <c r="N330" s="42" t="s">
        <v>241</v>
      </c>
      <c r="O330" s="42" t="n">
        <f aca="false">BC14*2.355</f>
        <v>3.65126265</v>
      </c>
      <c r="P330" s="42" t="s">
        <v>241</v>
      </c>
      <c r="Q330" s="42" t="n">
        <f aca="false">Sheet2!N14</f>
        <v>19.0450403415992</v>
      </c>
      <c r="R330" s="42" t="s">
        <v>350</v>
      </c>
      <c r="BZ330" s="0" t="n">
        <v>1.34242268082221</v>
      </c>
      <c r="CA330" s="0" t="n">
        <v>1.48572142648158</v>
      </c>
      <c r="CB330" s="0" t="n">
        <v>40.1570577490169</v>
      </c>
      <c r="CC330" s="0" t="n">
        <v>40.3263420583806</v>
      </c>
      <c r="CD330" s="0" t="n">
        <v>0.169284309363739</v>
      </c>
      <c r="CE330" s="20" t="n">
        <f aca="false">(CD330)^2</f>
        <v>0.0286571773967582</v>
      </c>
      <c r="CG330" s="0" t="n">
        <v>1.34242268082221</v>
      </c>
      <c r="CH330" s="0" t="n">
        <v>1.48572142648158</v>
      </c>
      <c r="CI330" s="0" t="n">
        <v>40.5761395381476</v>
      </c>
      <c r="CJ330" s="0" t="n">
        <v>40.3264007404092</v>
      </c>
      <c r="CK330" s="0" t="n">
        <v>-0.249738797738438</v>
      </c>
      <c r="CL330" s="20" t="n">
        <f aca="false">(CK330)^2</f>
        <v>0.0623694670958403</v>
      </c>
      <c r="CN330" s="0" t="n">
        <v>1.34242268082221</v>
      </c>
      <c r="CO330" s="0" t="n">
        <v>1.48572142648158</v>
      </c>
      <c r="CP330" s="0" t="n">
        <v>40.4290627109876</v>
      </c>
      <c r="CQ330" s="0" t="n">
        <v>40.3264007404092</v>
      </c>
      <c r="CR330" s="0" t="n">
        <v>-0.102661970578446</v>
      </c>
      <c r="CS330" s="20" t="n">
        <f aca="false">(CR330)^2</f>
        <v>0.0105394802030496</v>
      </c>
      <c r="CU330" s="0" t="n">
        <v>8.02</v>
      </c>
      <c r="CV330" s="0" t="n">
        <v>1.61569725422702</v>
      </c>
      <c r="CW330" s="0" t="n">
        <v>1.30102999566398</v>
      </c>
      <c r="CX330" s="0" t="n">
        <v>-0.314667258563044</v>
      </c>
      <c r="CY330" s="20" t="n">
        <f aca="false">(CX330)^2</f>
        <v>0.0990154836115818</v>
      </c>
      <c r="DC330" s="0" t="n">
        <v>8.49</v>
      </c>
      <c r="DD330" s="0" t="n">
        <v>1.48572142648158</v>
      </c>
      <c r="DE330" s="0" t="n">
        <v>1.34242268082221</v>
      </c>
      <c r="DF330" s="0" t="n">
        <v>3.01564094745514</v>
      </c>
      <c r="DG330" s="0" t="e">
        <v>#VALUE!</v>
      </c>
      <c r="DH330" s="0" t="n">
        <v>0</v>
      </c>
      <c r="DI330" s="0" t="e">
        <v>#VALUE!</v>
      </c>
      <c r="DJ330" s="0" t="n">
        <v>8.49</v>
      </c>
      <c r="DK330" s="0" t="n">
        <v>1.48572142648158</v>
      </c>
      <c r="DL330" s="0" t="n">
        <v>1.34242268082221</v>
      </c>
      <c r="DM330" s="0" t="n">
        <v>3.01564094745514</v>
      </c>
      <c r="DN330" s="0" t="n">
        <v>541.090108129146</v>
      </c>
      <c r="DO330" s="0" t="n">
        <v>40.3263420583806</v>
      </c>
      <c r="DP330" s="0" t="n">
        <v>-500.763766070765</v>
      </c>
      <c r="DQ330" s="0" t="n">
        <v>8.49</v>
      </c>
      <c r="DR330" s="0" t="n">
        <v>1.48572142648158</v>
      </c>
      <c r="DS330" s="0" t="n">
        <v>1.34242268082221</v>
      </c>
      <c r="DT330" s="0" t="n">
        <v>3.01564094745514</v>
      </c>
      <c r="DU330" s="0" t="n">
        <v>554.83035949873</v>
      </c>
      <c r="DV330" s="0" t="n">
        <v>40.3264007404092</v>
      </c>
      <c r="DW330" s="0" t="n">
        <v>-514.503958758321</v>
      </c>
      <c r="DX330" s="0" t="n">
        <v>8.49</v>
      </c>
      <c r="DY330" s="0" t="n">
        <v>1.48572142648158</v>
      </c>
      <c r="DZ330" s="0" t="n">
        <v>1.34242268082221</v>
      </c>
      <c r="EA330" s="0" t="n">
        <v>3.01564094745514</v>
      </c>
      <c r="EB330" s="0" t="n">
        <v>503.04647454424</v>
      </c>
      <c r="EC330" s="0" t="n">
        <v>40.3264007404092</v>
      </c>
      <c r="ED330" s="0" t="n">
        <v>-462.720073803831</v>
      </c>
    </row>
    <row r="331" customFormat="false" ht="13.2" hidden="false" customHeight="false" outlineLevel="0" collapsed="false">
      <c r="A331" s="8" t="s">
        <v>431</v>
      </c>
      <c r="B331" s="42" t="s">
        <v>241</v>
      </c>
      <c r="C331" s="42" t="n">
        <f aca="false">BN15</f>
        <v>8.27</v>
      </c>
      <c r="D331" s="42" t="s">
        <v>241</v>
      </c>
      <c r="E331" s="42" t="n">
        <f aca="false">BM15</f>
        <v>1.23299611039215</v>
      </c>
      <c r="F331" s="42" t="s">
        <v>241</v>
      </c>
      <c r="G331" s="42" t="n">
        <f aca="false">AN15</f>
        <v>8.19540788362487</v>
      </c>
      <c r="H331" s="42" t="s">
        <v>241</v>
      </c>
      <c r="I331" s="42" t="n">
        <f aca="false">H15</f>
        <v>0.1897</v>
      </c>
      <c r="J331" s="8" t="s">
        <v>241</v>
      </c>
      <c r="K331" s="42" t="n">
        <f aca="false">AS15</f>
        <v>0.642122669584369</v>
      </c>
      <c r="L331" s="42" t="s">
        <v>241</v>
      </c>
      <c r="M331" s="42" t="n">
        <f aca="false">Q15</f>
        <v>0.05</v>
      </c>
      <c r="N331" s="42" t="s">
        <v>241</v>
      </c>
      <c r="O331" s="42" t="n">
        <f aca="false">BC15*2.355</f>
        <v>1.7052496125</v>
      </c>
      <c r="P331" s="42" t="s">
        <v>241</v>
      </c>
      <c r="Q331" s="42" t="n">
        <f aca="false">Sheet2!N15</f>
        <v>25.9378872328565</v>
      </c>
      <c r="R331" s="42" t="s">
        <v>350</v>
      </c>
      <c r="BZ331" s="0" t="n">
        <v>1.30102999566398</v>
      </c>
      <c r="CA331" s="0" t="n">
        <v>1.39967372148104</v>
      </c>
      <c r="CB331" s="0" t="n">
        <v>39.905447119674</v>
      </c>
      <c r="CC331" s="0" t="n">
        <v>39.7238406799932</v>
      </c>
      <c r="CD331" s="0" t="n">
        <v>-0.181606439680756</v>
      </c>
      <c r="CE331" s="20" t="n">
        <f aca="false">(CD331)^2</f>
        <v>0.0329808989335201</v>
      </c>
      <c r="CG331" s="0" t="n">
        <v>1.30102999566398</v>
      </c>
      <c r="CH331" s="0" t="n">
        <v>1.39967372148104</v>
      </c>
      <c r="CI331" s="0" t="n">
        <v>40.3801828108852</v>
      </c>
      <c r="CJ331" s="0" t="n">
        <v>40.2529720067542</v>
      </c>
      <c r="CK331" s="0" t="n">
        <v>-0.127210804130975</v>
      </c>
      <c r="CL331" s="20" t="n">
        <f aca="false">(CK331)^2</f>
        <v>0.0161825886876493</v>
      </c>
      <c r="CN331" s="0" t="n">
        <v>1.30102999566398</v>
      </c>
      <c r="CO331" s="0" t="n">
        <v>1.39967372148104</v>
      </c>
      <c r="CP331" s="0" t="n">
        <v>40.1909673142084</v>
      </c>
      <c r="CQ331" s="0" t="n">
        <v>40.0756659371669</v>
      </c>
      <c r="CR331" s="0" t="n">
        <v>-0.115301377041511</v>
      </c>
      <c r="CS331" s="20" t="n">
        <f aca="false">(CR331)^2</f>
        <v>0.0132944075476688</v>
      </c>
      <c r="CU331" s="0" t="n">
        <v>8.5</v>
      </c>
      <c r="CV331" s="0" t="n">
        <v>1.55288784184707</v>
      </c>
      <c r="CW331" s="0" t="n">
        <v>1</v>
      </c>
      <c r="CX331" s="0" t="n">
        <v>-0.55288784184707</v>
      </c>
      <c r="CY331" s="20" t="n">
        <f aca="false">(CX331)^2</f>
        <v>0.305684965662311</v>
      </c>
      <c r="DC331" s="0" t="n">
        <v>7.96</v>
      </c>
      <c r="DD331" s="0" t="n">
        <v>1.25527250510331</v>
      </c>
      <c r="DE331" s="0" t="n">
        <v>1.32221929473392</v>
      </c>
      <c r="DF331" s="0" t="n">
        <v>2.78979408705346</v>
      </c>
      <c r="DG331" s="0" t="e">
        <v>#VALUE!</v>
      </c>
      <c r="DH331" s="0" t="n">
        <v>0</v>
      </c>
      <c r="DI331" s="0" t="e">
        <v>#VALUE!</v>
      </c>
      <c r="DJ331" s="0" t="n">
        <v>7.96</v>
      </c>
      <c r="DK331" s="0" t="n">
        <v>1.25527250510331</v>
      </c>
      <c r="DL331" s="0" t="n">
        <v>1.32221929473392</v>
      </c>
      <c r="DM331" s="0" t="n">
        <v>2.78979408705346</v>
      </c>
      <c r="DN331" s="0" t="n">
        <v>505.529859460801</v>
      </c>
      <c r="DO331" s="0" t="n">
        <v>39.8138398098754</v>
      </c>
      <c r="DP331" s="0" t="n">
        <v>-465.716019650926</v>
      </c>
      <c r="DQ331" s="0" t="n">
        <v>7.96</v>
      </c>
      <c r="DR331" s="0" t="n">
        <v>1.25527250510331</v>
      </c>
      <c r="DS331" s="0" t="n">
        <v>1.32221929473392</v>
      </c>
      <c r="DT331" s="0" t="n">
        <v>2.78979408705346</v>
      </c>
      <c r="DU331" s="0" t="n">
        <v>518.411674017666</v>
      </c>
      <c r="DV331" s="0" t="n">
        <v>40.2861528339909</v>
      </c>
      <c r="DW331" s="0" t="n">
        <v>-478.125521183675</v>
      </c>
      <c r="DX331" s="0" t="n">
        <v>7.96</v>
      </c>
      <c r="DY331" s="0" t="n">
        <v>1.25527250510331</v>
      </c>
      <c r="DZ331" s="0" t="n">
        <v>1.32221929473392</v>
      </c>
      <c r="EA331" s="0" t="n">
        <v>2.78979408705346</v>
      </c>
      <c r="EB331" s="0" t="n">
        <v>470.026847868914</v>
      </c>
      <c r="EC331" s="0" t="n">
        <v>39.8999512285901</v>
      </c>
      <c r="ED331" s="0" t="n">
        <v>-430.126896640324</v>
      </c>
    </row>
    <row r="332" customFormat="false" ht="13.2" hidden="false" customHeight="false" outlineLevel="0" collapsed="false">
      <c r="A332" s="8" t="s">
        <v>432</v>
      </c>
      <c r="B332" s="42" t="s">
        <v>241</v>
      </c>
      <c r="C332" s="42" t="n">
        <f aca="false">BN16</f>
        <v>7.89</v>
      </c>
      <c r="D332" s="42" t="s">
        <v>241</v>
      </c>
      <c r="E332" s="42" t="n">
        <f aca="false">BM16</f>
        <v>1.23299611039215</v>
      </c>
      <c r="F332" s="42" t="s">
        <v>241</v>
      </c>
      <c r="G332" s="42" t="n">
        <f aca="false">AN16</f>
        <v>2.73303288530501</v>
      </c>
      <c r="H332" s="42" t="s">
        <v>241</v>
      </c>
      <c r="I332" s="42" t="n">
        <f aca="false">H16</f>
        <v>0.3866</v>
      </c>
      <c r="J332" s="8" t="s">
        <v>241</v>
      </c>
      <c r="K332" s="42" t="n">
        <f aca="false">AS16</f>
        <v>0.729433124637375</v>
      </c>
      <c r="L332" s="42" t="s">
        <v>241</v>
      </c>
      <c r="M332" s="42" t="n">
        <f aca="false">Q16</f>
        <v>0.272</v>
      </c>
      <c r="N332" s="42" t="s">
        <v>241</v>
      </c>
      <c r="O332" s="42" t="n">
        <f aca="false">BC16*2.355</f>
        <v>1.127</v>
      </c>
      <c r="P332" s="42" t="s">
        <v>241</v>
      </c>
      <c r="Q332" s="42" t="n">
        <f aca="false">Sheet2!N16</f>
        <v>13.1442094764846</v>
      </c>
      <c r="R332" s="42" t="s">
        <v>350</v>
      </c>
      <c r="BZ332" s="0" t="n">
        <v>1</v>
      </c>
      <c r="CA332" s="0" t="n">
        <v>1.3384564936046</v>
      </c>
      <c r="CB332" s="0" t="n">
        <v>39.6920887644659</v>
      </c>
      <c r="CC332" s="0" t="n">
        <v>40.069553025812</v>
      </c>
      <c r="CD332" s="0" t="n">
        <v>0.377464261346063</v>
      </c>
      <c r="CE332" s="20" t="n">
        <f aca="false">(CD332)^2</f>
        <v>0.142479268593529</v>
      </c>
      <c r="CG332" s="0" t="n">
        <v>1</v>
      </c>
      <c r="CH332" s="0" t="n">
        <v>1.3384564936046</v>
      </c>
      <c r="CI332" s="0" t="n">
        <v>40.2203620596762</v>
      </c>
      <c r="CJ332" s="0" t="n">
        <v>41.2641577153917</v>
      </c>
      <c r="CK332" s="0" t="n">
        <v>1.04379565571548</v>
      </c>
      <c r="CL332" s="20" t="n">
        <f aca="false">(CK332)^2</f>
        <v>1.0895093708905</v>
      </c>
      <c r="CN332" s="0" t="n">
        <v>1</v>
      </c>
      <c r="CO332" s="0" t="n">
        <v>1.3384564936046</v>
      </c>
      <c r="CP332" s="0" t="n">
        <v>39.99524244538</v>
      </c>
      <c r="CQ332" s="0" t="n">
        <v>40.7238661685937</v>
      </c>
      <c r="CR332" s="0" t="n">
        <v>0.728623723213723</v>
      </c>
      <c r="CS332" s="20" t="n">
        <f aca="false">(CR332)^2</f>
        <v>0.530892530029827</v>
      </c>
      <c r="CU332" s="0" t="n">
        <v>7.96</v>
      </c>
      <c r="CV332" s="0" t="n">
        <v>1.62354843077452</v>
      </c>
      <c r="CW332" s="0" t="n">
        <v>1.32221929473392</v>
      </c>
      <c r="CX332" s="0" t="n">
        <v>-0.301329136040599</v>
      </c>
      <c r="CY332" s="20" t="n">
        <f aca="false">(CX332)^2</f>
        <v>0.0907992482269735</v>
      </c>
      <c r="DC332" s="0" t="n">
        <v>8.02</v>
      </c>
      <c r="DD332" s="0" t="n">
        <v>1.39269695325967</v>
      </c>
      <c r="DE332" s="0" t="n">
        <v>1.55630250076729</v>
      </c>
      <c r="DF332" s="0" t="n">
        <v>2.69731789498893</v>
      </c>
      <c r="DG332" s="0" t="e">
        <v>#VALUE!</v>
      </c>
      <c r="DH332" s="0" t="n">
        <v>0</v>
      </c>
      <c r="DI332" s="0" t="e">
        <v>#VALUE!</v>
      </c>
      <c r="DJ332" s="0" t="n">
        <v>8.02</v>
      </c>
      <c r="DK332" s="0" t="n">
        <v>1.39269695325967</v>
      </c>
      <c r="DL332" s="0" t="n">
        <v>1.55630250076729</v>
      </c>
      <c r="DM332" s="0" t="n">
        <v>2.69731789498893</v>
      </c>
      <c r="DN332" s="0" t="n">
        <v>517.508054261597</v>
      </c>
      <c r="DO332" s="0" t="n">
        <v>39.5808250944804</v>
      </c>
      <c r="DP332" s="0" t="n">
        <v>-477.927229167116</v>
      </c>
      <c r="DQ332" s="0" t="n">
        <v>8.02</v>
      </c>
      <c r="DR332" s="0" t="n">
        <v>1.39269695325967</v>
      </c>
      <c r="DS332" s="0" t="n">
        <v>1.55630250076729</v>
      </c>
      <c r="DT332" s="0" t="n">
        <v>2.69731789498893</v>
      </c>
      <c r="DU332" s="0" t="n">
        <v>530.67902662112</v>
      </c>
      <c r="DV332" s="0" t="n">
        <v>40.2880850465456</v>
      </c>
      <c r="DW332" s="0" t="n">
        <v>-490.390941574574</v>
      </c>
      <c r="DX332" s="0" t="n">
        <v>8.02</v>
      </c>
      <c r="DY332" s="0" t="n">
        <v>1.39269695325967</v>
      </c>
      <c r="DZ332" s="0" t="n">
        <v>1.55630250076729</v>
      </c>
      <c r="EA332" s="0" t="n">
        <v>2.69731789498893</v>
      </c>
      <c r="EB332" s="0" t="n">
        <v>481.149253796258</v>
      </c>
      <c r="EC332" s="0" t="n">
        <v>39.4996349548837</v>
      </c>
      <c r="ED332" s="0" t="n">
        <v>-441.649618841374</v>
      </c>
    </row>
    <row r="333" customFormat="false" ht="13.2" hidden="false" customHeight="false" outlineLevel="0" collapsed="false">
      <c r="A333" s="8" t="s">
        <v>433</v>
      </c>
      <c r="B333" s="42" t="s">
        <v>241</v>
      </c>
      <c r="C333" s="42" t="n">
        <f aca="false">BN17</f>
        <v>8.27</v>
      </c>
      <c r="D333" s="42" t="s">
        <v>241</v>
      </c>
      <c r="E333" s="42" t="n">
        <f aca="false">BM17</f>
        <v>1.3541084391474</v>
      </c>
      <c r="F333" s="42" t="s">
        <v>241</v>
      </c>
      <c r="G333" s="42" t="n">
        <f aca="false">AN17</f>
        <v>1.46598950138091</v>
      </c>
      <c r="H333" s="42" t="s">
        <v>241</v>
      </c>
      <c r="I333" s="42" t="n">
        <f aca="false">H17</f>
        <v>0.0637</v>
      </c>
      <c r="J333" s="8" t="s">
        <v>241</v>
      </c>
      <c r="K333" s="42" t="n">
        <f aca="false">AS17</f>
        <v>0.561984135063599</v>
      </c>
      <c r="L333" s="42" t="s">
        <v>241</v>
      </c>
      <c r="M333" s="42" t="n">
        <f aca="false">Q17</f>
        <v>0.05</v>
      </c>
      <c r="N333" s="42" t="s">
        <v>241</v>
      </c>
      <c r="O333" s="42" t="n">
        <f aca="false">BC17*2.355</f>
        <v>0.927561250000001</v>
      </c>
      <c r="P333" s="42" t="s">
        <v>241</v>
      </c>
      <c r="Q333" s="42" t="n">
        <f aca="false">Sheet2!N17</f>
        <v>47.4078314525385</v>
      </c>
      <c r="R333" s="42" t="s">
        <v>350</v>
      </c>
      <c r="BZ333" s="0" t="n">
        <v>1.32221929473392</v>
      </c>
      <c r="CA333" s="0" t="n">
        <v>1.25527250510331</v>
      </c>
      <c r="CB333" s="0" t="n">
        <v>39.4946731951447</v>
      </c>
      <c r="CC333" s="0" t="n">
        <v>39.8138398098754</v>
      </c>
      <c r="CD333" s="0" t="n">
        <v>0.319166614730662</v>
      </c>
      <c r="CE333" s="20" t="n">
        <f aca="false">(CD333)^2</f>
        <v>0.101867327958631</v>
      </c>
      <c r="CG333" s="0" t="n">
        <v>1.32221929473392</v>
      </c>
      <c r="CH333" s="0" t="n">
        <v>1.25527250510331</v>
      </c>
      <c r="CI333" s="0" t="n">
        <v>40.0581503690285</v>
      </c>
      <c r="CJ333" s="0" t="n">
        <v>40.2861528339909</v>
      </c>
      <c r="CK333" s="0" t="n">
        <v>0.228002464962422</v>
      </c>
      <c r="CL333" s="20" t="n">
        <f aca="false">(CK333)^2</f>
        <v>0.0519851240289406</v>
      </c>
      <c r="CN333" s="0" t="n">
        <v>1.32221929473392</v>
      </c>
      <c r="CO333" s="0" t="n">
        <v>1.25527250510331</v>
      </c>
      <c r="CP333" s="0" t="n">
        <v>39.800197554074</v>
      </c>
      <c r="CQ333" s="0" t="n">
        <v>39.8999512285901</v>
      </c>
      <c r="CR333" s="0" t="n">
        <v>0.0997536745161298</v>
      </c>
      <c r="CS333" s="20" t="n">
        <f aca="false">(CR333)^2</f>
        <v>0.00995079557946997</v>
      </c>
      <c r="CU333" s="0" t="n">
        <v>8.56</v>
      </c>
      <c r="CV333" s="0" t="n">
        <v>1.54503666529958</v>
      </c>
      <c r="CW333" s="0" t="n">
        <v>0.602059991327962</v>
      </c>
      <c r="CX333" s="0" t="n">
        <v>-0.942976673971613</v>
      </c>
      <c r="CY333" s="20" t="n">
        <f aca="false">(CX333)^2</f>
        <v>0.889205007654567</v>
      </c>
      <c r="DC333" s="0" t="n">
        <v>8.28</v>
      </c>
      <c r="DD333" s="0" t="n">
        <v>1.50379068305718</v>
      </c>
      <c r="DE333" s="0" t="n">
        <v>1.79239168949825</v>
      </c>
      <c r="DF333" s="0" t="n">
        <v>2.87869411208692</v>
      </c>
      <c r="DG333" s="0" t="e">
        <v>#VALUE!</v>
      </c>
      <c r="DH333" s="0" t="n">
        <v>0</v>
      </c>
      <c r="DI333" s="0" t="e">
        <v>#VALUE!</v>
      </c>
      <c r="DJ333" s="0" t="n">
        <v>8.28</v>
      </c>
      <c r="DK333" s="0" t="n">
        <v>1.50379068305718</v>
      </c>
      <c r="DL333" s="0" t="n">
        <v>1.79239168949825</v>
      </c>
      <c r="DM333" s="0" t="n">
        <v>2.87869411208692</v>
      </c>
      <c r="DN333" s="0" t="n">
        <v>545.36834451098</v>
      </c>
      <c r="DO333" s="0" t="n">
        <v>40.3643638589132</v>
      </c>
      <c r="DP333" s="0" t="n">
        <v>-505.003980652067</v>
      </c>
      <c r="DQ333" s="0" t="n">
        <v>8.28</v>
      </c>
      <c r="DR333" s="0" t="n">
        <v>1.50379068305718</v>
      </c>
      <c r="DS333" s="0" t="n">
        <v>1.79239168949825</v>
      </c>
      <c r="DT333" s="0" t="n">
        <v>2.87869411208692</v>
      </c>
      <c r="DU333" s="0" t="n">
        <v>559.211873999847</v>
      </c>
      <c r="DV333" s="0" t="n">
        <v>41.0286745143046</v>
      </c>
      <c r="DW333" s="0" t="n">
        <v>-518.183199485542</v>
      </c>
      <c r="DX333" s="0" t="n">
        <v>8.28</v>
      </c>
      <c r="DY333" s="0" t="n">
        <v>1.50379068305718</v>
      </c>
      <c r="DZ333" s="0" t="n">
        <v>1.79239168949825</v>
      </c>
      <c r="EA333" s="0" t="n">
        <v>2.87869411208692</v>
      </c>
      <c r="EB333" s="0" t="n">
        <v>507.019049918346</v>
      </c>
      <c r="EC333" s="0" t="n">
        <v>40.3849932800756</v>
      </c>
      <c r="ED333" s="0" t="n">
        <v>-466.63405663827</v>
      </c>
    </row>
    <row r="334" customFormat="false" ht="13.2" hidden="false" customHeight="false" outlineLevel="0" collapsed="false">
      <c r="A334" s="8" t="s">
        <v>434</v>
      </c>
      <c r="B334" s="42" t="s">
        <v>241</v>
      </c>
      <c r="C334" s="42" t="n">
        <f aca="false">BN18</f>
        <v>8.49</v>
      </c>
      <c r="D334" s="42" t="s">
        <v>241</v>
      </c>
      <c r="E334" s="42" t="n">
        <f aca="false">BM18</f>
        <v>1.48572142648158</v>
      </c>
      <c r="F334" s="42" t="s">
        <v>241</v>
      </c>
      <c r="G334" s="42" t="n">
        <f aca="false">AN18</f>
        <v>2.03372026123031</v>
      </c>
      <c r="H334" s="42" t="s">
        <v>241</v>
      </c>
      <c r="I334" s="42" t="n">
        <f aca="false">H18</f>
        <v>0.1861</v>
      </c>
      <c r="J334" s="8" t="s">
        <v>241</v>
      </c>
      <c r="K334" s="42" t="n">
        <f aca="false">AS18</f>
        <v>0.621090812907053</v>
      </c>
      <c r="L334" s="42" t="s">
        <v>241</v>
      </c>
      <c r="M334" s="42" t="n">
        <f aca="false">Q18</f>
        <v>0.1</v>
      </c>
      <c r="N334" s="42" t="s">
        <v>241</v>
      </c>
      <c r="O334" s="42" t="n">
        <f aca="false">BC18*2.355</f>
        <v>0.954327500000001</v>
      </c>
      <c r="P334" s="42" t="s">
        <v>241</v>
      </c>
      <c r="Q334" s="42" t="n">
        <f aca="false">Sheet2!N18</f>
        <v>99.8945704021639</v>
      </c>
      <c r="R334" s="42" t="s">
        <v>350</v>
      </c>
      <c r="BZ334" s="0" t="n">
        <v>0.602059991327962</v>
      </c>
      <c r="CA334" s="0" t="n">
        <v>1.22010808804006</v>
      </c>
      <c r="CB334" s="0" t="n">
        <v>39.3028917910616</v>
      </c>
      <c r="CC334" s="0" t="n">
        <v>39.0981383321098</v>
      </c>
      <c r="CD334" s="0" t="n">
        <v>-0.204753458951764</v>
      </c>
      <c r="CE334" s="20" t="n">
        <f aca="false">(CD334)^2</f>
        <v>0.0419239789527117</v>
      </c>
      <c r="CG334" s="0" t="n">
        <v>0.602059991327962</v>
      </c>
      <c r="CH334" s="0" t="n">
        <v>1.22010808804006</v>
      </c>
      <c r="CI334" s="0" t="n">
        <v>39.9252185133433</v>
      </c>
      <c r="CJ334" s="0" t="n">
        <v>39.9333875133335</v>
      </c>
      <c r="CK334" s="0" t="n">
        <v>0.00816899999015419</v>
      </c>
      <c r="CL334" s="20" t="n">
        <f aca="false">(CK334)^2</f>
        <v>6.67325608391392E-005</v>
      </c>
      <c r="CN334" s="0" t="n">
        <v>0.602059991327962</v>
      </c>
      <c r="CO334" s="0" t="n">
        <v>1.22010808804006</v>
      </c>
      <c r="CP334" s="0" t="n">
        <v>39.634702170779</v>
      </c>
      <c r="CQ334" s="0" t="n">
        <v>39.7399913960693</v>
      </c>
      <c r="CR334" s="0" t="n">
        <v>0.105289225290264</v>
      </c>
      <c r="CS334" s="20" t="n">
        <f aca="false">(CR334)^2</f>
        <v>0.0110858209622239</v>
      </c>
      <c r="CU334" s="0" t="n">
        <v>8.14</v>
      </c>
      <c r="CV334" s="0" t="n">
        <v>1.59999490113204</v>
      </c>
      <c r="CW334" s="0" t="n">
        <v>1.91907809237607</v>
      </c>
      <c r="CX334" s="0" t="n">
        <v>0.319083191244034</v>
      </c>
      <c r="CY334" s="20" t="n">
        <f aca="false">(CX334)^2</f>
        <v>0.101814082934477</v>
      </c>
      <c r="DC334" s="0" t="n">
        <v>7.54</v>
      </c>
      <c r="DD334" s="0" t="n">
        <v>1.24303804868629</v>
      </c>
      <c r="DE334" s="0" t="n">
        <v>2.11058971029925</v>
      </c>
      <c r="DF334" s="0" t="n">
        <v>2.61580568669518</v>
      </c>
      <c r="DG334" s="0" t="e">
        <v>#VALUE!</v>
      </c>
      <c r="DH334" s="0" t="n">
        <v>0</v>
      </c>
      <c r="DI334" s="0" t="e">
        <v>#VALUE!</v>
      </c>
      <c r="DJ334" s="0" t="n">
        <v>7.54</v>
      </c>
      <c r="DK334" s="0" t="n">
        <v>1.24303804868629</v>
      </c>
      <c r="DL334" s="0" t="n">
        <v>2.11058971029925</v>
      </c>
      <c r="DM334" s="0" t="n">
        <v>2.61580568669518</v>
      </c>
      <c r="DN334" s="0" t="n">
        <v>511.965247279973</v>
      </c>
      <c r="DO334" s="0" t="n">
        <v>39.8907352023789</v>
      </c>
      <c r="DP334" s="0" t="n">
        <v>-472.074512077594</v>
      </c>
      <c r="DQ334" s="0" t="n">
        <v>7.54</v>
      </c>
      <c r="DR334" s="0" t="n">
        <v>1.24303804868629</v>
      </c>
      <c r="DS334" s="0" t="n">
        <v>2.11058971029925</v>
      </c>
      <c r="DT334" s="0" t="n">
        <v>2.61580568669518</v>
      </c>
      <c r="DU334" s="0" t="n">
        <v>525.002414344623</v>
      </c>
      <c r="DV334" s="0" t="n">
        <v>40.3666338830954</v>
      </c>
      <c r="DW334" s="0" t="n">
        <v>-484.635780461527</v>
      </c>
      <c r="DX334" s="0" t="n">
        <v>7.54</v>
      </c>
      <c r="DY334" s="0" t="n">
        <v>1.24303804868629</v>
      </c>
      <c r="DZ334" s="0" t="n">
        <v>2.11058971029925</v>
      </c>
      <c r="EA334" s="0" t="n">
        <v>2.61580568669518</v>
      </c>
      <c r="EB334" s="0" t="n">
        <v>476.002455781047</v>
      </c>
      <c r="EC334" s="0" t="n">
        <v>40.0674853105121</v>
      </c>
      <c r="ED334" s="0" t="n">
        <v>-435.934970470535</v>
      </c>
    </row>
    <row r="335" customFormat="false" ht="13.2" hidden="false" customHeight="false" outlineLevel="0" collapsed="false">
      <c r="A335" s="8" t="s">
        <v>435</v>
      </c>
      <c r="B335" s="42" t="s">
        <v>241</v>
      </c>
      <c r="C335" s="42" t="n">
        <f aca="false">BN19</f>
        <v>8.02</v>
      </c>
      <c r="D335" s="42" t="s">
        <v>241</v>
      </c>
      <c r="E335" s="42" t="n">
        <f aca="false">BM19</f>
        <v>1.39967372148104</v>
      </c>
      <c r="F335" s="42" t="s">
        <v>241</v>
      </c>
      <c r="G335" s="42" t="n">
        <f aca="false">AN19</f>
        <v>1.51003861079569</v>
      </c>
      <c r="H335" s="42" t="s">
        <v>241</v>
      </c>
      <c r="I335" s="42" t="n">
        <f aca="false">H19</f>
        <v>0.1988</v>
      </c>
      <c r="J335" s="8" t="s">
        <v>241</v>
      </c>
      <c r="K335" s="42" t="n">
        <f aca="false">AS19</f>
        <v>0.549570186009635</v>
      </c>
      <c r="L335" s="42" t="s">
        <v>241</v>
      </c>
      <c r="M335" s="42" t="n">
        <f aca="false">Q19</f>
        <v>0.12</v>
      </c>
      <c r="N335" s="42" t="s">
        <v>241</v>
      </c>
      <c r="O335" s="42" t="n">
        <f aca="false">BC19*2.355</f>
        <v>0.971635</v>
      </c>
      <c r="P335" s="42" t="s">
        <v>241</v>
      </c>
      <c r="Q335" s="42" t="n">
        <f aca="false">Sheet2!N19</f>
        <v>63.7331656134456</v>
      </c>
      <c r="R335" s="42" t="s">
        <v>350</v>
      </c>
      <c r="BZ335" s="0" t="n">
        <v>1.91907809237607</v>
      </c>
      <c r="CA335" s="0" t="n">
        <v>1.50514997831991</v>
      </c>
      <c r="CB335" s="0" t="n">
        <v>40.2856309957975</v>
      </c>
      <c r="CC335" s="0" t="n">
        <v>40.6295612869068</v>
      </c>
      <c r="CD335" s="0" t="n">
        <v>0.343930291109309</v>
      </c>
      <c r="CE335" s="20" t="n">
        <f aca="false">(CD335)^2</f>
        <v>0.118288045142534</v>
      </c>
      <c r="CG335" s="0" t="n">
        <v>1.91907809237607</v>
      </c>
      <c r="CH335" s="0" t="n">
        <v>1.50514997831991</v>
      </c>
      <c r="CI335" s="0" t="n">
        <v>40.6630200067143</v>
      </c>
      <c r="CJ335" s="0" t="n">
        <v>40.9807675767649</v>
      </c>
      <c r="CK335" s="0" t="n">
        <v>0.317747570050628</v>
      </c>
      <c r="CL335" s="20" t="n">
        <f aca="false">(CK335)^2</f>
        <v>0.100963518273079</v>
      </c>
      <c r="CN335" s="0" t="n">
        <v>1.91907809237607</v>
      </c>
      <c r="CO335" s="0" t="n">
        <v>1.50514997831991</v>
      </c>
      <c r="CP335" s="0" t="n">
        <v>40.5378348978114</v>
      </c>
      <c r="CQ335" s="0" t="n">
        <v>40.9807675767649</v>
      </c>
      <c r="CR335" s="0" t="n">
        <v>0.442932678953518</v>
      </c>
      <c r="CS335" s="20" t="n">
        <f aca="false">(CR335)^2</f>
        <v>0.19618935808494</v>
      </c>
      <c r="CU335" s="0" t="n">
        <v>7.77</v>
      </c>
      <c r="CV335" s="0" t="n">
        <v>1.64841048984158</v>
      </c>
      <c r="CW335" s="0" t="n">
        <v>1.44715803134222</v>
      </c>
      <c r="CX335" s="0" t="n">
        <v>-0.201252458499364</v>
      </c>
      <c r="CY335" s="20" t="n">
        <f aca="false">(CX335)^2</f>
        <v>0.0405025520520382</v>
      </c>
      <c r="DC335" s="0" t="n">
        <v>8.26</v>
      </c>
      <c r="DD335" s="0" t="n">
        <v>1.3096301674259</v>
      </c>
      <c r="DE335" s="0" t="n">
        <v>1.70757017609794</v>
      </c>
      <c r="DF335" s="0" t="n">
        <v>2.67493557431311</v>
      </c>
      <c r="DG335" s="0" t="e">
        <v>#VALUE!</v>
      </c>
      <c r="DH335" s="0" t="n">
        <v>0</v>
      </c>
      <c r="DI335" s="0" t="e">
        <v>#VALUE!</v>
      </c>
      <c r="DJ335" s="0" t="n">
        <v>8.26</v>
      </c>
      <c r="DK335" s="0" t="n">
        <v>1.3096301674259</v>
      </c>
      <c r="DL335" s="0" t="n">
        <v>1.70757017609794</v>
      </c>
      <c r="DM335" s="0" t="n">
        <v>2.67493557431311</v>
      </c>
      <c r="DN335" s="0" t="n">
        <v>527.606204072127</v>
      </c>
      <c r="DO335" s="0" t="n">
        <v>39.8855611883631</v>
      </c>
      <c r="DP335" s="0" t="n">
        <v>-487.720642883764</v>
      </c>
      <c r="DQ335" s="0" t="n">
        <v>8.26</v>
      </c>
      <c r="DR335" s="0" t="n">
        <v>1.3096301674259</v>
      </c>
      <c r="DS335" s="0" t="n">
        <v>1.70757017609794</v>
      </c>
      <c r="DT335" s="0" t="n">
        <v>2.67493557431311</v>
      </c>
      <c r="DU335" s="0" t="n">
        <v>541.020949292143</v>
      </c>
      <c r="DV335" s="0" t="n">
        <v>40.3210963526474</v>
      </c>
      <c r="DW335" s="0" t="n">
        <v>-500.699852939495</v>
      </c>
      <c r="DX335" s="0" t="n">
        <v>8.26</v>
      </c>
      <c r="DY335" s="0" t="n">
        <v>1.3096301674259</v>
      </c>
      <c r="DZ335" s="0" t="n">
        <v>1.70757017609794</v>
      </c>
      <c r="EA335" s="0" t="n">
        <v>2.67493557431311</v>
      </c>
      <c r="EB335" s="0" t="n">
        <v>490.525935606473</v>
      </c>
      <c r="EC335" s="0" t="n">
        <v>40.3210963526474</v>
      </c>
      <c r="ED335" s="0" t="n">
        <v>-450.204839253826</v>
      </c>
    </row>
    <row r="336" customFormat="false" ht="13.2" hidden="false" customHeight="false" outlineLevel="0" collapsed="false">
      <c r="A336" s="8" t="s">
        <v>436</v>
      </c>
      <c r="B336" s="42" t="s">
        <v>241</v>
      </c>
      <c r="C336" s="42" t="n">
        <f aca="false">BN20</f>
        <v>8.5</v>
      </c>
      <c r="D336" s="42" t="s">
        <v>241</v>
      </c>
      <c r="E336" s="42" t="n">
        <f aca="false">BM20</f>
        <v>1.3384564936046</v>
      </c>
      <c r="F336" s="42" t="s">
        <v>241</v>
      </c>
      <c r="G336" s="42" t="n">
        <f aca="false">AN20</f>
        <v>2.51520497514579</v>
      </c>
      <c r="H336" s="42" t="s">
        <v>241</v>
      </c>
      <c r="I336" s="42" t="n">
        <f aca="false">H20</f>
        <v>0.0184</v>
      </c>
      <c r="J336" s="8" t="s">
        <v>241</v>
      </c>
      <c r="K336" s="42" t="n">
        <f aca="false">AS20</f>
        <v>0.519428953471293</v>
      </c>
      <c r="L336" s="42" t="s">
        <v>241</v>
      </c>
      <c r="M336" s="42" t="n">
        <f aca="false">Q20</f>
        <v>0.05</v>
      </c>
      <c r="N336" s="42" t="s">
        <v>241</v>
      </c>
      <c r="O336" s="42" t="n">
        <f aca="false">BC20*2.355</f>
        <v>1.021545</v>
      </c>
      <c r="P336" s="42" t="s">
        <v>241</v>
      </c>
      <c r="Q336" s="42" t="n">
        <f aca="false">Sheet2!N20</f>
        <v>115.793730126321</v>
      </c>
      <c r="R336" s="42" t="s">
        <v>350</v>
      </c>
      <c r="BZ336" s="0" t="n">
        <v>1.44715803134222</v>
      </c>
      <c r="CA336" s="0" t="n">
        <v>1.45788189673399</v>
      </c>
      <c r="CB336" s="0" t="n">
        <v>40.0905953307489</v>
      </c>
      <c r="CC336" s="0" t="n">
        <v>40.2970404904863</v>
      </c>
      <c r="CD336" s="0" t="n">
        <v>0.206445159737385</v>
      </c>
      <c r="CE336" s="20" t="n">
        <f aca="false">(CD336)^2</f>
        <v>0.0426196039789943</v>
      </c>
      <c r="CG336" s="0" t="n">
        <v>1.44715803134222</v>
      </c>
      <c r="CH336" s="0" t="n">
        <v>1.45788189673399</v>
      </c>
      <c r="CI336" s="0" t="n">
        <v>40.521618267703</v>
      </c>
      <c r="CJ336" s="0" t="n">
        <v>40.7309227353314</v>
      </c>
      <c r="CK336" s="0" t="n">
        <v>0.209304467628407</v>
      </c>
      <c r="CL336" s="20" t="n">
        <f aca="false">(CK336)^2</f>
        <v>0.0438083601692107</v>
      </c>
      <c r="CN336" s="0" t="n">
        <v>1.44715803134222</v>
      </c>
      <c r="CO336" s="0" t="n">
        <v>1.45788189673399</v>
      </c>
      <c r="CP336" s="0" t="n">
        <v>40.3634853149946</v>
      </c>
      <c r="CQ336" s="0" t="n">
        <v>40.7309227353314</v>
      </c>
      <c r="CR336" s="0" t="n">
        <v>0.367437420336799</v>
      </c>
      <c r="CS336" s="20" t="n">
        <f aca="false">(CR336)^2</f>
        <v>0.135010257863761</v>
      </c>
      <c r="CU336" s="0" t="n">
        <v>8.02</v>
      </c>
      <c r="CV336" s="0" t="n">
        <v>1.61569725422702</v>
      </c>
      <c r="CW336" s="0" t="n">
        <v>1.55630250076729</v>
      </c>
      <c r="CX336" s="0" t="n">
        <v>-0.0593947534597343</v>
      </c>
      <c r="CY336" s="20" t="n">
        <f aca="false">(CX336)^2</f>
        <v>0.00352773673854262</v>
      </c>
      <c r="DC336" s="0" t="n">
        <v>8.01</v>
      </c>
      <c r="DD336" s="0" t="n">
        <v>1.54900326202579</v>
      </c>
      <c r="DE336" s="0" t="n">
        <v>2</v>
      </c>
      <c r="DF336" s="0" t="n">
        <v>2.79128793549291</v>
      </c>
      <c r="DG336" s="0" t="e">
        <v>#VALUE!</v>
      </c>
      <c r="DH336" s="0" t="n">
        <v>0</v>
      </c>
      <c r="DI336" s="0" t="e">
        <v>#VALUE!</v>
      </c>
      <c r="DJ336" s="0" t="n">
        <v>8.01</v>
      </c>
      <c r="DK336" s="0" t="n">
        <v>1.54900326202579</v>
      </c>
      <c r="DL336" s="0" t="n">
        <v>2</v>
      </c>
      <c r="DM336" s="0" t="n">
        <v>2.79128793549291</v>
      </c>
      <c r="DN336" s="0" t="n">
        <v>541.673280534878</v>
      </c>
      <c r="DO336" s="0" t="n">
        <v>40.8602418490241</v>
      </c>
      <c r="DP336" s="0" t="n">
        <v>-500.813038685853</v>
      </c>
      <c r="DQ336" s="0" t="n">
        <v>8.01</v>
      </c>
      <c r="DR336" s="0" t="n">
        <v>1.54900326202579</v>
      </c>
      <c r="DS336" s="0" t="n">
        <v>2</v>
      </c>
      <c r="DT336" s="0" t="n">
        <v>2.79128793549291</v>
      </c>
      <c r="DU336" s="0" t="n">
        <v>555.427609889852</v>
      </c>
      <c r="DV336" s="0" t="n">
        <v>41.2889669095893</v>
      </c>
      <c r="DW336" s="0" t="n">
        <v>-514.138642980263</v>
      </c>
      <c r="DX336" s="0" t="n">
        <v>8.01</v>
      </c>
      <c r="DY336" s="0" t="n">
        <v>1.54900326202579</v>
      </c>
      <c r="DZ336" s="0" t="n">
        <v>2</v>
      </c>
      <c r="EA336" s="0" t="n">
        <v>2.79128793549291</v>
      </c>
      <c r="EB336" s="0" t="n">
        <v>503.587981869011</v>
      </c>
      <c r="EC336" s="0" t="n">
        <v>40.7432526092177</v>
      </c>
      <c r="ED336" s="0" t="n">
        <v>-462.844729259794</v>
      </c>
    </row>
    <row r="337" customFormat="false" ht="13.2" hidden="false" customHeight="false" outlineLevel="0" collapsed="false">
      <c r="A337" s="8" t="s">
        <v>437</v>
      </c>
      <c r="B337" s="42" t="s">
        <v>241</v>
      </c>
      <c r="C337" s="42" t="n">
        <f aca="false">BN21</f>
        <v>7.96</v>
      </c>
      <c r="D337" s="42" t="s">
        <v>241</v>
      </c>
      <c r="E337" s="42" t="n">
        <f aca="false">BM21</f>
        <v>1.25527250510331</v>
      </c>
      <c r="F337" s="42" t="s">
        <v>241</v>
      </c>
      <c r="G337" s="42" t="n">
        <f aca="false">AN21</f>
        <v>2.25966341038272</v>
      </c>
      <c r="H337" s="42" t="s">
        <v>241</v>
      </c>
      <c r="I337" s="42" t="n">
        <f aca="false">H21</f>
        <v>0.3</v>
      </c>
      <c r="J337" s="8" t="s">
        <v>241</v>
      </c>
      <c r="K337" s="42" t="n">
        <f aca="false">AS21</f>
        <v>0.54349300048438</v>
      </c>
      <c r="L337" s="42" t="s">
        <v>241</v>
      </c>
      <c r="M337" s="42" t="n">
        <f aca="false">Q21</f>
        <v>0.1</v>
      </c>
      <c r="N337" s="42" t="s">
        <v>241</v>
      </c>
      <c r="O337" s="42" t="n">
        <f aca="false">BC21*2.355</f>
        <v>0.882279999999999</v>
      </c>
      <c r="P337" s="42" t="s">
        <v>241</v>
      </c>
      <c r="Q337" s="42" t="n">
        <f aca="false">Sheet2!N21</f>
        <v>48.661550524331</v>
      </c>
      <c r="R337" s="42" t="s">
        <v>350</v>
      </c>
      <c r="BZ337" s="0" t="n">
        <v>1.55630250076729</v>
      </c>
      <c r="CA337" s="0" t="n">
        <v>1.39269695325967</v>
      </c>
      <c r="CB337" s="0" t="n">
        <v>39.9177620379029</v>
      </c>
      <c r="CC337" s="0" t="n">
        <v>39.5808250944804</v>
      </c>
      <c r="CD337" s="0" t="n">
        <v>-0.336936943422458</v>
      </c>
      <c r="CE337" s="20" t="n">
        <f aca="false">(CD337)^2</f>
        <v>0.113526503842869</v>
      </c>
      <c r="CG337" s="0" t="n">
        <v>1.55630250076729</v>
      </c>
      <c r="CH337" s="0" t="n">
        <v>1.39269695325967</v>
      </c>
      <c r="CI337" s="0" t="n">
        <v>40.3837316557581</v>
      </c>
      <c r="CJ337" s="0" t="n">
        <v>40.2880850465456</v>
      </c>
      <c r="CK337" s="0" t="n">
        <v>-0.0956466092125439</v>
      </c>
      <c r="CL337" s="20" t="n">
        <f aca="false">(CK337)^2</f>
        <v>0.00914827385385708</v>
      </c>
      <c r="CN337" s="0" t="n">
        <v>1.55630250076729</v>
      </c>
      <c r="CO337" s="0" t="n">
        <v>1.39269695325967</v>
      </c>
      <c r="CP337" s="0" t="n">
        <v>40.1967421908904</v>
      </c>
      <c r="CQ337" s="0" t="n">
        <v>39.4996349548837</v>
      </c>
      <c r="CR337" s="0" t="n">
        <v>-0.697107236006737</v>
      </c>
      <c r="CS337" s="20" t="n">
        <f aca="false">(CR337)^2</f>
        <v>0.485958498492952</v>
      </c>
      <c r="CU337" s="0" t="n">
        <v>8.28</v>
      </c>
      <c r="CV337" s="0" t="n">
        <v>1.58167548918788</v>
      </c>
      <c r="CW337" s="0" t="n">
        <v>1.79239168949825</v>
      </c>
      <c r="CX337" s="0" t="n">
        <v>0.210716200310368</v>
      </c>
      <c r="CY337" s="20" t="n">
        <f aca="false">(CX337)^2</f>
        <v>0.0444013170732389</v>
      </c>
      <c r="DC337" s="0" t="n">
        <v>8.48</v>
      </c>
      <c r="DD337" s="0" t="n">
        <v>1.38021124171161</v>
      </c>
      <c r="DE337" s="0" t="n">
        <v>0.698970004336019</v>
      </c>
      <c r="DF337" s="0" t="n">
        <v>2.92471211300218</v>
      </c>
      <c r="DG337" s="0" t="e">
        <v>#VALUE!</v>
      </c>
      <c r="DH337" s="0" t="n">
        <v>0</v>
      </c>
      <c r="DI337" s="0" t="e">
        <v>#VALUE!</v>
      </c>
      <c r="DJ337" s="0" t="n">
        <v>8.48</v>
      </c>
      <c r="DK337" s="0" t="n">
        <v>1.38021124171161</v>
      </c>
      <c r="DL337" s="0" t="n">
        <v>0.698970004336019</v>
      </c>
      <c r="DM337" s="0" t="n">
        <v>2.92471211300218</v>
      </c>
      <c r="DN337" s="0" t="n">
        <v>511.062899955106</v>
      </c>
      <c r="DO337" s="0" t="n">
        <v>39.5307026003539</v>
      </c>
      <c r="DP337" s="0" t="n">
        <v>-471.532197354752</v>
      </c>
      <c r="DQ337" s="0" t="n">
        <v>8.48</v>
      </c>
      <c r="DR337" s="0" t="n">
        <v>1.38021124171161</v>
      </c>
      <c r="DS337" s="0" t="n">
        <v>0.698970004336019</v>
      </c>
      <c r="DT337" s="0" t="n">
        <v>2.92471211300218</v>
      </c>
      <c r="DU337" s="0" t="n">
        <v>524.078284040432</v>
      </c>
      <c r="DV337" s="0" t="n">
        <v>40.3112205857885</v>
      </c>
      <c r="DW337" s="0" t="n">
        <v>-483.767063454643</v>
      </c>
      <c r="DX337" s="0" t="n">
        <v>8.48</v>
      </c>
      <c r="DY337" s="0" t="n">
        <v>1.38021124171161</v>
      </c>
      <c r="DZ337" s="0" t="n">
        <v>0.698970004336019</v>
      </c>
      <c r="EA337" s="0" t="n">
        <v>2.92471211300218</v>
      </c>
      <c r="EB337" s="0" t="n">
        <v>475.164577168992</v>
      </c>
      <c r="EC337" s="0" t="n">
        <v>39.8411325938</v>
      </c>
      <c r="ED337" s="0" t="n">
        <v>-435.323444575192</v>
      </c>
    </row>
    <row r="338" customFormat="false" ht="13.2" hidden="false" customHeight="false" outlineLevel="0" collapsed="false">
      <c r="A338" s="8" t="s">
        <v>438</v>
      </c>
      <c r="B338" s="42" t="s">
        <v>241</v>
      </c>
      <c r="C338" s="42" t="n">
        <f aca="false">BN22</f>
        <v>8.56</v>
      </c>
      <c r="D338" s="42" t="s">
        <v>241</v>
      </c>
      <c r="E338" s="42" t="n">
        <f aca="false">BM22</f>
        <v>1.22010808804006</v>
      </c>
      <c r="F338" s="42" t="s">
        <v>241</v>
      </c>
      <c r="G338" s="42" t="n">
        <f aca="false">AN22</f>
        <v>2.53741968725155</v>
      </c>
      <c r="H338" s="42" t="s">
        <v>241</v>
      </c>
      <c r="I338" s="42" t="n">
        <f aca="false">H22</f>
        <v>0.1485</v>
      </c>
      <c r="J338" s="8" t="s">
        <v>241</v>
      </c>
      <c r="K338" s="42" t="n">
        <f aca="false">AS22</f>
        <v>0.718502377755176</v>
      </c>
      <c r="L338" s="42" t="s">
        <v>241</v>
      </c>
      <c r="M338" s="42" t="n">
        <f aca="false">Q22</f>
        <v>0.05</v>
      </c>
      <c r="N338" s="42" t="s">
        <v>241</v>
      </c>
      <c r="O338" s="42" t="n">
        <f aca="false">BC22*2.355</f>
        <v>1.080954</v>
      </c>
      <c r="P338" s="42" t="s">
        <v>241</v>
      </c>
      <c r="Q338" s="42" t="n">
        <f aca="false">Sheet2!N22</f>
        <v>25.4069797150106</v>
      </c>
      <c r="R338" s="42" t="s">
        <v>350</v>
      </c>
      <c r="BZ338" s="0" t="n">
        <v>1.79239168949825</v>
      </c>
      <c r="CA338" s="0" t="n">
        <v>1.50379068305718</v>
      </c>
      <c r="CB338" s="0" t="n">
        <v>40.2657136547911</v>
      </c>
      <c r="CC338" s="0" t="n">
        <v>40.3643638589132</v>
      </c>
      <c r="CD338" s="0" t="n">
        <v>0.0986502041220874</v>
      </c>
      <c r="CE338" s="20" t="n">
        <f aca="false">(CD338)^2</f>
        <v>0.0097318627733295</v>
      </c>
      <c r="CG338" s="0" t="n">
        <v>1.79239168949825</v>
      </c>
      <c r="CH338" s="0" t="n">
        <v>1.50379068305718</v>
      </c>
      <c r="CI338" s="0" t="n">
        <v>40.6504525888258</v>
      </c>
      <c r="CJ338" s="0" t="n">
        <v>41.0286745143046</v>
      </c>
      <c r="CK338" s="0" t="n">
        <v>0.378221925478769</v>
      </c>
      <c r="CL338" s="20" t="n">
        <f aca="false">(CK338)^2</f>
        <v>0.143051824912868</v>
      </c>
      <c r="CN338" s="0" t="n">
        <v>1.79239168949825</v>
      </c>
      <c r="CO338" s="0" t="n">
        <v>1.50379068305718</v>
      </c>
      <c r="CP338" s="0" t="n">
        <v>40.5218520937177</v>
      </c>
      <c r="CQ338" s="0" t="n">
        <v>40.3849932800756</v>
      </c>
      <c r="CR338" s="0" t="n">
        <v>-0.136858813642128</v>
      </c>
      <c r="CS338" s="20" t="n">
        <f aca="false">(CR338)^2</f>
        <v>0.0187303348715307</v>
      </c>
      <c r="CU338" s="0" t="n">
        <v>8.71</v>
      </c>
      <c r="CV338" s="0" t="n">
        <v>1.52540872393084</v>
      </c>
      <c r="CW338" s="0" t="n">
        <v>0.954242509439325</v>
      </c>
      <c r="CX338" s="0" t="n">
        <v>-0.571166214491515</v>
      </c>
      <c r="CY338" s="20" t="n">
        <f aca="false">(CX338)^2</f>
        <v>0.326230844576567</v>
      </c>
      <c r="DC338" s="0" t="n">
        <v>7.85</v>
      </c>
      <c r="DD338" s="0" t="n">
        <v>1.23552844690755</v>
      </c>
      <c r="DE338" s="0" t="n">
        <v>1.27875360095283</v>
      </c>
      <c r="DF338" s="0" t="n">
        <v>2.78105642519169</v>
      </c>
      <c r="DG338" s="0" t="e">
        <v>#VALUE!</v>
      </c>
      <c r="DH338" s="0" t="n">
        <v>0</v>
      </c>
      <c r="DI338" s="0" t="e">
        <v>#VALUE!</v>
      </c>
      <c r="DJ338" s="0" t="n">
        <v>7.85</v>
      </c>
      <c r="DK338" s="0" t="n">
        <v>1.23552844690755</v>
      </c>
      <c r="DL338" s="0" t="n">
        <v>1.27875360095283</v>
      </c>
      <c r="DM338" s="0" t="n">
        <v>2.78105642519169</v>
      </c>
      <c r="DN338" s="0" t="n">
        <v>499.10154288865</v>
      </c>
      <c r="DO338" s="0" t="n">
        <v>39.7584397069598</v>
      </c>
      <c r="DP338" s="0" t="n">
        <v>-459.34310318169</v>
      </c>
      <c r="DQ338" s="0" t="n">
        <v>7.85</v>
      </c>
      <c r="DR338" s="0" t="n">
        <v>1.23552844690755</v>
      </c>
      <c r="DS338" s="0" t="n">
        <v>1.27875360095283</v>
      </c>
      <c r="DT338" s="0" t="n">
        <v>2.78105642519169</v>
      </c>
      <c r="DU338" s="0" t="n">
        <v>511.8281756401</v>
      </c>
      <c r="DV338" s="0" t="n">
        <v>40.1263375099171</v>
      </c>
      <c r="DW338" s="0" t="n">
        <v>-471.701838130183</v>
      </c>
      <c r="DX338" s="0" t="n">
        <v>7.85</v>
      </c>
      <c r="DY338" s="0" t="n">
        <v>1.23552844690755</v>
      </c>
      <c r="DZ338" s="0" t="n">
        <v>1.27875360095283</v>
      </c>
      <c r="EA338" s="0" t="n">
        <v>2.78105642519169</v>
      </c>
      <c r="EB338" s="0" t="n">
        <v>464.057805994576</v>
      </c>
      <c r="EC338" s="0" t="n">
        <v>39.9044887603007</v>
      </c>
      <c r="ED338" s="0" t="n">
        <v>-424.153317234275</v>
      </c>
    </row>
    <row r="339" customFormat="false" ht="13.2" hidden="false" customHeight="false" outlineLevel="0" collapsed="false">
      <c r="A339" s="8" t="s">
        <v>439</v>
      </c>
      <c r="B339" s="42" t="s">
        <v>241</v>
      </c>
      <c r="C339" s="42" t="n">
        <f aca="false">BN23</f>
        <v>8.14</v>
      </c>
      <c r="D339" s="42" t="s">
        <v>241</v>
      </c>
      <c r="E339" s="42" t="n">
        <f aca="false">BM23</f>
        <v>1.50514997831991</v>
      </c>
      <c r="F339" s="42" t="s">
        <v>241</v>
      </c>
      <c r="G339" s="42" t="n">
        <f aca="false">AN23</f>
        <v>2.00191347386634</v>
      </c>
      <c r="H339" s="42" t="s">
        <v>241</v>
      </c>
      <c r="I339" s="42" t="n">
        <f aca="false">H23</f>
        <v>0.3</v>
      </c>
      <c r="J339" s="8" t="s">
        <v>241</v>
      </c>
      <c r="K339" s="42" t="n">
        <f aca="false">AS23</f>
        <v>0.824238566569223</v>
      </c>
      <c r="L339" s="42" t="s">
        <v>241</v>
      </c>
      <c r="M339" s="42" t="n">
        <f aca="false">Q23</f>
        <v>0.14</v>
      </c>
      <c r="N339" s="42" t="s">
        <v>241</v>
      </c>
      <c r="O339" s="42" t="n">
        <f aca="false">BC23*2.355</f>
        <v>1.49282777777778</v>
      </c>
      <c r="P339" s="42" t="s">
        <v>241</v>
      </c>
      <c r="Q339" s="42" t="n">
        <f aca="false">Sheet2!N23</f>
        <v>68.824059915613</v>
      </c>
      <c r="R339" s="42" t="s">
        <v>350</v>
      </c>
      <c r="BZ339" s="0" t="n">
        <v>0.954242509439325</v>
      </c>
      <c r="CA339" s="0" t="n">
        <v>1.76937732607614</v>
      </c>
      <c r="CB339" s="0" t="n">
        <v>40.9201272533055</v>
      </c>
      <c r="CC339" s="0" t="n">
        <v>41.0032839602938</v>
      </c>
      <c r="CD339" s="0" t="n">
        <v>0.0831567069883263</v>
      </c>
      <c r="CE339" s="20" t="n">
        <f aca="false">(CD339)^2</f>
        <v>0.00691503791714236</v>
      </c>
      <c r="CG339" s="0" t="n">
        <v>0.954242509439325</v>
      </c>
      <c r="CH339" s="0" t="n">
        <v>1.76937732607614</v>
      </c>
      <c r="CI339" s="0" t="n">
        <v>41.1826817779718</v>
      </c>
      <c r="CJ339" s="0" t="n">
        <v>41.1844537060535</v>
      </c>
      <c r="CK339" s="0" t="n">
        <v>0.00177192808170901</v>
      </c>
      <c r="CL339" s="20" t="n">
        <f aca="false">(CK339)^2</f>
        <v>3.13972912674896E-006</v>
      </c>
      <c r="CN339" s="0" t="n">
        <v>0.954242509439325</v>
      </c>
      <c r="CO339" s="0" t="n">
        <v>1.76937732607614</v>
      </c>
      <c r="CP339" s="0" t="n">
        <v>41.1630687319568</v>
      </c>
      <c r="CQ339" s="0" t="n">
        <v>41.1844537060535</v>
      </c>
      <c r="CR339" s="0" t="n">
        <v>0.0213849740967547</v>
      </c>
      <c r="CS339" s="20" t="n">
        <f aca="false">(CR339)^2</f>
        <v>0.000457317117118868</v>
      </c>
      <c r="CU339" s="0" t="n">
        <v>7.88</v>
      </c>
      <c r="CV339" s="0" t="n">
        <v>1.63401666617118</v>
      </c>
      <c r="CW339" s="0" t="n">
        <v>1.60205999132796</v>
      </c>
      <c r="CX339" s="0" t="n">
        <v>-0.0319566748432178</v>
      </c>
      <c r="CY339" s="20" t="n">
        <f aca="false">(CX339)^2</f>
        <v>0.00102122906703515</v>
      </c>
    </row>
    <row r="340" customFormat="false" ht="13.2" hidden="false" customHeight="false" outlineLevel="0" collapsed="false">
      <c r="A340" s="8" t="s">
        <v>440</v>
      </c>
      <c r="B340" s="42" t="s">
        <v>241</v>
      </c>
      <c r="C340" s="42" t="n">
        <f aca="false">BN24</f>
        <v>7.77</v>
      </c>
      <c r="D340" s="42" t="s">
        <v>241</v>
      </c>
      <c r="E340" s="42" t="n">
        <f aca="false">BM24</f>
        <v>1.45788189673399</v>
      </c>
      <c r="F340" s="42" t="s">
        <v>241</v>
      </c>
      <c r="G340" s="42" t="n">
        <f aca="false">AN24</f>
        <v>2.57467574609489</v>
      </c>
      <c r="H340" s="42" t="s">
        <v>241</v>
      </c>
      <c r="I340" s="42" t="n">
        <f aca="false">H24</f>
        <v>0.45</v>
      </c>
      <c r="J340" s="8" t="s">
        <v>241</v>
      </c>
      <c r="K340" s="42" t="n">
        <f aca="false">AS24</f>
        <v>0.710649863651236</v>
      </c>
      <c r="L340" s="42" t="s">
        <v>241</v>
      </c>
      <c r="M340" s="42" t="n">
        <f aca="false">Q24</f>
        <v>0.05</v>
      </c>
      <c r="N340" s="42" t="s">
        <v>241</v>
      </c>
      <c r="O340" s="42" t="n">
        <f aca="false">BC24*2.355</f>
        <v>1.5355375</v>
      </c>
      <c r="P340" s="42" t="s">
        <v>241</v>
      </c>
      <c r="Q340" s="42" t="n">
        <f aca="false">Sheet2!N24</f>
        <v>105.393693408515</v>
      </c>
      <c r="R340" s="42" t="s">
        <v>350</v>
      </c>
      <c r="BZ340" s="0" t="n">
        <v>1.60205999132796</v>
      </c>
      <c r="CA340" s="0" t="n">
        <v>1.23044892137827</v>
      </c>
      <c r="CB340" s="0" t="n">
        <v>39.4589963121728</v>
      </c>
      <c r="CC340" s="0" t="n">
        <v>39.4879266153321</v>
      </c>
      <c r="CD340" s="0" t="n">
        <v>0.0289303031593136</v>
      </c>
      <c r="CE340" s="20" t="n">
        <f aca="false">(CD340)^2</f>
        <v>0.000836962440889788</v>
      </c>
      <c r="CG340" s="0" t="n">
        <v>1.60205999132796</v>
      </c>
      <c r="CH340" s="0" t="n">
        <v>1.23044892137827</v>
      </c>
      <c r="CI340" s="0" t="n">
        <v>40.0235482141344</v>
      </c>
      <c r="CJ340" s="0" t="n">
        <v>39.8774043417796</v>
      </c>
      <c r="CK340" s="0" t="n">
        <v>-0.14614387235477</v>
      </c>
      <c r="CL340" s="20" t="n">
        <f aca="false">(CK340)^2</f>
        <v>0.0213580314268473</v>
      </c>
      <c r="CN340" s="0" t="n">
        <v>1.60205999132796</v>
      </c>
      <c r="CO340" s="0" t="n">
        <v>1.23044892137827</v>
      </c>
      <c r="CP340" s="0" t="n">
        <v>39.7598049392579</v>
      </c>
      <c r="CQ340" s="0" t="n">
        <v>39.4378067534722</v>
      </c>
      <c r="CR340" s="0" t="n">
        <v>-0.321998185785716</v>
      </c>
      <c r="CS340" s="20" t="n">
        <f aca="false">(CR340)^2</f>
        <v>0.103682831649293</v>
      </c>
      <c r="CU340" s="0" t="n">
        <v>7.54</v>
      </c>
      <c r="CV340" s="0" t="n">
        <v>1.67850666660698</v>
      </c>
      <c r="CW340" s="0" t="n">
        <v>2.11058971029925</v>
      </c>
      <c r="CX340" s="0" t="n">
        <v>0.432083043692272</v>
      </c>
      <c r="CY340" s="20" t="n">
        <f aca="false">(CX340)^2</f>
        <v>0.186695756646377</v>
      </c>
      <c r="DC340" s="14" t="s">
        <v>441</v>
      </c>
      <c r="DJ340" s="14" t="s">
        <v>442</v>
      </c>
      <c r="DQ340" s="14" t="s">
        <v>443</v>
      </c>
      <c r="DX340" s="14" t="s">
        <v>444</v>
      </c>
    </row>
    <row r="341" customFormat="false" ht="13.2" hidden="false" customHeight="false" outlineLevel="0" collapsed="false">
      <c r="A341" s="8" t="s">
        <v>445</v>
      </c>
      <c r="B341" s="42" t="s">
        <v>241</v>
      </c>
      <c r="C341" s="42" t="n">
        <f aca="false">BN25</f>
        <v>8.02</v>
      </c>
      <c r="D341" s="42" t="s">
        <v>241</v>
      </c>
      <c r="E341" s="42" t="n">
        <f aca="false">BM25</f>
        <v>1.39269695325967</v>
      </c>
      <c r="F341" s="42" t="s">
        <v>241</v>
      </c>
      <c r="G341" s="42" t="n">
        <f aca="false">AN25</f>
        <v>5.64700150217643</v>
      </c>
      <c r="H341" s="42" t="s">
        <v>241</v>
      </c>
      <c r="I341" s="42" t="n">
        <f aca="false">H25</f>
        <v>0.232</v>
      </c>
      <c r="J341" s="8" t="s">
        <v>241</v>
      </c>
      <c r="K341" s="42" t="n">
        <f aca="false">AS25</f>
        <v>0.599767822192984</v>
      </c>
      <c r="L341" s="42" t="s">
        <v>241</v>
      </c>
      <c r="M341" s="42" t="n">
        <f aca="false">Q25</f>
        <v>0.05</v>
      </c>
      <c r="N341" s="42" t="s">
        <v>241</v>
      </c>
      <c r="O341" s="42" t="n">
        <f aca="false">BC25*2.355</f>
        <v>0.891582222222223</v>
      </c>
      <c r="P341" s="42" t="s">
        <v>241</v>
      </c>
      <c r="Q341" s="42" t="n">
        <f aca="false">Sheet2!N25</f>
        <v>18.6750423855616</v>
      </c>
      <c r="R341" s="42" t="s">
        <v>350</v>
      </c>
      <c r="BZ341" s="0" t="n">
        <v>2.11058971029925</v>
      </c>
      <c r="CA341" s="0" t="n">
        <v>1.24303804868629</v>
      </c>
      <c r="CB341" s="0" t="n">
        <v>39.5593690459933</v>
      </c>
      <c r="CC341" s="0" t="n">
        <v>39.8907352023789</v>
      </c>
      <c r="CD341" s="0" t="n">
        <v>0.331366156385641</v>
      </c>
      <c r="CE341" s="20" t="n">
        <f aca="false">(CD341)^2</f>
        <v>0.109803529597793</v>
      </c>
      <c r="CG341" s="0" t="n">
        <v>2.11058971029925</v>
      </c>
      <c r="CH341" s="0" t="n">
        <v>1.24303804868629</v>
      </c>
      <c r="CI341" s="0" t="n">
        <v>40.0899805595616</v>
      </c>
      <c r="CJ341" s="0" t="n">
        <v>40.3666338830954</v>
      </c>
      <c r="CK341" s="0" t="n">
        <v>0.276653323533822</v>
      </c>
      <c r="CL341" s="20" t="n">
        <f aca="false">(CK341)^2</f>
        <v>0.0765370614223093</v>
      </c>
      <c r="CN341" s="0" t="n">
        <v>2.11058971029925</v>
      </c>
      <c r="CO341" s="0" t="n">
        <v>1.24303804868629</v>
      </c>
      <c r="CP341" s="0" t="n">
        <v>39.8433650935215</v>
      </c>
      <c r="CQ341" s="0" t="n">
        <v>40.0674853105121</v>
      </c>
      <c r="CR341" s="0" t="n">
        <v>0.224120216990585</v>
      </c>
      <c r="CS341" s="20" t="n">
        <f aca="false">(CR341)^2</f>
        <v>0.0502298716639068</v>
      </c>
      <c r="CU341" s="0" t="n">
        <v>8.26</v>
      </c>
      <c r="CV341" s="0" t="n">
        <v>1.58429254803705</v>
      </c>
      <c r="CW341" s="0" t="n">
        <v>1.70757017609794</v>
      </c>
      <c r="CX341" s="0" t="n">
        <v>0.123277628060893</v>
      </c>
      <c r="CY341" s="20" t="n">
        <f aca="false">(CX341)^2</f>
        <v>0.0151973735803199</v>
      </c>
      <c r="DC341" s="0" t="s">
        <v>78</v>
      </c>
      <c r="DD341" s="0" t="s">
        <v>79</v>
      </c>
      <c r="DJ341" s="0" t="s">
        <v>78</v>
      </c>
      <c r="DK341" s="0" t="s">
        <v>79</v>
      </c>
      <c r="DQ341" s="0" t="s">
        <v>78</v>
      </c>
      <c r="DR341" s="0" t="s">
        <v>79</v>
      </c>
      <c r="DX341" s="0" t="s">
        <v>78</v>
      </c>
      <c r="DY341" s="0" t="s">
        <v>79</v>
      </c>
    </row>
    <row r="342" customFormat="false" ht="13.2" hidden="false" customHeight="false" outlineLevel="0" collapsed="false">
      <c r="A342" s="8" t="s">
        <v>446</v>
      </c>
      <c r="B342" s="42" t="s">
        <v>241</v>
      </c>
      <c r="C342" s="42" t="n">
        <f aca="false">BN26</f>
        <v>8.28</v>
      </c>
      <c r="D342" s="42" t="s">
        <v>241</v>
      </c>
      <c r="E342" s="42" t="n">
        <f aca="false">BM26</f>
        <v>1.50379068305718</v>
      </c>
      <c r="F342" s="42" t="s">
        <v>241</v>
      </c>
      <c r="G342" s="42" t="n">
        <f aca="false">AN26</f>
        <v>6.86867230771534</v>
      </c>
      <c r="H342" s="42" t="s">
        <v>241</v>
      </c>
      <c r="I342" s="42" t="n">
        <f aca="false">H26</f>
        <v>0.2165</v>
      </c>
      <c r="J342" s="8" t="s">
        <v>241</v>
      </c>
      <c r="K342" s="42" t="n">
        <f aca="false">AS26</f>
        <v>0.811252034750259</v>
      </c>
      <c r="L342" s="42" t="s">
        <v>241</v>
      </c>
      <c r="M342" s="42" t="n">
        <f aca="false">Q26</f>
        <v>0.05</v>
      </c>
      <c r="N342" s="42" t="s">
        <v>241</v>
      </c>
      <c r="O342" s="42" t="n">
        <f aca="false">BC26*2.355</f>
        <v>0.758632</v>
      </c>
      <c r="P342" s="42" t="s">
        <v>241</v>
      </c>
      <c r="Q342" s="42" t="n">
        <f aca="false">Sheet2!N26</f>
        <v>20.0513455400829</v>
      </c>
      <c r="R342" s="42" t="s">
        <v>350</v>
      </c>
      <c r="BZ342" s="0" t="n">
        <v>1.70757017609794</v>
      </c>
      <c r="CA342" s="0" t="n">
        <v>1.3096301674259</v>
      </c>
      <c r="CB342" s="0" t="n">
        <v>39.6990572983322</v>
      </c>
      <c r="CC342" s="0" t="n">
        <v>39.8855611883631</v>
      </c>
      <c r="CD342" s="0" t="n">
        <v>0.186503890030899</v>
      </c>
      <c r="CE342" s="20" t="n">
        <f aca="false">(CD342)^2</f>
        <v>0.0347837009966576</v>
      </c>
      <c r="CG342" s="0" t="n">
        <v>1.70757017609794</v>
      </c>
      <c r="CH342" s="0" t="n">
        <v>1.3096301674259</v>
      </c>
      <c r="CI342" s="0" t="n">
        <v>40.2089348789832</v>
      </c>
      <c r="CJ342" s="0" t="n">
        <v>40.3210963526474</v>
      </c>
      <c r="CK342" s="0" t="n">
        <v>0.11216147366423</v>
      </c>
      <c r="CL342" s="20" t="n">
        <f aca="false">(CK342)^2</f>
        <v>0.0125801961745318</v>
      </c>
      <c r="CN342" s="0" t="n">
        <v>1.70757017609794</v>
      </c>
      <c r="CO342" s="0" t="n">
        <v>1.3096301674259</v>
      </c>
      <c r="CP342" s="0" t="n">
        <v>39.9854386322718</v>
      </c>
      <c r="CQ342" s="0" t="n">
        <v>40.3210963526474</v>
      </c>
      <c r="CR342" s="0" t="n">
        <v>0.335657720375629</v>
      </c>
      <c r="CS342" s="20" t="n">
        <f aca="false">(CR342)^2</f>
        <v>0.112666105247764</v>
      </c>
      <c r="CU342" s="0" t="n">
        <v>8.01</v>
      </c>
      <c r="CV342" s="0" t="n">
        <v>1.61700578365161</v>
      </c>
      <c r="CW342" s="0" t="n">
        <v>2</v>
      </c>
      <c r="CX342" s="0" t="n">
        <v>0.382994216348393</v>
      </c>
      <c r="CY342" s="20" t="n">
        <f aca="false">(CX342)^2</f>
        <v>0.14668456975632</v>
      </c>
    </row>
    <row r="343" customFormat="false" ht="13.2" hidden="false" customHeight="false" outlineLevel="0" collapsed="false">
      <c r="A343" s="8" t="s">
        <v>447</v>
      </c>
      <c r="B343" s="42" t="s">
        <v>241</v>
      </c>
      <c r="C343" s="42" t="n">
        <f aca="false">BN27</f>
        <v>8.71</v>
      </c>
      <c r="D343" s="42" t="s">
        <v>241</v>
      </c>
      <c r="E343" s="42" t="n">
        <f aca="false">BM27</f>
        <v>1.76937732607614</v>
      </c>
      <c r="F343" s="42" t="s">
        <v>241</v>
      </c>
      <c r="G343" s="42" t="n">
        <f aca="false">AN27</f>
        <v>2.16510042373618</v>
      </c>
      <c r="H343" s="42" t="s">
        <v>241</v>
      </c>
      <c r="I343" s="42" t="n">
        <f aca="false">H27</f>
        <v>0.4176</v>
      </c>
      <c r="J343" s="8" t="s">
        <v>241</v>
      </c>
      <c r="K343" s="42" t="n">
        <f aca="false">AS27</f>
        <v>0.794869497929911</v>
      </c>
      <c r="L343" s="42" t="s">
        <v>241</v>
      </c>
      <c r="M343" s="42" t="n">
        <f aca="false">Q27</f>
        <v>0.156</v>
      </c>
      <c r="N343" s="42" t="s">
        <v>241</v>
      </c>
      <c r="O343" s="42" t="n">
        <f aca="false">BC27*2.355</f>
        <v>1.490699</v>
      </c>
      <c r="P343" s="42" t="s">
        <v>241</v>
      </c>
      <c r="Q343" s="42" t="n">
        <f aca="false">Sheet2!N27</f>
        <v>126.599634277527</v>
      </c>
      <c r="R343" s="42" t="s">
        <v>350</v>
      </c>
      <c r="BZ343" s="0" t="n">
        <v>2</v>
      </c>
      <c r="CA343" s="0" t="n">
        <v>1.54900326202579</v>
      </c>
      <c r="CB343" s="0" t="n">
        <v>40.4214294767134</v>
      </c>
      <c r="CC343" s="0" t="n">
        <v>40.8602418490241</v>
      </c>
      <c r="CD343" s="0" t="n">
        <v>0.438812372310707</v>
      </c>
      <c r="CE343" s="20" t="n">
        <f aca="false">(CD343)^2</f>
        <v>0.192556298092951</v>
      </c>
      <c r="CG343" s="0" t="n">
        <v>2</v>
      </c>
      <c r="CH343" s="0" t="n">
        <v>1.54900326202579</v>
      </c>
      <c r="CI343" s="0" t="n">
        <v>40.7673834629904</v>
      </c>
      <c r="CJ343" s="0" t="n">
        <v>41.2889669095893</v>
      </c>
      <c r="CK343" s="0" t="n">
        <v>0.521583446598868</v>
      </c>
      <c r="CL343" s="20" t="n">
        <f aca="false">(CK343)^2</f>
        <v>0.272049291765954</v>
      </c>
      <c r="CN343" s="0" t="n">
        <v>2</v>
      </c>
      <c r="CO343" s="0" t="n">
        <v>1.54900326202579</v>
      </c>
      <c r="CP343" s="0" t="n">
        <v>40.6649791416755</v>
      </c>
      <c r="CQ343" s="0" t="n">
        <v>40.7432526092177</v>
      </c>
      <c r="CR343" s="0" t="n">
        <v>0.078273467542175</v>
      </c>
      <c r="CS343" s="20" t="n">
        <f aca="false">(CR343)^2</f>
        <v>0.00612673572107593</v>
      </c>
      <c r="CU343" s="0" t="n">
        <v>8.48</v>
      </c>
      <c r="CV343" s="0" t="n">
        <v>1.55550490069623</v>
      </c>
      <c r="CW343" s="0" t="n">
        <v>0.698970004336019</v>
      </c>
      <c r="CX343" s="0" t="n">
        <v>-0.856534896360215</v>
      </c>
      <c r="CY343" s="20" t="n">
        <f aca="false">(CX343)^2</f>
        <v>0.733652028682805</v>
      </c>
      <c r="DC343" s="0" t="s">
        <v>84</v>
      </c>
      <c r="DJ343" s="0" t="s">
        <v>84</v>
      </c>
      <c r="DQ343" s="0" t="s">
        <v>84</v>
      </c>
      <c r="DX343" s="0" t="s">
        <v>84</v>
      </c>
    </row>
    <row r="344" customFormat="false" ht="13.2" hidden="false" customHeight="false" outlineLevel="0" collapsed="false">
      <c r="A344" s="8" t="s">
        <v>448</v>
      </c>
      <c r="B344" s="42" t="s">
        <v>241</v>
      </c>
      <c r="C344" s="42" t="n">
        <f aca="false">BN28</f>
        <v>7.88</v>
      </c>
      <c r="D344" s="42" t="s">
        <v>241</v>
      </c>
      <c r="E344" s="42" t="n">
        <f aca="false">BM28</f>
        <v>1.23044892137827</v>
      </c>
      <c r="F344" s="42" t="s">
        <v>241</v>
      </c>
      <c r="G344" s="42" t="n">
        <f aca="false">AN28</f>
        <v>2.51643573405521</v>
      </c>
      <c r="H344" s="42" t="s">
        <v>241</v>
      </c>
      <c r="I344" s="42" t="n">
        <f aca="false">H28</f>
        <v>0.0493</v>
      </c>
      <c r="J344" s="8" t="s">
        <v>241</v>
      </c>
      <c r="K344" s="42" t="n">
        <f aca="false">AS28</f>
        <v>0.649859711708469</v>
      </c>
      <c r="L344" s="42" t="s">
        <v>241</v>
      </c>
      <c r="M344" s="42" t="n">
        <f aca="false">Q28</f>
        <v>0.203</v>
      </c>
      <c r="N344" s="42" t="s">
        <v>241</v>
      </c>
      <c r="O344" s="42" t="n">
        <f aca="false">BC28*2.355</f>
        <v>1.11271125</v>
      </c>
      <c r="P344" s="42" t="s">
        <v>241</v>
      </c>
      <c r="Q344" s="42" t="n">
        <f aca="false">Sheet2!N28</f>
        <v>30.8130135819035</v>
      </c>
      <c r="R344" s="42" t="s">
        <v>350</v>
      </c>
      <c r="BZ344" s="0" t="n">
        <v>0.698970004336019</v>
      </c>
      <c r="CA344" s="0" t="n">
        <v>1.38021124171161</v>
      </c>
      <c r="CB344" s="0" t="n">
        <v>39.7735631437723</v>
      </c>
      <c r="CC344" s="0" t="n">
        <v>39.5307026003539</v>
      </c>
      <c r="CD344" s="0" t="n">
        <v>-0.242860543418409</v>
      </c>
      <c r="CE344" s="20" t="n">
        <f aca="false">(CD344)^2</f>
        <v>0.058981243549485</v>
      </c>
      <c r="CG344" s="0" t="n">
        <v>0.698970004336019</v>
      </c>
      <c r="CH344" s="0" t="n">
        <v>1.38021124171161</v>
      </c>
      <c r="CI344" s="0" t="n">
        <v>40.2913170404506</v>
      </c>
      <c r="CJ344" s="0" t="n">
        <v>40.3112205857885</v>
      </c>
      <c r="CK344" s="0" t="n">
        <v>0.0199035453378613</v>
      </c>
      <c r="CL344" s="20" t="n">
        <f aca="false">(CK344)^2</f>
        <v>0.000396151117016301</v>
      </c>
      <c r="CN344" s="0" t="n">
        <v>0.698970004336019</v>
      </c>
      <c r="CO344" s="0" t="n">
        <v>1.38021124171161</v>
      </c>
      <c r="CP344" s="0" t="n">
        <v>40.0796393007735</v>
      </c>
      <c r="CQ344" s="0" t="n">
        <v>39.8411325938</v>
      </c>
      <c r="CR344" s="0" t="n">
        <v>-0.238506706973482</v>
      </c>
      <c r="CS344" s="20" t="n">
        <f aca="false">(CR344)^2</f>
        <v>0.0568854492713342</v>
      </c>
      <c r="CU344" s="0" t="n">
        <v>7.99</v>
      </c>
      <c r="CV344" s="0" t="n">
        <v>1.61962284250077</v>
      </c>
      <c r="CW344" s="0" t="n">
        <v>1.04139268515823</v>
      </c>
      <c r="CX344" s="0" t="n">
        <v>-0.578230157342541</v>
      </c>
      <c r="CY344" s="20" t="n">
        <f aca="false">(CX344)^2</f>
        <v>0.33435011486038</v>
      </c>
      <c r="DC344" s="0" t="e">
        <f aca="false" t="array" ref="DC344:DG348">LINEST($BE$138:$BE$153 , $BK$138:$BN$153 , 1 , 1)</f>
        <v>#VALUE!</v>
      </c>
      <c r="DD344" s="0" t="e">
        <v>#VALUE!</v>
      </c>
      <c r="DE344" s="0" t="e">
        <v>#VALUE!</v>
      </c>
      <c r="DF344" s="0" t="e">
        <v>#VALUE!</v>
      </c>
      <c r="DG344" s="0" t="e">
        <v>#VALUE!</v>
      </c>
      <c r="DJ344" s="0" t="n">
        <f aca="false" t="array" ref="DJ344:DN348">LINEST($BF$138:$BF$153 , $BK$138:$BN$153 , 1 , 1)</f>
        <v>0.431167839658057</v>
      </c>
      <c r="DK344" s="0" t="n">
        <v>0.84591601054344</v>
      </c>
      <c r="DL344" s="0" t="n">
        <v>0.325962212041609</v>
      </c>
      <c r="DM344" s="0" t="n">
        <v>0.556766416587271</v>
      </c>
      <c r="DN344" s="0" t="n">
        <v>34.3283362802897</v>
      </c>
      <c r="DQ344" s="0" t="n">
        <f aca="false" t="array" ref="DQ344:DU348">LINEST($BG$138:$BG$153 , $BK$138:$BN$153 , 1 , 1)</f>
        <v>0.269463814050225</v>
      </c>
      <c r="DR344" s="0" t="n">
        <v>1.48711960589534</v>
      </c>
      <c r="DS344" s="0" t="n">
        <v>0.158727494117014</v>
      </c>
      <c r="DT344" s="0" t="n">
        <v>0.0524764972267785</v>
      </c>
      <c r="DU344" s="0" t="n">
        <v>36.5523303864436</v>
      </c>
      <c r="DX344" s="0" t="n">
        <f aca="false" t="array" ref="DX344:EB348">LINEST($BH$138:$BH$153 , $BK$138:$BN$153 , 1 , 1)</f>
        <v>0.574936629921648</v>
      </c>
      <c r="DY344" s="0" t="n">
        <v>0.804747300112954</v>
      </c>
      <c r="DZ344" s="0" t="n">
        <v>0.602257967920532</v>
      </c>
      <c r="EA344" s="0" t="n">
        <v>0.429040511650135</v>
      </c>
      <c r="EB344" s="0" t="n">
        <v>32.3898290200825</v>
      </c>
    </row>
    <row r="345" customFormat="false" ht="13.2" hidden="false" customHeight="false" outlineLevel="0" collapsed="false">
      <c r="A345" s="8" t="s">
        <v>449</v>
      </c>
      <c r="B345" s="42" t="s">
        <v>241</v>
      </c>
      <c r="C345" s="42" t="n">
        <f aca="false">BN29</f>
        <v>7.54</v>
      </c>
      <c r="D345" s="42" t="s">
        <v>241</v>
      </c>
      <c r="E345" s="42" t="n">
        <f aca="false">BM29</f>
        <v>1.24303804868629</v>
      </c>
      <c r="F345" s="42" t="s">
        <v>241</v>
      </c>
      <c r="G345" s="42" t="n">
        <f aca="false">AN29</f>
        <v>1.87956174212439</v>
      </c>
      <c r="H345" s="42" t="s">
        <v>241</v>
      </c>
      <c r="I345" s="42" t="n">
        <f aca="false">H29</f>
        <v>0.13</v>
      </c>
      <c r="J345" s="8" t="s">
        <v>241</v>
      </c>
      <c r="K345" s="42" t="n">
        <f aca="false">AS29</f>
        <v>0.48781837338947</v>
      </c>
      <c r="L345" s="42" t="s">
        <v>241</v>
      </c>
      <c r="M345" s="42" t="n">
        <f aca="false">Q29</f>
        <v>0.125</v>
      </c>
      <c r="N345" s="42" t="s">
        <v>241</v>
      </c>
      <c r="O345" s="42" t="n">
        <f aca="false">BC29*2.355</f>
        <v>0.590387000000001</v>
      </c>
      <c r="P345" s="42" t="s">
        <v>241</v>
      </c>
      <c r="Q345" s="42" t="n">
        <f aca="false">Sheet2!N29</f>
        <v>43.3892079986258</v>
      </c>
      <c r="R345" s="42" t="s">
        <v>350</v>
      </c>
      <c r="BZ345" s="0" t="n">
        <v>1.04139268515823</v>
      </c>
      <c r="CA345" s="0" t="n">
        <v>1.41161970596323</v>
      </c>
      <c r="CB345" s="0" t="n">
        <v>39.906808092441</v>
      </c>
      <c r="CC345" s="0" t="n">
        <v>39.4259659076773</v>
      </c>
      <c r="CD345" s="0" t="n">
        <v>-0.480842184763723</v>
      </c>
      <c r="CE345" s="20" t="n">
        <f aca="false">(CD345)^2</f>
        <v>0.231209206648351</v>
      </c>
      <c r="CG345" s="0" t="n">
        <v>1.04139268515823</v>
      </c>
      <c r="CH345" s="0" t="n">
        <v>1.41161970596323</v>
      </c>
      <c r="CI345" s="0" t="n">
        <v>40.3874426952422</v>
      </c>
      <c r="CJ345" s="0" t="n">
        <v>39.794334988839</v>
      </c>
      <c r="CK345" s="0" t="n">
        <v>-0.593107706403153</v>
      </c>
      <c r="CL345" s="20" t="n">
        <f aca="false">(CK345)^2</f>
        <v>0.351776751394808</v>
      </c>
      <c r="CN345" s="0" t="n">
        <v>1.04139268515823</v>
      </c>
      <c r="CO345" s="0" t="n">
        <v>1.41161970596323</v>
      </c>
      <c r="CP345" s="0" t="n">
        <v>40.1982872736904</v>
      </c>
      <c r="CQ345" s="0" t="n">
        <v>39.794334988839</v>
      </c>
      <c r="CR345" s="0" t="n">
        <v>-0.4039522848514</v>
      </c>
      <c r="CS345" s="20" t="n">
        <f aca="false">(CR345)^2</f>
        <v>0.163177448436666</v>
      </c>
      <c r="CU345" s="0" t="n">
        <v>8.01</v>
      </c>
      <c r="CV345" s="0" t="n">
        <v>1.61700578365161</v>
      </c>
      <c r="CW345" s="0" t="n">
        <v>1.69019608002851</v>
      </c>
      <c r="CX345" s="0" t="n">
        <v>0.0731902963769031</v>
      </c>
      <c r="CY345" s="20" t="n">
        <f aca="false">(CX345)^2</f>
        <v>0.00535681948373892</v>
      </c>
      <c r="DC345" s="0" t="e">
        <v>#VALUE!</v>
      </c>
      <c r="DD345" s="0" t="e">
        <v>#VALUE!</v>
      </c>
      <c r="DE345" s="0" t="e">
        <v>#VALUE!</v>
      </c>
      <c r="DF345" s="0" t="e">
        <v>#VALUE!</v>
      </c>
      <c r="DG345" s="0" t="e">
        <v>#VALUE!</v>
      </c>
      <c r="DJ345" s="0" t="n">
        <v>0.311261954613461</v>
      </c>
      <c r="DK345" s="0" t="n">
        <v>1.14646429956841</v>
      </c>
      <c r="DL345" s="0" t="n">
        <v>0.500129898402775</v>
      </c>
      <c r="DM345" s="0" t="n">
        <v>0.398867853151136</v>
      </c>
      <c r="DN345" s="0" t="n">
        <v>3.72869254332071</v>
      </c>
      <c r="DQ345" s="0" t="n">
        <v>0.270397155997752</v>
      </c>
      <c r="DR345" s="0" t="n">
        <v>0.995947887178262</v>
      </c>
      <c r="DS345" s="0" t="n">
        <v>0.434469102802797</v>
      </c>
      <c r="DT345" s="0" t="n">
        <v>0.346501496608966</v>
      </c>
      <c r="DU345" s="0" t="n">
        <v>3.23916188393795</v>
      </c>
      <c r="DX345" s="0" t="n">
        <v>0.285429275032158</v>
      </c>
      <c r="DY345" s="0" t="n">
        <v>1.05131536002348</v>
      </c>
      <c r="DZ345" s="0" t="n">
        <v>0.458622431065456</v>
      </c>
      <c r="EA345" s="0" t="n">
        <v>0.365764464532597</v>
      </c>
      <c r="EB345" s="0" t="n">
        <v>3.41923577129596</v>
      </c>
    </row>
    <row r="346" customFormat="false" ht="13.2" hidden="false" customHeight="false" outlineLevel="0" collapsed="false">
      <c r="A346" s="8" t="s">
        <v>450</v>
      </c>
      <c r="B346" s="42" t="s">
        <v>241</v>
      </c>
      <c r="C346" s="42" t="n">
        <f aca="false">BN30</f>
        <v>8.26</v>
      </c>
      <c r="D346" s="42" t="s">
        <v>241</v>
      </c>
      <c r="E346" s="42" t="n">
        <f aca="false">BM30</f>
        <v>1.3096301674259</v>
      </c>
      <c r="F346" s="42" t="s">
        <v>241</v>
      </c>
      <c r="G346" s="42" t="n">
        <f aca="false">AN30</f>
        <v>2.21424839706416</v>
      </c>
      <c r="H346" s="42" t="s">
        <v>241</v>
      </c>
      <c r="I346" s="42" t="n">
        <f aca="false">H30</f>
        <v>0.3681</v>
      </c>
      <c r="J346" s="8" t="s">
        <v>241</v>
      </c>
      <c r="K346" s="42" t="n">
        <f aca="false">AS30</f>
        <v>0.55920738781177</v>
      </c>
      <c r="L346" s="42" t="s">
        <v>241</v>
      </c>
      <c r="M346" s="42" t="n">
        <f aca="false">Q30</f>
        <v>0.05</v>
      </c>
      <c r="N346" s="42" t="s">
        <v>241</v>
      </c>
      <c r="O346" s="42" t="n">
        <f aca="false">BC30*2.355</f>
        <v>0.760505454545455</v>
      </c>
      <c r="P346" s="42" t="s">
        <v>241</v>
      </c>
      <c r="Q346" s="42" t="n">
        <f aca="false">Sheet2!N30</f>
        <v>36.9019985051642</v>
      </c>
      <c r="R346" s="42" t="s">
        <v>350</v>
      </c>
      <c r="BZ346" s="0" t="n">
        <v>1.69019608002851</v>
      </c>
      <c r="CA346" s="0" t="n">
        <v>1.24797326636181</v>
      </c>
      <c r="CB346" s="0" t="n">
        <v>39.5203214806006</v>
      </c>
      <c r="CC346" s="0" t="n">
        <v>39.3876198532141</v>
      </c>
      <c r="CD346" s="0" t="n">
        <v>-0.132701627386517</v>
      </c>
      <c r="CE346" s="20" t="n">
        <f aca="false">(CD346)^2</f>
        <v>0.01760972191103</v>
      </c>
      <c r="CG346" s="0" t="n">
        <v>1.69019608002851</v>
      </c>
      <c r="CH346" s="0" t="n">
        <v>1.24797326636181</v>
      </c>
      <c r="CI346" s="0" t="n">
        <v>40.0694467238594</v>
      </c>
      <c r="CJ346" s="0" t="n">
        <v>39.9396196552323</v>
      </c>
      <c r="CK346" s="0" t="n">
        <v>-0.129827068627094</v>
      </c>
      <c r="CL346" s="20" t="n">
        <f aca="false">(CK346)^2</f>
        <v>0.0168550677483042</v>
      </c>
      <c r="CN346" s="0" t="n">
        <v>1.69019608002851</v>
      </c>
      <c r="CO346" s="0" t="n">
        <v>1.24797326636181</v>
      </c>
      <c r="CP346" s="0" t="n">
        <v>39.8160243392443</v>
      </c>
      <c r="CQ346" s="0" t="n">
        <v>39.6143001977675</v>
      </c>
      <c r="CR346" s="0" t="n">
        <v>-0.201724141476845</v>
      </c>
      <c r="CS346" s="20" t="n">
        <f aca="false">(CR346)^2</f>
        <v>0.0406926292545701</v>
      </c>
      <c r="CU346" s="0" t="n">
        <v>7.74</v>
      </c>
      <c r="CV346" s="0" t="n">
        <v>1.65233607811533</v>
      </c>
      <c r="CW346" s="0" t="n">
        <v>1.46239799789896</v>
      </c>
      <c r="CX346" s="0" t="n">
        <v>-0.189938080216371</v>
      </c>
      <c r="CY346" s="20" t="n">
        <f aca="false">(CX346)^2</f>
        <v>0.0360764743162805</v>
      </c>
      <c r="DC346" s="0" t="e">
        <v>#VALUE!</v>
      </c>
      <c r="DD346" s="0" t="e">
        <v>#VALUE!</v>
      </c>
      <c r="DE346" s="0" t="e">
        <v>#VALUE!</v>
      </c>
      <c r="DF346" s="0" t="e">
        <v>#VALUE!</v>
      </c>
      <c r="DG346" s="0" t="e">
        <v>#VALUE!</v>
      </c>
      <c r="DJ346" s="0" t="n">
        <v>0.543828184129429</v>
      </c>
      <c r="DK346" s="0" t="n">
        <v>0.341992143039545</v>
      </c>
      <c r="DL346" s="0" t="e">
        <v>#N/A</v>
      </c>
      <c r="DM346" s="0" t="e">
        <v>#N/A</v>
      </c>
      <c r="DN346" s="0" t="e">
        <v>#N/A</v>
      </c>
      <c r="DQ346" s="0" t="n">
        <v>0.495971592708126</v>
      </c>
      <c r="DR346" s="0" t="n">
        <v>0.297092855329227</v>
      </c>
      <c r="DS346" s="0" t="e">
        <v>#N/A</v>
      </c>
      <c r="DT346" s="0" t="e">
        <v>#N/A</v>
      </c>
      <c r="DU346" s="0" t="e">
        <v>#N/A</v>
      </c>
      <c r="DX346" s="0" t="n">
        <v>0.614267001945248</v>
      </c>
      <c r="DY346" s="0" t="n">
        <v>0.313609061459804</v>
      </c>
      <c r="DZ346" s="0" t="e">
        <v>#N/A</v>
      </c>
      <c r="EA346" s="0" t="e">
        <v>#N/A</v>
      </c>
      <c r="EB346" s="0" t="e">
        <v>#N/A</v>
      </c>
    </row>
    <row r="347" customFormat="false" ht="13.2" hidden="false" customHeight="false" outlineLevel="0" collapsed="false">
      <c r="A347" s="8" t="s">
        <v>451</v>
      </c>
      <c r="B347" s="42" t="s">
        <v>241</v>
      </c>
      <c r="C347" s="42" t="n">
        <f aca="false">BN31</f>
        <v>8.01</v>
      </c>
      <c r="D347" s="42" t="s">
        <v>241</v>
      </c>
      <c r="E347" s="42" t="n">
        <f aca="false">BM31</f>
        <v>1.54900326202579</v>
      </c>
      <c r="F347" s="42" t="s">
        <v>241</v>
      </c>
      <c r="G347" s="42" t="n">
        <f aca="false">AN31</f>
        <v>2.78219255213186</v>
      </c>
      <c r="H347" s="42" t="s">
        <v>241</v>
      </c>
      <c r="I347" s="42" t="n">
        <f aca="false">H31</f>
        <v>0.345</v>
      </c>
      <c r="J347" s="8" t="s">
        <v>241</v>
      </c>
      <c r="K347" s="42" t="n">
        <f aca="false">AS31</f>
        <v>0.710427667840834</v>
      </c>
      <c r="L347" s="42" t="s">
        <v>241</v>
      </c>
      <c r="M347" s="42" t="n">
        <f aca="false">Q31</f>
        <v>0.198</v>
      </c>
      <c r="N347" s="42" t="s">
        <v>241</v>
      </c>
      <c r="O347" s="42" t="n">
        <f aca="false">BC31*2.355</f>
        <v>0.884829166666666</v>
      </c>
      <c r="P347" s="42" t="s">
        <v>241</v>
      </c>
      <c r="Q347" s="42" t="n">
        <f aca="false">Sheet2!N31</f>
        <v>37.6791736550282</v>
      </c>
      <c r="R347" s="42" t="s">
        <v>350</v>
      </c>
      <c r="BZ347" s="0" t="n">
        <v>1.46239799789896</v>
      </c>
      <c r="CA347" s="0" t="n">
        <v>1.3541084391474</v>
      </c>
      <c r="CB347" s="0" t="n">
        <v>39.7953955673649</v>
      </c>
      <c r="CC347" s="0" t="n">
        <v>39.7992940202333</v>
      </c>
      <c r="CD347" s="0" t="n">
        <v>0.00389845286838408</v>
      </c>
      <c r="CE347" s="20" t="n">
        <f aca="false">(CD347)^2</f>
        <v>1.51979347670121E-005</v>
      </c>
      <c r="CG347" s="0" t="n">
        <v>1.46239799789896</v>
      </c>
      <c r="CH347" s="0" t="n">
        <v>1.3541084391474</v>
      </c>
      <c r="CI347" s="0" t="n">
        <v>40.2901916440661</v>
      </c>
      <c r="CJ347" s="0" t="n">
        <v>40.5671950296227</v>
      </c>
      <c r="CK347" s="0" t="n">
        <v>0.277003385556632</v>
      </c>
      <c r="CL347" s="20" t="n">
        <f aca="false">(CK347)^2</f>
        <v>0.0767308756098364</v>
      </c>
      <c r="CN347" s="0" t="n">
        <v>1.46239799789896</v>
      </c>
      <c r="CO347" s="0" t="n">
        <v>1.3541084391474</v>
      </c>
      <c r="CP347" s="0" t="n">
        <v>40.0826611138043</v>
      </c>
      <c r="CQ347" s="0" t="n">
        <v>40.5671950296227</v>
      </c>
      <c r="CR347" s="0" t="n">
        <v>0.484533915818425</v>
      </c>
      <c r="CS347" s="20" t="n">
        <f aca="false">(CR347)^2</f>
        <v>0.234773115578336</v>
      </c>
      <c r="CU347" s="0" t="n">
        <v>7.95</v>
      </c>
      <c r="CV347" s="0" t="n">
        <v>1.6248569601991</v>
      </c>
      <c r="CW347" s="0" t="n">
        <v>1.64345267648619</v>
      </c>
      <c r="CX347" s="0" t="n">
        <v>0.0185957162870891</v>
      </c>
      <c r="CY347" s="20" t="n">
        <f aca="false">(CX347)^2</f>
        <v>0.000345800664229911</v>
      </c>
      <c r="DC347" s="0" t="e">
        <v>#VALUE!</v>
      </c>
      <c r="DD347" s="0" t="e">
        <v>#VALUE!</v>
      </c>
      <c r="DE347" s="0" t="e">
        <v>#VALUE!</v>
      </c>
      <c r="DF347" s="0" t="e">
        <v>#VALUE!</v>
      </c>
      <c r="DG347" s="0" t="e">
        <v>#VALUE!</v>
      </c>
      <c r="DJ347" s="0" t="n">
        <v>3.27843030701452</v>
      </c>
      <c r="DK347" s="0" t="n">
        <v>11</v>
      </c>
      <c r="DL347" s="0" t="e">
        <v>#N/A</v>
      </c>
      <c r="DM347" s="0" t="e">
        <v>#N/A</v>
      </c>
      <c r="DN347" s="0" t="e">
        <v>#N/A</v>
      </c>
      <c r="DQ347" s="0" t="n">
        <v>2.70604168379249</v>
      </c>
      <c r="DR347" s="0" t="n">
        <v>11</v>
      </c>
      <c r="DS347" s="0" t="e">
        <v>#N/A</v>
      </c>
      <c r="DT347" s="0" t="e">
        <v>#N/A</v>
      </c>
      <c r="DU347" s="0" t="e">
        <v>#N/A</v>
      </c>
      <c r="DX347" s="0" t="n">
        <v>4.37928376329799</v>
      </c>
      <c r="DY347" s="0" t="n">
        <v>11</v>
      </c>
      <c r="DZ347" s="0" t="e">
        <v>#N/A</v>
      </c>
      <c r="EA347" s="0" t="e">
        <v>#N/A</v>
      </c>
      <c r="EB347" s="0" t="e">
        <v>#N/A</v>
      </c>
    </row>
    <row r="348" customFormat="false" ht="13.2" hidden="false" customHeight="false" outlineLevel="0" collapsed="false">
      <c r="A348" s="8" t="s">
        <v>452</v>
      </c>
      <c r="B348" s="42" t="s">
        <v>241</v>
      </c>
      <c r="C348" s="42" t="n">
        <f aca="false">BN32</f>
        <v>8.48</v>
      </c>
      <c r="D348" s="42" t="s">
        <v>241</v>
      </c>
      <c r="E348" s="42" t="n">
        <f aca="false">BM32</f>
        <v>1.38021124171161</v>
      </c>
      <c r="F348" s="42" t="s">
        <v>241</v>
      </c>
      <c r="G348" s="42" t="n">
        <f aca="false">AN32</f>
        <v>4.04077546175946</v>
      </c>
      <c r="H348" s="42" t="s">
        <v>241</v>
      </c>
      <c r="I348" s="42" t="n">
        <f aca="false">H32</f>
        <v>0.2651</v>
      </c>
      <c r="J348" s="8" t="s">
        <v>241</v>
      </c>
      <c r="K348" s="42" t="n">
        <f aca="false">AS32</f>
        <v>0.691028986501644</v>
      </c>
      <c r="L348" s="42" t="s">
        <v>241</v>
      </c>
      <c r="M348" s="42" t="n">
        <f aca="false">Q32</f>
        <v>0.05</v>
      </c>
      <c r="N348" s="42" t="s">
        <v>241</v>
      </c>
      <c r="O348" s="42" t="n">
        <f aca="false">BC32*2.355</f>
        <v>0.844518181818181</v>
      </c>
      <c r="P348" s="42" t="s">
        <v>241</v>
      </c>
      <c r="Q348" s="42" t="n">
        <f aca="false">Sheet2!N32</f>
        <v>36.7124902467871</v>
      </c>
      <c r="R348" s="42" t="s">
        <v>350</v>
      </c>
      <c r="BZ348" s="0" t="n">
        <v>1.64345267648619</v>
      </c>
      <c r="CA348" s="0" t="n">
        <v>1.20682587603185</v>
      </c>
      <c r="CB348" s="0" t="n">
        <v>39.3965940568233</v>
      </c>
      <c r="CC348" s="0" t="n">
        <v>39.5414546476421</v>
      </c>
      <c r="CD348" s="0" t="n">
        <v>0.144860590818801</v>
      </c>
      <c r="CE348" s="20" t="n">
        <f aca="false">(CD348)^2</f>
        <v>0.0209845907723722</v>
      </c>
      <c r="CG348" s="0" t="n">
        <v>1.64345267648619</v>
      </c>
      <c r="CH348" s="0" t="n">
        <v>1.20682587603185</v>
      </c>
      <c r="CI348" s="0" t="n">
        <v>39.9737162455234</v>
      </c>
      <c r="CJ348" s="0" t="n">
        <v>39.9994654634455</v>
      </c>
      <c r="CK348" s="0" t="n">
        <v>0.025749217922133</v>
      </c>
      <c r="CL348" s="20" t="n">
        <f aca="false">(CK348)^2</f>
        <v>0.000663022223601497</v>
      </c>
      <c r="CN348" s="0" t="n">
        <v>1.64345267648619</v>
      </c>
      <c r="CO348" s="0" t="n">
        <v>1.20682587603185</v>
      </c>
      <c r="CP348" s="0" t="n">
        <v>39.6995554767636</v>
      </c>
      <c r="CQ348" s="0" t="n">
        <v>39.4317743737488</v>
      </c>
      <c r="CR348" s="0" t="n">
        <v>-0.267781103014777</v>
      </c>
      <c r="CS348" s="20" t="n">
        <f aca="false">(CR348)^2</f>
        <v>0.0717067191318104</v>
      </c>
      <c r="CU348" s="0" t="n">
        <v>7.77</v>
      </c>
      <c r="CV348" s="0" t="n">
        <v>1.64841048984158</v>
      </c>
      <c r="CW348" s="0" t="n">
        <v>2.19033169817029</v>
      </c>
      <c r="CX348" s="0" t="n">
        <v>0.541921208328706</v>
      </c>
      <c r="CY348" s="20" t="n">
        <f aca="false">(CX348)^2</f>
        <v>0.293678596036445</v>
      </c>
      <c r="DC348" s="0" t="e">
        <v>#VALUE!</v>
      </c>
      <c r="DD348" s="0" t="e">
        <v>#VALUE!</v>
      </c>
      <c r="DE348" s="0" t="e">
        <v>#VALUE!</v>
      </c>
      <c r="DF348" s="0" t="e">
        <v>#VALUE!</v>
      </c>
      <c r="DG348" s="0" t="e">
        <v>#VALUE!</v>
      </c>
      <c r="DJ348" s="0" t="n">
        <v>1.53376281527957</v>
      </c>
      <c r="DK348" s="0" t="n">
        <v>1.28654488490859</v>
      </c>
      <c r="DL348" s="0" t="e">
        <v>#N/A</v>
      </c>
      <c r="DM348" s="0" t="e">
        <v>#N/A</v>
      </c>
      <c r="DN348" s="0" t="e">
        <v>#N/A</v>
      </c>
      <c r="DQ348" s="0" t="n">
        <v>0.955386035319875</v>
      </c>
      <c r="DR348" s="0" t="n">
        <v>0.970905811564406</v>
      </c>
      <c r="DS348" s="0" t="e">
        <v>#N/A</v>
      </c>
      <c r="DT348" s="0" t="e">
        <v>#N/A</v>
      </c>
      <c r="DU348" s="0" t="e">
        <v>#N/A</v>
      </c>
      <c r="DX348" s="0" t="n">
        <v>1.72282150352637</v>
      </c>
      <c r="DY348" s="0" t="n">
        <v>1.08185707772669</v>
      </c>
      <c r="DZ348" s="0" t="e">
        <v>#N/A</v>
      </c>
      <c r="EA348" s="0" t="e">
        <v>#N/A</v>
      </c>
      <c r="EB348" s="0" t="e">
        <v>#N/A</v>
      </c>
    </row>
    <row r="349" customFormat="false" ht="13.2" hidden="false" customHeight="false" outlineLevel="0" collapsed="false">
      <c r="A349" s="8" t="s">
        <v>453</v>
      </c>
      <c r="B349" s="42" t="s">
        <v>241</v>
      </c>
      <c r="C349" s="42" t="n">
        <f aca="false">BN33</f>
        <v>7.99</v>
      </c>
      <c r="D349" s="42" t="s">
        <v>241</v>
      </c>
      <c r="E349" s="42" t="n">
        <f aca="false">BM33</f>
        <v>1.41161970596323</v>
      </c>
      <c r="F349" s="42" t="s">
        <v>241</v>
      </c>
      <c r="G349" s="42" t="n">
        <f aca="false">AN33</f>
        <v>1.90754092812037</v>
      </c>
      <c r="H349" s="42" t="s">
        <v>241</v>
      </c>
      <c r="I349" s="42" t="n">
        <f aca="false">H33</f>
        <v>0.25</v>
      </c>
      <c r="J349" s="8" t="s">
        <v>241</v>
      </c>
      <c r="K349" s="42" t="n">
        <f aca="false">AS33</f>
        <v>0.545735344965351</v>
      </c>
      <c r="L349" s="42" t="s">
        <v>241</v>
      </c>
      <c r="M349" s="42" t="n">
        <f aca="false">Q33</f>
        <v>0.08</v>
      </c>
      <c r="N349" s="42" t="s">
        <v>241</v>
      </c>
      <c r="O349" s="42" t="n">
        <f aca="false">BC33*2.355</f>
        <v>0.82797909090909</v>
      </c>
      <c r="P349" s="42" t="s">
        <v>241</v>
      </c>
      <c r="Q349" s="42" t="n">
        <f aca="false">Sheet2!N33</f>
        <v>58.8278976772496</v>
      </c>
      <c r="R349" s="42" t="s">
        <v>350</v>
      </c>
      <c r="BZ349" s="0" t="n">
        <v>2.19033169817029</v>
      </c>
      <c r="CA349" s="0" t="n">
        <v>1.09691001300806</v>
      </c>
      <c r="CB349" s="0" t="n">
        <v>39.1510575348594</v>
      </c>
      <c r="CC349" s="0" t="n">
        <v>39.2951320767752</v>
      </c>
      <c r="CD349" s="0" t="n">
        <v>0.144074541915778</v>
      </c>
      <c r="CE349" s="20" t="n">
        <f aca="false">(CD349)^2</f>
        <v>0.0207574736282412</v>
      </c>
      <c r="CG349" s="0" t="n">
        <v>2.19033169817029</v>
      </c>
      <c r="CH349" s="0" t="n">
        <v>1.09691001300806</v>
      </c>
      <c r="CI349" s="0" t="n">
        <v>39.7684785434445</v>
      </c>
      <c r="CJ349" s="0" t="n">
        <v>39.8338814731209</v>
      </c>
      <c r="CK349" s="0" t="n">
        <v>0.0654029296764449</v>
      </c>
      <c r="CL349" s="20" t="n">
        <f aca="false">(CK349)^2</f>
        <v>0.004277543210262</v>
      </c>
      <c r="CN349" s="0" t="n">
        <v>2.19033169817029</v>
      </c>
      <c r="CO349" s="0" t="n">
        <v>1.09691001300806</v>
      </c>
      <c r="CP349" s="0" t="n">
        <v>39.4535757134257</v>
      </c>
      <c r="CQ349" s="0" t="n">
        <v>39.7495605874209</v>
      </c>
      <c r="CR349" s="0" t="n">
        <v>0.295984873995174</v>
      </c>
      <c r="CS349" s="20" t="n">
        <f aca="false">(CR349)^2</f>
        <v>0.0876070456339389</v>
      </c>
      <c r="CU349" s="0" t="n">
        <v>7.92</v>
      </c>
      <c r="CV349" s="0" t="n">
        <v>1.62878254847285</v>
      </c>
      <c r="CW349" s="0" t="n">
        <v>1.86923171973098</v>
      </c>
      <c r="CX349" s="0" t="n">
        <v>0.240449171258132</v>
      </c>
      <c r="CY349" s="20" t="n">
        <f aca="false">(CX349)^2</f>
        <v>0.0578158039587225</v>
      </c>
    </row>
    <row r="350" customFormat="false" ht="13.2" hidden="false" customHeight="false" outlineLevel="0" collapsed="false">
      <c r="A350" s="8" t="s">
        <v>454</v>
      </c>
      <c r="B350" s="42" t="s">
        <v>241</v>
      </c>
      <c r="C350" s="42" t="s">
        <v>165</v>
      </c>
      <c r="D350" s="42" t="s">
        <v>241</v>
      </c>
      <c r="E350" s="42" t="n">
        <f aca="false">BM34</f>
        <v>1.45484486000851</v>
      </c>
      <c r="F350" s="42" t="s">
        <v>241</v>
      </c>
      <c r="G350" s="42" t="n">
        <f aca="false">AN34</f>
        <v>0.881470305780285</v>
      </c>
      <c r="H350" s="42" t="s">
        <v>241</v>
      </c>
      <c r="I350" s="42" t="n">
        <f aca="false">H34</f>
        <v>0.2</v>
      </c>
      <c r="J350" s="8" t="s">
        <v>241</v>
      </c>
      <c r="K350" s="42" t="n">
        <f aca="false">AS34</f>
        <v>0.513829655218407</v>
      </c>
      <c r="L350" s="42" t="s">
        <v>241</v>
      </c>
      <c r="M350" s="42" t="n">
        <f aca="false">Q34</f>
        <v>0.09</v>
      </c>
      <c r="N350" s="42" t="s">
        <v>241</v>
      </c>
      <c r="O350" s="42" t="n">
        <f aca="false">BC34*2.355</f>
        <v>0.722755833333332</v>
      </c>
      <c r="P350" s="42" t="s">
        <v>241</v>
      </c>
      <c r="Q350" s="42" t="n">
        <f aca="false">Sheet2!N34</f>
        <v>100.742876297103</v>
      </c>
      <c r="R350" s="42" t="s">
        <v>350</v>
      </c>
      <c r="BZ350" s="0" t="n">
        <v>1.86923171973098</v>
      </c>
      <c r="CA350" s="0" t="n">
        <v>1.28330122870355</v>
      </c>
      <c r="CB350" s="0" t="n">
        <v>39.6441210070465</v>
      </c>
      <c r="CC350" s="0" t="n">
        <v>39.0423920343584</v>
      </c>
      <c r="CD350" s="0" t="n">
        <v>-0.601728972688129</v>
      </c>
      <c r="CE350" s="20" t="n">
        <f aca="false">(CD350)^2</f>
        <v>0.362077756572311</v>
      </c>
      <c r="CG350" s="0" t="n">
        <v>1.86923171973098</v>
      </c>
      <c r="CH350" s="0" t="n">
        <v>1.28330122870355</v>
      </c>
      <c r="CI350" s="0" t="n">
        <v>40.1620773209975</v>
      </c>
      <c r="CJ350" s="0" t="n">
        <v>39.4843141944881</v>
      </c>
      <c r="CK350" s="0" t="n">
        <v>-0.677763126509404</v>
      </c>
      <c r="CL350" s="20" t="n">
        <f aca="false">(CK350)^2</f>
        <v>0.459362855655803</v>
      </c>
      <c r="CN350" s="0" t="n">
        <v>1.86923171973098</v>
      </c>
      <c r="CO350" s="0" t="n">
        <v>1.28330122870355</v>
      </c>
      <c r="CP350" s="0" t="n">
        <v>39.9294908411644</v>
      </c>
      <c r="CQ350" s="0" t="n">
        <v>39.4843141944881</v>
      </c>
      <c r="CR350" s="0" t="n">
        <v>-0.445176646676323</v>
      </c>
      <c r="CS350" s="20" t="n">
        <f aca="false">(CR350)^2</f>
        <v>0.198182246745976</v>
      </c>
      <c r="CU350" s="0" t="n">
        <v>7.85</v>
      </c>
      <c r="CV350" s="0" t="n">
        <v>1.63794225444492</v>
      </c>
      <c r="CW350" s="0" t="n">
        <v>1.27875360095283</v>
      </c>
      <c r="CX350" s="0" t="n">
        <v>-0.359188653492095</v>
      </c>
      <c r="CY350" s="20" t="n">
        <f aca="false">(CX350)^2</f>
        <v>0.129016488797464</v>
      </c>
      <c r="DC350" s="0" t="s">
        <v>100</v>
      </c>
      <c r="DJ350" s="0" t="s">
        <v>100</v>
      </c>
      <c r="DQ350" s="0" t="s">
        <v>100</v>
      </c>
      <c r="DX350" s="0" t="s">
        <v>100</v>
      </c>
    </row>
    <row r="351" customFormat="false" ht="13.2" hidden="false" customHeight="false" outlineLevel="0" collapsed="false">
      <c r="A351" s="8" t="s">
        <v>455</v>
      </c>
      <c r="B351" s="42" t="s">
        <v>241</v>
      </c>
      <c r="C351" s="42" t="n">
        <f aca="false">BN35</f>
        <v>8.01</v>
      </c>
      <c r="D351" s="42" t="s">
        <v>241</v>
      </c>
      <c r="E351" s="42" t="n">
        <f aca="false">BM35</f>
        <v>1.24797326636181</v>
      </c>
      <c r="F351" s="42" t="s">
        <v>241</v>
      </c>
      <c r="G351" s="42" t="n">
        <f aca="false">AN35</f>
        <v>6.40749631659236</v>
      </c>
      <c r="H351" s="42" t="s">
        <v>241</v>
      </c>
      <c r="I351" s="42" t="n">
        <f aca="false">H35</f>
        <v>0.4</v>
      </c>
      <c r="J351" s="8" t="s">
        <v>241</v>
      </c>
      <c r="K351" s="42" t="n">
        <f aca="false">AS35</f>
        <v>0.505205095085917</v>
      </c>
      <c r="L351" s="42" t="s">
        <v>241</v>
      </c>
      <c r="M351" s="42" t="n">
        <f aca="false">Q35</f>
        <v>0.06</v>
      </c>
      <c r="N351" s="42" t="s">
        <v>241</v>
      </c>
      <c r="O351" s="42" t="n">
        <f aca="false">BC35*2.355</f>
        <v>1.8806088</v>
      </c>
      <c r="P351" s="42" t="s">
        <v>241</v>
      </c>
      <c r="Q351" s="42" t="n">
        <f aca="false">Sheet2!N35</f>
        <v>21.1381957276335</v>
      </c>
      <c r="R351" s="42" t="s">
        <v>350</v>
      </c>
      <c r="BZ351" s="0" t="n">
        <v>1.27875360095283</v>
      </c>
      <c r="CA351" s="0" t="n">
        <v>1.23552844690755</v>
      </c>
      <c r="CB351" s="0" t="n">
        <v>39.4326431111915</v>
      </c>
      <c r="CC351" s="0" t="n">
        <v>39.7584397069598</v>
      </c>
      <c r="CD351" s="0" t="n">
        <v>0.325796595768317</v>
      </c>
      <c r="CE351" s="20" t="n">
        <f aca="false">(CD351)^2</f>
        <v>0.106143421814224</v>
      </c>
      <c r="CG351" s="0" t="n">
        <v>1.27875360095283</v>
      </c>
      <c r="CH351" s="0" t="n">
        <v>1.23552844690755</v>
      </c>
      <c r="CI351" s="0" t="n">
        <v>40.0106343208899</v>
      </c>
      <c r="CJ351" s="0" t="n">
        <v>40.1263375099171</v>
      </c>
      <c r="CK351" s="0" t="n">
        <v>0.11570318902718</v>
      </c>
      <c r="CL351" s="20" t="n">
        <f aca="false">(CK351)^2</f>
        <v>0.0133872279510592</v>
      </c>
      <c r="CN351" s="0" t="n">
        <v>1.27875360095283</v>
      </c>
      <c r="CO351" s="0" t="n">
        <v>1.23552844690755</v>
      </c>
      <c r="CP351" s="0" t="n">
        <v>39.7422714887481</v>
      </c>
      <c r="CQ351" s="0" t="n">
        <v>39.9044887603007</v>
      </c>
      <c r="CR351" s="0" t="n">
        <v>0.162217271552549</v>
      </c>
      <c r="CS351" s="20" t="n">
        <f aca="false">(CR351)^2</f>
        <v>0.0263144431899535</v>
      </c>
      <c r="CU351" s="0" t="n">
        <v>7.72</v>
      </c>
      <c r="CV351" s="0" t="n">
        <v>1.6549531369645</v>
      </c>
      <c r="CW351" s="0" t="n">
        <v>2.72835378202123</v>
      </c>
      <c r="CX351" s="0" t="n">
        <v>1.07340064505673</v>
      </c>
      <c r="CY351" s="20" t="n">
        <f aca="false">(CX351)^2</f>
        <v>1.15218894480821</v>
      </c>
      <c r="DC351" s="0" t="s">
        <v>103</v>
      </c>
      <c r="DD351" s="0" t="e">
        <f aca="false">$DC$346</f>
        <v>#VALUE!</v>
      </c>
      <c r="DJ351" s="0" t="s">
        <v>103</v>
      </c>
      <c r="DK351" s="0" t="n">
        <f aca="false">$DJ$346</f>
        <v>0.543828184129429</v>
      </c>
      <c r="DQ351" s="0" t="s">
        <v>103</v>
      </c>
      <c r="DR351" s="0" t="n">
        <f aca="false">$DQ$346</f>
        <v>0.495971592708126</v>
      </c>
      <c r="DX351" s="0" t="s">
        <v>103</v>
      </c>
      <c r="DY351" s="0" t="n">
        <f aca="false">$DX$346</f>
        <v>0.614267001945248</v>
      </c>
    </row>
    <row r="352" customFormat="false" ht="13.2" hidden="false" customHeight="false" outlineLevel="0" collapsed="false">
      <c r="A352" s="8" t="s">
        <v>456</v>
      </c>
      <c r="B352" s="42" t="s">
        <v>241</v>
      </c>
      <c r="C352" s="42" t="n">
        <f aca="false">BN36</f>
        <v>7.74</v>
      </c>
      <c r="D352" s="42" t="s">
        <v>241</v>
      </c>
      <c r="E352" s="42" t="n">
        <f aca="false">BM36</f>
        <v>1.3541084391474</v>
      </c>
      <c r="F352" s="42" t="s">
        <v>241</v>
      </c>
      <c r="G352" s="42" t="n">
        <f aca="false">AN36</f>
        <v>2.37853808063212</v>
      </c>
      <c r="H352" s="42" t="s">
        <v>241</v>
      </c>
      <c r="I352" s="42" t="n">
        <f aca="false">H36</f>
        <v>0.4403</v>
      </c>
      <c r="J352" s="8" t="s">
        <v>241</v>
      </c>
      <c r="K352" s="42" t="n">
        <f aca="false">AS36</f>
        <v>0.677814111279765</v>
      </c>
      <c r="L352" s="42" t="s">
        <v>241</v>
      </c>
      <c r="M352" s="42" t="n">
        <f aca="false">Q36</f>
        <v>0.063</v>
      </c>
      <c r="N352" s="42" t="s">
        <v>241</v>
      </c>
      <c r="O352" s="42" t="n">
        <f aca="false">BC36*2.355</f>
        <v>2.9649921</v>
      </c>
      <c r="P352" s="42" t="s">
        <v>241</v>
      </c>
      <c r="Q352" s="42" t="n">
        <f aca="false">Sheet2!N36</f>
        <v>58.7552903034409</v>
      </c>
      <c r="R352" s="42" t="s">
        <v>350</v>
      </c>
      <c r="BZ352" s="0" t="n">
        <v>2.72835378202123</v>
      </c>
      <c r="CA352" s="0" t="n">
        <v>1.22788670461367</v>
      </c>
      <c r="CB352" s="0" t="n">
        <v>39.5941320958803</v>
      </c>
      <c r="CC352" s="0" t="n">
        <v>39.0217644408478</v>
      </c>
      <c r="CD352" s="0" t="n">
        <v>-0.572367655032515</v>
      </c>
      <c r="CE352" s="20" t="n">
        <f aca="false">(CD352)^2</f>
        <v>0.32760473252742</v>
      </c>
      <c r="CG352" s="0" t="n">
        <v>2.72835378202123</v>
      </c>
      <c r="CH352" s="0" t="n">
        <v>1.22788670461367</v>
      </c>
      <c r="CI352" s="0" t="n">
        <v>40.1024517588011</v>
      </c>
      <c r="CJ352" s="0" t="n">
        <v>39.7989606416723</v>
      </c>
      <c r="CK352" s="0" t="n">
        <v>-0.303491117128836</v>
      </c>
      <c r="CL352" s="20" t="n">
        <f aca="false">(CK352)^2</f>
        <v>0.0921068581761087</v>
      </c>
      <c r="CN352" s="0" t="n">
        <v>2.72835378202123</v>
      </c>
      <c r="CO352" s="0" t="n">
        <v>1.22788670461367</v>
      </c>
      <c r="CP352" s="0" t="n">
        <v>39.8620536038102</v>
      </c>
      <c r="CQ352" s="0" t="n">
        <v>39.4018526150208</v>
      </c>
      <c r="CR352" s="0" t="n">
        <v>-0.460200988789438</v>
      </c>
      <c r="CS352" s="20" t="n">
        <f aca="false">(CR352)^2</f>
        <v>0.211784950082777</v>
      </c>
      <c r="CY352" s="0" t="n">
        <f aca="false">SQRT(SUM(CY314:CY351)/38)</f>
        <v>0.404317794426779</v>
      </c>
      <c r="DC352" s="0" t="s">
        <v>106</v>
      </c>
      <c r="DD352" s="0" t="e">
        <f aca="false">$DD$346</f>
        <v>#VALUE!</v>
      </c>
      <c r="DJ352" s="0" t="s">
        <v>106</v>
      </c>
      <c r="DK352" s="0" t="n">
        <f aca="false">$DK$346</f>
        <v>0.341992143039545</v>
      </c>
      <c r="DQ352" s="0" t="s">
        <v>106</v>
      </c>
      <c r="DR352" s="0" t="n">
        <f aca="false">$DR$346</f>
        <v>0.297092855329227</v>
      </c>
      <c r="DX352" s="0" t="s">
        <v>106</v>
      </c>
      <c r="DY352" s="0" t="n">
        <f aca="false">$DY$346</f>
        <v>0.313609061459804</v>
      </c>
    </row>
    <row r="353" customFormat="false" ht="12.8" hidden="false" customHeight="false" outlineLevel="0" collapsed="false">
      <c r="A353" s="8" t="s">
        <v>457</v>
      </c>
      <c r="B353" s="42" t="s">
        <v>241</v>
      </c>
      <c r="C353" s="42" t="n">
        <f aca="false">BN37</f>
        <v>7.95</v>
      </c>
      <c r="D353" s="42" t="s">
        <v>241</v>
      </c>
      <c r="E353" s="42" t="n">
        <f aca="false">BM37</f>
        <v>1.20682587603185</v>
      </c>
      <c r="F353" s="42" t="s">
        <v>241</v>
      </c>
      <c r="G353" s="42" t="n">
        <f aca="false">AN37</f>
        <v>6.83142933034778</v>
      </c>
      <c r="H353" s="42" t="s">
        <v>241</v>
      </c>
      <c r="I353" s="42" t="n">
        <f aca="false">H37</f>
        <v>0.4086</v>
      </c>
      <c r="J353" s="8" t="s">
        <v>241</v>
      </c>
      <c r="K353" s="42" t="n">
        <f aca="false">AS37</f>
        <v>0.668548180542831</v>
      </c>
      <c r="L353" s="42" t="s">
        <v>241</v>
      </c>
      <c r="M353" s="42" t="n">
        <f aca="false">Q37</f>
        <v>0.067</v>
      </c>
      <c r="N353" s="42" t="s">
        <v>241</v>
      </c>
      <c r="O353" s="42" t="n">
        <f aca="false">BC37*2.355</f>
        <v>1.7802464715</v>
      </c>
      <c r="P353" s="42" t="s">
        <v>241</v>
      </c>
      <c r="Q353" s="42" t="n">
        <f aca="false">Sheet2!N37</f>
        <v>28.9676621692261</v>
      </c>
      <c r="R353" s="42" t="s">
        <v>350</v>
      </c>
      <c r="CE353" s="0" t="n">
        <f aca="false">SQRT(SUM(CE315:CE352)/38)</f>
        <v>0.306608254498952</v>
      </c>
      <c r="CL353" s="0" t="n">
        <f aca="false">SQRT(SUM(CL315:CL352)/38)</f>
        <v>0.354371464694605</v>
      </c>
      <c r="CS353" s="0" t="n">
        <f aca="false">SQRT(SUM(CS315:CS352)/38)</f>
        <v>0.338240549109464</v>
      </c>
      <c r="DC353" s="0" t="s">
        <v>109</v>
      </c>
      <c r="DD353" s="0" t="n">
        <f aca="false">4</f>
        <v>4</v>
      </c>
      <c r="DJ353" s="0" t="s">
        <v>109</v>
      </c>
      <c r="DK353" s="0" t="n">
        <f aca="false">4</f>
        <v>4</v>
      </c>
      <c r="DQ353" s="0" t="s">
        <v>109</v>
      </c>
      <c r="DR353" s="0" t="n">
        <f aca="false">4</f>
        <v>4</v>
      </c>
      <c r="DX353" s="0" t="s">
        <v>109</v>
      </c>
      <c r="DY353" s="0" t="n">
        <f aca="false">4</f>
        <v>4</v>
      </c>
    </row>
    <row r="354" customFormat="false" ht="12.8" hidden="false" customHeight="false" outlineLevel="0" collapsed="false">
      <c r="A354" s="8" t="s">
        <v>458</v>
      </c>
      <c r="B354" s="42" t="s">
        <v>241</v>
      </c>
      <c r="C354" s="42" t="n">
        <f aca="false">BN38</f>
        <v>7.77</v>
      </c>
      <c r="D354" s="42" t="s">
        <v>241</v>
      </c>
      <c r="E354" s="42" t="n">
        <f aca="false">BM38</f>
        <v>1.09691001300806</v>
      </c>
      <c r="F354" s="42" t="s">
        <v>241</v>
      </c>
      <c r="G354" s="42" t="n">
        <f aca="false">AN38</f>
        <v>3.60019405859161</v>
      </c>
      <c r="H354" s="42" t="s">
        <v>241</v>
      </c>
      <c r="I354" s="42" t="n">
        <f aca="false">H38</f>
        <v>0.15</v>
      </c>
      <c r="J354" s="8" t="s">
        <v>241</v>
      </c>
      <c r="K354" s="42" t="n">
        <f aca="false">AS38</f>
        <v>0.480300197190104</v>
      </c>
      <c r="L354" s="42" t="s">
        <v>241</v>
      </c>
      <c r="M354" s="42" t="n">
        <f aca="false">Q38</f>
        <v>0.05</v>
      </c>
      <c r="N354" s="42" t="s">
        <v>241</v>
      </c>
      <c r="O354" s="42" t="n">
        <f aca="false">BC38*2.355</f>
        <v>1.8665421495</v>
      </c>
      <c r="P354" s="42" t="s">
        <v>241</v>
      </c>
      <c r="Q354" s="42" t="n">
        <f aca="false">Sheet2!N38</f>
        <v>19.859939950151</v>
      </c>
      <c r="R354" s="42" t="s">
        <v>350</v>
      </c>
      <c r="BS354" s="37" t="s">
        <v>459</v>
      </c>
      <c r="BT354" s="37"/>
      <c r="BU354" s="37"/>
      <c r="DC354" s="0" t="s">
        <v>112</v>
      </c>
      <c r="DD354" s="0" t="n">
        <f aca="false">16</f>
        <v>16</v>
      </c>
      <c r="DJ354" s="0" t="s">
        <v>112</v>
      </c>
      <c r="DK354" s="0" t="n">
        <f aca="false">16</f>
        <v>16</v>
      </c>
      <c r="DQ354" s="0" t="s">
        <v>112</v>
      </c>
      <c r="DR354" s="0" t="n">
        <f aca="false">16</f>
        <v>16</v>
      </c>
      <c r="DX354" s="0" t="s">
        <v>112</v>
      </c>
      <c r="DY354" s="0" t="n">
        <f aca="false">16</f>
        <v>16</v>
      </c>
    </row>
    <row r="355" customFormat="false" ht="12.8" hidden="false" customHeight="false" outlineLevel="0" collapsed="false">
      <c r="A355" s="8" t="s">
        <v>460</v>
      </c>
      <c r="B355" s="42" t="s">
        <v>241</v>
      </c>
      <c r="C355" s="42" t="n">
        <f aca="false">BN39</f>
        <v>7.92</v>
      </c>
      <c r="D355" s="42" t="s">
        <v>241</v>
      </c>
      <c r="E355" s="42" t="n">
        <f aca="false">BM39</f>
        <v>1.28330122870355</v>
      </c>
      <c r="F355" s="42" t="s">
        <v>241</v>
      </c>
      <c r="G355" s="42" t="n">
        <f aca="false">AN39</f>
        <v>2.03656293082255</v>
      </c>
      <c r="H355" s="42" t="s">
        <v>241</v>
      </c>
      <c r="I355" s="42" t="n">
        <f aca="false">H39</f>
        <v>0.1647</v>
      </c>
      <c r="J355" s="8" t="s">
        <v>241</v>
      </c>
      <c r="K355" s="42" t="n">
        <f aca="false">AS39</f>
        <v>0.482029661781745</v>
      </c>
      <c r="L355" s="42" t="s">
        <v>241</v>
      </c>
      <c r="M355" s="42" t="n">
        <f aca="false">Q39</f>
        <v>0.225</v>
      </c>
      <c r="N355" s="42" t="s">
        <v>241</v>
      </c>
      <c r="O355" s="42" t="n">
        <f aca="false">BC39*2.355</f>
        <v>1.975625043</v>
      </c>
      <c r="P355" s="42" t="s">
        <v>241</v>
      </c>
      <c r="Q355" s="42" t="n">
        <f aca="false">Sheet2!N39</f>
        <v>24.668561959349</v>
      </c>
      <c r="R355" s="42" t="s">
        <v>350</v>
      </c>
      <c r="BS355" s="14"/>
      <c r="BZ355" s="14" t="s">
        <v>461</v>
      </c>
      <c r="CC355" s="13"/>
      <c r="CG355" s="14" t="s">
        <v>462</v>
      </c>
      <c r="CJ355" s="13"/>
      <c r="CK355" s="13"/>
      <c r="CN355" s="14" t="s">
        <v>463</v>
      </c>
      <c r="CU355" s="14" t="s">
        <v>464</v>
      </c>
      <c r="DC355" s="0" t="s">
        <v>115</v>
      </c>
      <c r="DD355" s="0" t="e">
        <f aca="false">1 - (1 - $DC$346)*($DD$354 - 1)/($DD$354 - $DD$353 - 1)</f>
        <v>#VALUE!</v>
      </c>
      <c r="DJ355" s="0" t="s">
        <v>115</v>
      </c>
      <c r="DK355" s="0" t="n">
        <f aca="false">1 - (1 - $DJ$346)*($DK$354 - 1)/($DK$354 - $DK$353 - 1)</f>
        <v>0.377947523812857</v>
      </c>
      <c r="DQ355" s="0" t="s">
        <v>115</v>
      </c>
      <c r="DR355" s="0" t="n">
        <f aca="false">1 - (1 - $DQ$346)*($DR$354 - 1)/($DR$354 - $DR$353 - 1)</f>
        <v>0.312688535511081</v>
      </c>
      <c r="DX355" s="0" t="s">
        <v>115</v>
      </c>
      <c r="DY355" s="0" t="n">
        <f aca="false">1 - (1 - $DX$346)*($DY$354 - 1)/($DY$354 - $DY$353 - 1)</f>
        <v>0.474000457198066</v>
      </c>
    </row>
    <row r="356" customFormat="false" ht="12.8" hidden="false" customHeight="false" outlineLevel="0" collapsed="false">
      <c r="A356" s="8" t="s">
        <v>465</v>
      </c>
      <c r="B356" s="42" t="s">
        <v>241</v>
      </c>
      <c r="C356" s="42" t="n">
        <f aca="false">BN40</f>
        <v>7.85</v>
      </c>
      <c r="D356" s="42" t="s">
        <v>241</v>
      </c>
      <c r="E356" s="42" t="n">
        <f aca="false">BM40</f>
        <v>1.23552844690755</v>
      </c>
      <c r="F356" s="42" t="s">
        <v>241</v>
      </c>
      <c r="G356" s="42" t="n">
        <f aca="false">AN40</f>
        <v>3.22802879460861</v>
      </c>
      <c r="H356" s="42" t="s">
        <v>241</v>
      </c>
      <c r="I356" s="42" t="n">
        <f aca="false">H40</f>
        <v>0.0391</v>
      </c>
      <c r="J356" s="8" t="s">
        <v>241</v>
      </c>
      <c r="K356" s="42" t="n">
        <f aca="false">AS40</f>
        <v>0.514829520586333</v>
      </c>
      <c r="L356" s="42" t="s">
        <v>241</v>
      </c>
      <c r="M356" s="42" t="n">
        <f aca="false">Q40</f>
        <v>0.05</v>
      </c>
      <c r="N356" s="42" t="s">
        <v>241</v>
      </c>
      <c r="O356" s="42" t="n">
        <f aca="false">BC40*2.355</f>
        <v>1.3260946125</v>
      </c>
      <c r="P356" s="42" t="s">
        <v>241</v>
      </c>
      <c r="Q356" s="42" t="n">
        <f aca="false">Sheet2!N40</f>
        <v>37.7988945221911</v>
      </c>
      <c r="R356" s="42" t="s">
        <v>350</v>
      </c>
      <c r="BZ356" s="0" t="s">
        <v>78</v>
      </c>
      <c r="CA356" s="0" t="s">
        <v>79</v>
      </c>
      <c r="CG356" s="0" t="s">
        <v>78</v>
      </c>
      <c r="CH356" s="0" t="s">
        <v>79</v>
      </c>
      <c r="CN356" s="0" t="s">
        <v>78</v>
      </c>
      <c r="CO356" s="0" t="s">
        <v>79</v>
      </c>
      <c r="CU356" s="0" t="s">
        <v>78</v>
      </c>
      <c r="CV356" s="0" t="s">
        <v>79</v>
      </c>
    </row>
    <row r="357" customFormat="false" ht="12.8" hidden="false" customHeight="false" outlineLevel="0" collapsed="false">
      <c r="A357" s="8" t="s">
        <v>466</v>
      </c>
      <c r="B357" s="42" t="s">
        <v>241</v>
      </c>
      <c r="C357" s="42" t="n">
        <f aca="false">BN41</f>
        <v>7.72</v>
      </c>
      <c r="D357" s="42" t="s">
        <v>241</v>
      </c>
      <c r="E357" s="42" t="n">
        <f aca="false">BM41</f>
        <v>1.22788670461367</v>
      </c>
      <c r="F357" s="42" t="s">
        <v>241</v>
      </c>
      <c r="G357" s="42" t="n">
        <f aca="false">AN41</f>
        <v>0.733985683669488</v>
      </c>
      <c r="H357" s="42" t="s">
        <v>241</v>
      </c>
      <c r="I357" s="42" t="n">
        <f aca="false">H41</f>
        <v>0.1</v>
      </c>
      <c r="J357" s="8" t="s">
        <v>241</v>
      </c>
      <c r="K357" s="42" t="n">
        <f aca="false">AS41</f>
        <v>0.609858954908598</v>
      </c>
      <c r="L357" s="42" t="s">
        <v>241</v>
      </c>
      <c r="M357" s="42" t="n">
        <f aca="false">Q41</f>
        <v>0.05</v>
      </c>
      <c r="N357" s="42" t="s">
        <v>241</v>
      </c>
      <c r="O357" s="42" t="n">
        <f aca="false">BC41*2.355</f>
        <v>1.724472771</v>
      </c>
      <c r="P357" s="42" t="s">
        <v>241</v>
      </c>
      <c r="Q357" s="42" t="n">
        <f aca="false">Sheet2!N41</f>
        <v>22.3081852088368</v>
      </c>
      <c r="R357" s="42" t="s">
        <v>350</v>
      </c>
      <c r="DC357" s="0" t="s">
        <v>120</v>
      </c>
      <c r="DJ357" s="0" t="s">
        <v>120</v>
      </c>
      <c r="DQ357" s="0" t="s">
        <v>120</v>
      </c>
      <c r="DX357" s="0" t="s">
        <v>120</v>
      </c>
    </row>
    <row r="358" customFormat="false" ht="12.8" hidden="false" customHeight="false" outlineLevel="0" collapsed="false">
      <c r="BZ358" s="0" t="s">
        <v>84</v>
      </c>
      <c r="CG358" s="0" t="s">
        <v>84</v>
      </c>
      <c r="CN358" s="0" t="s">
        <v>84</v>
      </c>
      <c r="CU358" s="0" t="s">
        <v>84</v>
      </c>
      <c r="DD358" s="0" t="s">
        <v>123</v>
      </c>
      <c r="DE358" s="0" t="s">
        <v>124</v>
      </c>
      <c r="DF358" s="0" t="s">
        <v>125</v>
      </c>
      <c r="DG358" s="0" t="s">
        <v>126</v>
      </c>
      <c r="DH358" s="0" t="s">
        <v>127</v>
      </c>
      <c r="DK358" s="0" t="s">
        <v>123</v>
      </c>
      <c r="DL358" s="0" t="s">
        <v>124</v>
      </c>
      <c r="DM358" s="0" t="s">
        <v>125</v>
      </c>
      <c r="DN358" s="0" t="s">
        <v>126</v>
      </c>
      <c r="DO358" s="0" t="s">
        <v>127</v>
      </c>
      <c r="DR358" s="0" t="s">
        <v>123</v>
      </c>
      <c r="DS358" s="0" t="s">
        <v>124</v>
      </c>
      <c r="DT358" s="0" t="s">
        <v>125</v>
      </c>
      <c r="DU358" s="0" t="s">
        <v>126</v>
      </c>
      <c r="DV358" s="0" t="s">
        <v>127</v>
      </c>
      <c r="DY358" s="0" t="s">
        <v>123</v>
      </c>
      <c r="DZ358" s="0" t="s">
        <v>124</v>
      </c>
      <c r="EA358" s="0" t="s">
        <v>125</v>
      </c>
      <c r="EB358" s="0" t="s">
        <v>126</v>
      </c>
      <c r="EC358" s="0" t="s">
        <v>127</v>
      </c>
    </row>
    <row r="359" customFormat="false" ht="12.8" hidden="false" customHeight="false" outlineLevel="0" collapsed="false">
      <c r="BZ359" s="0" t="n">
        <f aca="false" t="array" ref="BZ359:CA363">LINEST($BF$3:$BF$41 , $BF$53:$BF$91 , 1 , 1)</f>
        <v>0.935539659275274</v>
      </c>
      <c r="CA359" s="0" t="n">
        <v>37.3390133130445</v>
      </c>
      <c r="CG359" s="0" t="n">
        <f aca="false" t="array" ref="CG359:CH363">LINEST($BG$3:$BG$41 , $BF$53:$BF$91 , 1 , 1)</f>
        <v>0.757908368362654</v>
      </c>
      <c r="CH359" s="0" t="n">
        <v>38.2880336665536</v>
      </c>
      <c r="CN359" s="0" t="n">
        <f aca="false" t="array" ref="CN359:CO363">LINEST($BH$3:$BH$41 , $BF$53:$BF$91 , 1 , 1)</f>
        <v>0.709454264634644</v>
      </c>
      <c r="CO359" s="0" t="n">
        <v>38.2244964172077</v>
      </c>
      <c r="CU359" s="0" t="n">
        <f aca="false" t="array" ref="CU359:CV363">LINEST($BF$53:$BF$91 , $BG$53:$BG$91 , 1 , 1)</f>
        <v>0.728237192502976</v>
      </c>
      <c r="CV359" s="0" t="n">
        <v>1.68856933829021</v>
      </c>
      <c r="DC359" s="0" t="s">
        <v>130</v>
      </c>
      <c r="DD359" s="0" t="n">
        <f aca="false">$DD$353</f>
        <v>4</v>
      </c>
      <c r="DE359" s="0" t="e">
        <f aca="false">$DC$348</f>
        <v>#VALUE!</v>
      </c>
      <c r="DF359" s="0" t="e">
        <f aca="false">$DC$348 / $DD$359</f>
        <v>#VALUE!</v>
      </c>
      <c r="DG359" s="0" t="e">
        <f aca="false">$DC$347</f>
        <v>#VALUE!</v>
      </c>
      <c r="DH359" s="0" t="e">
        <f aca="false">FDIST($DC$347 , $DD$359 , $DD$347)</f>
        <v>#VALUE!</v>
      </c>
      <c r="DJ359" s="0" t="s">
        <v>130</v>
      </c>
      <c r="DK359" s="0" t="n">
        <f aca="false">$DK$353</f>
        <v>4</v>
      </c>
      <c r="DL359" s="0" t="n">
        <f aca="false">$DJ$348</f>
        <v>1.53376281527957</v>
      </c>
      <c r="DM359" s="0" t="n">
        <f aca="false">$DJ$348 / $DK$359</f>
        <v>0.383440703819893</v>
      </c>
      <c r="DN359" s="0" t="n">
        <f aca="false">$DJ$347</f>
        <v>3.27843030701452</v>
      </c>
      <c r="DO359" s="0" t="n">
        <f aca="false">FDIST($DJ$347 , $DK$359 , $DK$347)</f>
        <v>0.0532468824479865</v>
      </c>
      <c r="DQ359" s="0" t="s">
        <v>130</v>
      </c>
      <c r="DR359" s="0" t="n">
        <f aca="false">$DR$353</f>
        <v>4</v>
      </c>
      <c r="DS359" s="0" t="n">
        <f aca="false">$DQ$348</f>
        <v>0.955386035319875</v>
      </c>
      <c r="DT359" s="0" t="n">
        <f aca="false">$DQ$348 / $DR$359</f>
        <v>0.238846508829969</v>
      </c>
      <c r="DU359" s="0" t="n">
        <f aca="false">$DQ$347</f>
        <v>2.70604168379249</v>
      </c>
      <c r="DV359" s="0" t="n">
        <f aca="false">FDIST($DQ$347 , $DR$359 , $DR$347)</f>
        <v>0.0860915010629632</v>
      </c>
      <c r="DX359" s="0" t="s">
        <v>130</v>
      </c>
      <c r="DY359" s="0" t="n">
        <f aca="false">$DY$353</f>
        <v>4</v>
      </c>
      <c r="DZ359" s="0" t="n">
        <f aca="false">$DX$348</f>
        <v>1.72282150352637</v>
      </c>
      <c r="EA359" s="0" t="n">
        <f aca="false">$DX$348 / $DY$359</f>
        <v>0.430705375881591</v>
      </c>
      <c r="EB359" s="0" t="n">
        <f aca="false">$DX$347</f>
        <v>4.37928376329799</v>
      </c>
      <c r="EC359" s="0" t="n">
        <f aca="false">FDIST($DX$347 , $DY$359 , $DY$347)</f>
        <v>0.0232219984052249</v>
      </c>
    </row>
    <row r="360" customFormat="false" ht="12.8" hidden="false" customHeight="false" outlineLevel="0" collapsed="false">
      <c r="A360" s="0" t="s">
        <v>467</v>
      </c>
      <c r="BZ360" s="0" t="n">
        <v>0.242116640315938</v>
      </c>
      <c r="CA360" s="0" t="n">
        <v>0.653317971734074</v>
      </c>
      <c r="CG360" s="0" t="n">
        <v>0.241948253216289</v>
      </c>
      <c r="CH360" s="0" t="n">
        <v>0.652863602640462</v>
      </c>
      <c r="CN360" s="0" t="n">
        <v>0.266072389491026</v>
      </c>
      <c r="CO360" s="0" t="n">
        <v>0.717959218374604</v>
      </c>
      <c r="CU360" s="0" t="n">
        <v>0.319301629977701</v>
      </c>
      <c r="CV360" s="0" t="n">
        <v>0.438588248120442</v>
      </c>
      <c r="DC360" s="0" t="s">
        <v>133</v>
      </c>
      <c r="DD360" s="0" t="e">
        <f aca="false">$DD$347</f>
        <v>#VALUE!</v>
      </c>
      <c r="DE360" s="0" t="e">
        <f aca="false">$DD$348</f>
        <v>#VALUE!</v>
      </c>
      <c r="DF360" s="0" t="e">
        <f aca="false">$DD$348 / $DD$347</f>
        <v>#VALUE!</v>
      </c>
      <c r="DJ360" s="0" t="s">
        <v>133</v>
      </c>
      <c r="DK360" s="0" t="n">
        <f aca="false">$DK$347</f>
        <v>11</v>
      </c>
      <c r="DL360" s="0" t="n">
        <f aca="false">$DK$348</f>
        <v>1.28654488490859</v>
      </c>
      <c r="DM360" s="0" t="n">
        <f aca="false">$DK$348 / $DK$347</f>
        <v>0.116958625900781</v>
      </c>
      <c r="DQ360" s="0" t="s">
        <v>133</v>
      </c>
      <c r="DR360" s="0" t="n">
        <f aca="false">$DR$347</f>
        <v>11</v>
      </c>
      <c r="DS360" s="0" t="n">
        <f aca="false">$DR$348</f>
        <v>0.970905811564406</v>
      </c>
      <c r="DT360" s="0" t="n">
        <f aca="false">$DR$348 / $DR$347</f>
        <v>0.0882641646876733</v>
      </c>
      <c r="DX360" s="0" t="s">
        <v>133</v>
      </c>
      <c r="DY360" s="0" t="n">
        <f aca="false">$DY$347</f>
        <v>11</v>
      </c>
      <c r="DZ360" s="0" t="n">
        <f aca="false">$DY$348</f>
        <v>1.08185707772669</v>
      </c>
      <c r="EA360" s="0" t="n">
        <f aca="false">$DY$348 / $DY$347</f>
        <v>0.098350643429699</v>
      </c>
    </row>
    <row r="361" customFormat="false" ht="12.8" hidden="false" customHeight="false" outlineLevel="0" collapsed="false">
      <c r="C361" s="0" t="s">
        <v>468</v>
      </c>
      <c r="E361" s="0" t="s">
        <v>469</v>
      </c>
      <c r="G361" s="0" t="s">
        <v>470</v>
      </c>
      <c r="I361" s="0" t="s">
        <v>414</v>
      </c>
      <c r="K361" s="0" t="s">
        <v>471</v>
      </c>
      <c r="M361" s="0" t="s">
        <v>472</v>
      </c>
      <c r="O361" s="0" t="s">
        <v>278</v>
      </c>
      <c r="Q361" s="0" t="s">
        <v>473</v>
      </c>
      <c r="R361" s="22"/>
      <c r="S361" s="22" t="s">
        <v>474</v>
      </c>
      <c r="T361" s="22"/>
      <c r="U361" s="22" t="s">
        <v>475</v>
      </c>
      <c r="V361" s="22" t="s">
        <v>350</v>
      </c>
      <c r="BZ361" s="0" t="n">
        <v>0.287509633200126</v>
      </c>
      <c r="CA361" s="0" t="n">
        <v>0.418343693934992</v>
      </c>
      <c r="CG361" s="0" t="n">
        <v>0.209616156164652</v>
      </c>
      <c r="CH361" s="0" t="n">
        <v>0.418052744576095</v>
      </c>
      <c r="CN361" s="0" t="n">
        <v>0.161181584240914</v>
      </c>
      <c r="CO361" s="0" t="n">
        <v>0.45973587824669</v>
      </c>
      <c r="CU361" s="0" t="n">
        <v>0.123257604599327</v>
      </c>
      <c r="CV361" s="0" t="n">
        <v>0.265976783527881</v>
      </c>
      <c r="DC361" s="0" t="s">
        <v>136</v>
      </c>
      <c r="DD361" s="0" t="e">
        <f aca="false">$DD$359 + $DD$347</f>
        <v>#VALUE!</v>
      </c>
      <c r="DE361" s="0" t="e">
        <f aca="false">$DC$348 + $DD$348</f>
        <v>#VALUE!</v>
      </c>
      <c r="DJ361" s="0" t="s">
        <v>136</v>
      </c>
      <c r="DK361" s="0" t="n">
        <f aca="false">$DK$359 + $DK$347</f>
        <v>15</v>
      </c>
      <c r="DL361" s="0" t="n">
        <f aca="false">$DJ$348 + $DK$348</f>
        <v>2.82030770018816</v>
      </c>
      <c r="DQ361" s="0" t="s">
        <v>136</v>
      </c>
      <c r="DR361" s="0" t="n">
        <f aca="false">$DR$359 + $DR$347</f>
        <v>15</v>
      </c>
      <c r="DS361" s="0" t="n">
        <f aca="false">$DQ$348 + $DR$348</f>
        <v>1.92629184688428</v>
      </c>
      <c r="DX361" s="0" t="s">
        <v>136</v>
      </c>
      <c r="DY361" s="0" t="n">
        <f aca="false">$DY$359 + $DY$347</f>
        <v>15</v>
      </c>
      <c r="DZ361" s="0" t="n">
        <f aca="false">$DX$348 + $DY$348</f>
        <v>2.80467858125305</v>
      </c>
    </row>
    <row r="362" customFormat="false" ht="12.8" hidden="false" customHeight="false" outlineLevel="0" collapsed="false">
      <c r="A362" s="22" t="n">
        <v>1</v>
      </c>
      <c r="B362" s="22" t="s">
        <v>241</v>
      </c>
      <c r="C362" s="22" t="s">
        <v>476</v>
      </c>
      <c r="D362" s="22" t="s">
        <v>241</v>
      </c>
      <c r="E362" s="42" t="n">
        <f aca="false">G3</f>
        <v>18.8622386808273</v>
      </c>
      <c r="F362" s="42" t="s">
        <v>241</v>
      </c>
      <c r="G362" s="42" t="n">
        <f aca="false">H3</f>
        <v>0.5718</v>
      </c>
      <c r="H362" s="42" t="s">
        <v>241</v>
      </c>
      <c r="I362" s="42" t="n">
        <f aca="false">AN3</f>
        <v>1.98720395836898</v>
      </c>
      <c r="J362" s="42" t="s">
        <v>241</v>
      </c>
      <c r="K362" s="42" t="n">
        <f aca="false">P3</f>
        <v>4.27667009672772</v>
      </c>
      <c r="L362" s="42" t="s">
        <v>241</v>
      </c>
      <c r="M362" s="42" t="n">
        <f aca="false">Q3</f>
        <v>0.05</v>
      </c>
      <c r="N362" s="42" t="s">
        <v>241</v>
      </c>
      <c r="O362" s="42" t="n">
        <f aca="false">AS3</f>
        <v>0.67110956500573</v>
      </c>
      <c r="P362" s="42" t="s">
        <v>241</v>
      </c>
      <c r="Q362" s="42" t="n">
        <f aca="false">BC3*2.355</f>
        <v>2.425530366</v>
      </c>
      <c r="R362" s="42" t="str">
        <f aca="false">N362</f>
        <v>&amp;</v>
      </c>
      <c r="S362" s="45" t="n">
        <f aca="false">Sheet2!M3</f>
        <v>0.02938</v>
      </c>
      <c r="T362" s="42" t="str">
        <f aca="false">P362</f>
        <v>&amp;</v>
      </c>
      <c r="U362" s="42" t="n">
        <f aca="false">Sheet2!N3</f>
        <v>45.2991220904434</v>
      </c>
      <c r="V362" s="22" t="s">
        <v>350</v>
      </c>
      <c r="BZ362" s="0" t="n">
        <v>14.9305266767103</v>
      </c>
      <c r="CA362" s="0" t="n">
        <v>37</v>
      </c>
      <c r="CG362" s="0" t="n">
        <v>9.81269776524909</v>
      </c>
      <c r="CH362" s="0" t="n">
        <v>37</v>
      </c>
      <c r="CN362" s="0" t="n">
        <v>7.10966581666782</v>
      </c>
      <c r="CO362" s="0" t="n">
        <v>37</v>
      </c>
      <c r="CU362" s="0" t="n">
        <v>5.2016777038493</v>
      </c>
      <c r="CV362" s="0" t="n">
        <v>37</v>
      </c>
    </row>
    <row r="363" customFormat="false" ht="12.8" hidden="false" customHeight="false" outlineLevel="0" collapsed="false">
      <c r="A363" s="22" t="n">
        <v>2</v>
      </c>
      <c r="B363" s="22" t="s">
        <v>241</v>
      </c>
      <c r="C363" s="22" t="s">
        <v>477</v>
      </c>
      <c r="D363" s="22" t="s">
        <v>241</v>
      </c>
      <c r="E363" s="42" t="n">
        <f aca="false">G4</f>
        <v>18.6549647887324</v>
      </c>
      <c r="F363" s="42" t="s">
        <v>241</v>
      </c>
      <c r="G363" s="42" t="n">
        <f aca="false">H4</f>
        <v>0.4</v>
      </c>
      <c r="H363" s="42" t="s">
        <v>241</v>
      </c>
      <c r="I363" s="42" t="n">
        <f aca="false">AN4</f>
        <v>2.32646184801725</v>
      </c>
      <c r="J363" s="42" t="s">
        <v>241</v>
      </c>
      <c r="K363" s="42" t="n">
        <f aca="false">P4</f>
        <v>3.95927678085916</v>
      </c>
      <c r="L363" s="42" t="s">
        <v>241</v>
      </c>
      <c r="M363" s="42" t="n">
        <f aca="false">Q4</f>
        <v>0.05</v>
      </c>
      <c r="N363" s="42" t="s">
        <v>241</v>
      </c>
      <c r="O363" s="42" t="n">
        <f aca="false">AS4</f>
        <v>0.621303130249106</v>
      </c>
      <c r="P363" s="42" t="s">
        <v>241</v>
      </c>
      <c r="Q363" s="42" t="n">
        <f aca="false">BC4*2.355</f>
        <v>2.33256156</v>
      </c>
      <c r="R363" s="42" t="str">
        <f aca="false">N363</f>
        <v>&amp;</v>
      </c>
      <c r="S363" s="45" t="n">
        <f aca="false">Sheet2!M4</f>
        <v>0.01207</v>
      </c>
      <c r="T363" s="42" t="str">
        <f aca="false">P363</f>
        <v>&amp;</v>
      </c>
      <c r="U363" s="42" t="n">
        <f aca="false">Sheet2!N4</f>
        <v>54.5746180231519</v>
      </c>
      <c r="V363" s="22" t="s">
        <v>350</v>
      </c>
      <c r="BZ363" s="0" t="n">
        <v>2.61301306704253</v>
      </c>
      <c r="CA363" s="0" t="n">
        <v>6.47542351144144</v>
      </c>
      <c r="CG363" s="0" t="n">
        <v>1.71494651729842</v>
      </c>
      <c r="CH363" s="0" t="n">
        <v>6.46641959816141</v>
      </c>
      <c r="CN363" s="0" t="n">
        <v>1.50267819077047</v>
      </c>
      <c r="CO363" s="0" t="n">
        <v>7.82021187664846</v>
      </c>
      <c r="CU363" s="0" t="n">
        <v>0.367985663647225</v>
      </c>
      <c r="CV363" s="0" t="n">
        <v>2.61751502690598</v>
      </c>
      <c r="DC363" s="0" t="s">
        <v>141</v>
      </c>
      <c r="DD363" s="0" t="n">
        <v>0.95</v>
      </c>
      <c r="DJ363" s="0" t="s">
        <v>141</v>
      </c>
      <c r="DK363" s="0" t="n">
        <v>0.95</v>
      </c>
      <c r="DQ363" s="0" t="s">
        <v>141</v>
      </c>
      <c r="DR363" s="0" t="n">
        <v>0.95</v>
      </c>
      <c r="DX363" s="0" t="s">
        <v>141</v>
      </c>
      <c r="DY363" s="0" t="n">
        <v>0.95</v>
      </c>
    </row>
    <row r="364" customFormat="false" ht="12.8" hidden="false" customHeight="false" outlineLevel="0" collapsed="false">
      <c r="A364" s="22" t="n">
        <v>3</v>
      </c>
      <c r="B364" s="22" t="s">
        <v>241</v>
      </c>
      <c r="C364" s="22" t="s">
        <v>478</v>
      </c>
      <c r="D364" s="22" t="s">
        <v>241</v>
      </c>
      <c r="E364" s="42" t="n">
        <f aca="false">G5</f>
        <v>10.8087736757624</v>
      </c>
      <c r="F364" s="42" t="s">
        <v>241</v>
      </c>
      <c r="G364" s="42" t="n">
        <f aca="false">H5</f>
        <v>0.3</v>
      </c>
      <c r="H364" s="42" t="s">
        <v>241</v>
      </c>
      <c r="I364" s="42" t="n">
        <f aca="false">AN5</f>
        <v>1.45596628812863</v>
      </c>
      <c r="J364" s="42" t="s">
        <v>241</v>
      </c>
      <c r="K364" s="42" t="n">
        <f aca="false">P5</f>
        <v>4.12742725559975</v>
      </c>
      <c r="L364" s="42" t="s">
        <v>241</v>
      </c>
      <c r="M364" s="42" t="n">
        <f aca="false">Q5</f>
        <v>0.32</v>
      </c>
      <c r="N364" s="42" t="s">
        <v>241</v>
      </c>
      <c r="O364" s="42" t="n">
        <f aca="false">AS5</f>
        <v>0.54797375688789</v>
      </c>
      <c r="P364" s="42" t="s">
        <v>241</v>
      </c>
      <c r="Q364" s="42" t="n">
        <f aca="false">BC5*2.355</f>
        <v>1.1636275</v>
      </c>
      <c r="R364" s="42" t="str">
        <f aca="false">N364</f>
        <v>&amp;</v>
      </c>
      <c r="S364" s="45" t="n">
        <f aca="false">Sheet2!M5</f>
        <v>0.02688</v>
      </c>
      <c r="T364" s="42" t="str">
        <f aca="false">P364</f>
        <v>&amp;</v>
      </c>
      <c r="U364" s="42" t="n">
        <f aca="false">Sheet2!N5</f>
        <v>112.377394726055</v>
      </c>
      <c r="V364" s="22" t="s">
        <v>350</v>
      </c>
    </row>
    <row r="365" customFormat="false" ht="12.8" hidden="false" customHeight="false" outlineLevel="0" collapsed="false">
      <c r="A365" s="22" t="n">
        <v>4</v>
      </c>
      <c r="B365" s="22" t="s">
        <v>241</v>
      </c>
      <c r="C365" s="22" t="s">
        <v>479</v>
      </c>
      <c r="D365" s="22" t="s">
        <v>241</v>
      </c>
      <c r="E365" s="42" t="n">
        <f aca="false">G6</f>
        <v>7.10948973242066</v>
      </c>
      <c r="F365" s="42" t="s">
        <v>241</v>
      </c>
      <c r="G365" s="42" t="n">
        <f aca="false">H6</f>
        <v>0.2711</v>
      </c>
      <c r="H365" s="42" t="s">
        <v>241</v>
      </c>
      <c r="I365" s="42" t="n">
        <f aca="false">AN6</f>
        <v>0.977233356266786</v>
      </c>
      <c r="J365" s="42" t="s">
        <v>241</v>
      </c>
      <c r="K365" s="42" t="n">
        <f aca="false">P6</f>
        <v>3.69777023405396</v>
      </c>
      <c r="L365" s="42" t="s">
        <v>241</v>
      </c>
      <c r="M365" s="42" t="n">
        <f aca="false">Q6</f>
        <v>0.375</v>
      </c>
      <c r="N365" s="42" t="s">
        <v>241</v>
      </c>
      <c r="O365" s="42" t="n">
        <f aca="false">AS6</f>
        <v>0.470658392194273</v>
      </c>
      <c r="P365" s="42" t="s">
        <v>241</v>
      </c>
      <c r="Q365" s="42" t="n">
        <f aca="false">BC6*2.355</f>
        <v>0.652533</v>
      </c>
      <c r="R365" s="42" t="str">
        <f aca="false">N365</f>
        <v>&amp;</v>
      </c>
      <c r="S365" s="45" t="n">
        <f aca="false">Sheet2!M6</f>
        <v>0.0345</v>
      </c>
      <c r="T365" s="42" t="str">
        <f aca="false">P365</f>
        <v>&amp;</v>
      </c>
      <c r="U365" s="42" t="n">
        <f aca="false">Sheet2!N6</f>
        <v>140.722642539492</v>
      </c>
      <c r="V365" s="22" t="s">
        <v>350</v>
      </c>
      <c r="BZ365" s="0" t="s">
        <v>100</v>
      </c>
      <c r="CG365" s="0" t="s">
        <v>100</v>
      </c>
      <c r="CN365" s="0" t="s">
        <v>100</v>
      </c>
      <c r="CU365" s="0" t="s">
        <v>100</v>
      </c>
      <c r="DD365" s="0" t="s">
        <v>146</v>
      </c>
      <c r="DE365" s="0" t="s">
        <v>106</v>
      </c>
      <c r="DF365" s="0" t="s">
        <v>147</v>
      </c>
      <c r="DG365" s="0" t="s">
        <v>148</v>
      </c>
      <c r="DH365" s="0" t="str">
        <f aca="false">_xlfn.CONCAT("Lower " , INT($DD$363 * 100) , "%")</f>
        <v>Lower 95%</v>
      </c>
      <c r="DI365" s="0" t="str">
        <f aca="false">_xlfn.CONCAT("Upper " , INT($DD$363 * 100) , "%")</f>
        <v>Upper 95%</v>
      </c>
      <c r="DK365" s="0" t="s">
        <v>146</v>
      </c>
      <c r="DL365" s="0" t="s">
        <v>106</v>
      </c>
      <c r="DM365" s="0" t="s">
        <v>147</v>
      </c>
      <c r="DN365" s="0" t="s">
        <v>148</v>
      </c>
      <c r="DO365" s="0" t="str">
        <f aca="false">_xlfn.CONCAT("Lower " , INT($DK$363 * 100) , "%")</f>
        <v>Lower 95%</v>
      </c>
      <c r="DP365" s="0" t="str">
        <f aca="false">_xlfn.CONCAT("Upper " , INT($DK$363 * 100) , "%")</f>
        <v>Upper 95%</v>
      </c>
      <c r="DR365" s="0" t="s">
        <v>146</v>
      </c>
      <c r="DS365" s="0" t="s">
        <v>106</v>
      </c>
      <c r="DT365" s="0" t="s">
        <v>147</v>
      </c>
      <c r="DU365" s="0" t="s">
        <v>148</v>
      </c>
      <c r="DV365" s="0" t="str">
        <f aca="false">_xlfn.CONCAT("Lower " , INT($DR$363 * 100) , "%")</f>
        <v>Lower 95%</v>
      </c>
      <c r="DW365" s="0" t="str">
        <f aca="false">_xlfn.CONCAT("Upper " , INT($DR$363 * 100) , "%")</f>
        <v>Upper 95%</v>
      </c>
      <c r="DY365" s="0" t="s">
        <v>146</v>
      </c>
      <c r="DZ365" s="0" t="s">
        <v>106</v>
      </c>
      <c r="EA365" s="0" t="s">
        <v>147</v>
      </c>
      <c r="EB365" s="0" t="s">
        <v>148</v>
      </c>
      <c r="EC365" s="0" t="str">
        <f aca="false">_xlfn.CONCAT("Lower " , INT($DY$363 * 100) , "%")</f>
        <v>Lower 95%</v>
      </c>
      <c r="ED365" s="0" t="str">
        <f aca="false">_xlfn.CONCAT("Upper " , INT($DY$363 * 100) , "%")</f>
        <v>Upper 95%</v>
      </c>
    </row>
    <row r="366" customFormat="false" ht="12.8" hidden="false" customHeight="false" outlineLevel="0" collapsed="false">
      <c r="A366" s="22" t="n">
        <v>5</v>
      </c>
      <c r="B366" s="22" t="s">
        <v>241</v>
      </c>
      <c r="C366" s="22" t="s">
        <v>480</v>
      </c>
      <c r="D366" s="22" t="s">
        <v>241</v>
      </c>
      <c r="E366" s="42" t="n">
        <f aca="false">G7</f>
        <v>5.92758620689655</v>
      </c>
      <c r="F366" s="42" t="s">
        <v>241</v>
      </c>
      <c r="G366" s="42" t="n">
        <f aca="false">H7</f>
        <v>0.25</v>
      </c>
      <c r="H366" s="42" t="s">
        <v>241</v>
      </c>
      <c r="I366" s="42" t="n">
        <f aca="false">AN7</f>
        <v>0.826483878365439</v>
      </c>
      <c r="J366" s="42" t="s">
        <v>241</v>
      </c>
      <c r="K366" s="42" t="n">
        <f aca="false">P7</f>
        <v>3.18192545782822</v>
      </c>
      <c r="L366" s="42" t="s">
        <v>241</v>
      </c>
      <c r="M366" s="42" t="n">
        <f aca="false">Q7</f>
        <v>0.05</v>
      </c>
      <c r="N366" s="42" t="s">
        <v>241</v>
      </c>
      <c r="O366" s="42" t="n">
        <f aca="false">AS7</f>
        <v>0.499318526233216</v>
      </c>
      <c r="P366" s="42" t="s">
        <v>241</v>
      </c>
      <c r="Q366" s="42" t="n">
        <f aca="false">BC7*2.355</f>
        <v>0.781252499999999</v>
      </c>
      <c r="R366" s="42" t="str">
        <f aca="false">N366</f>
        <v>&amp;</v>
      </c>
      <c r="S366" s="45" t="n">
        <f aca="false">Sheet2!M7</f>
        <v>0.03544</v>
      </c>
      <c r="T366" s="42" t="str">
        <f aca="false">P366</f>
        <v>&amp;</v>
      </c>
      <c r="U366" s="42" t="n">
        <f aca="false">Sheet2!N7</f>
        <v>144.104853229694</v>
      </c>
      <c r="V366" s="22" t="s">
        <v>350</v>
      </c>
      <c r="BZ366" s="0" t="s">
        <v>103</v>
      </c>
      <c r="CA366" s="0" t="n">
        <f aca="false">$BZ$361</f>
        <v>0.287509633200126</v>
      </c>
      <c r="CG366" s="0" t="s">
        <v>103</v>
      </c>
      <c r="CH366" s="0" t="n">
        <f aca="false">$CG$361</f>
        <v>0.209616156164652</v>
      </c>
      <c r="CN366" s="0" t="s">
        <v>103</v>
      </c>
      <c r="CO366" s="0" t="n">
        <f aca="false">$CN$361</f>
        <v>0.161181584240914</v>
      </c>
      <c r="CU366" s="0" t="s">
        <v>103</v>
      </c>
      <c r="CV366" s="0" t="n">
        <f aca="false">$CU$361</f>
        <v>0.123257604599327</v>
      </c>
      <c r="DC366" s="0" t="str">
        <f aca="false">"Intercept"</f>
        <v>Intercept</v>
      </c>
      <c r="DD366" s="0" t="e">
        <f aca="false" t="array" ref="DD366:DD366">INDEX($DC$344:$DG$344, 1 , 371 - ROW())</f>
        <v>#VALUE!</v>
      </c>
      <c r="DE366" s="0" t="e">
        <f aca="false" t="array" ref="DE366:DE366">INDEX($DC$345:$DG$345, 1 , 371 - ROW())</f>
        <v>#VALUE!</v>
      </c>
      <c r="DF366" s="0" t="e">
        <f aca="false" t="array" ref="DF366:DF370">$DD$366:$DD$370 / $DE$366:$DE$370</f>
        <v>#VALUE!</v>
      </c>
      <c r="DG366" s="0" t="e">
        <f aca="false" t="array" ref="DG366:DG370">TDIST(ABS($DF$366:$DF$370) , $DD$347 , 2 )</f>
        <v>#VALUE!</v>
      </c>
      <c r="DH366" s="0" t="e">
        <f aca="false" t="array" ref="DH366:DH370">$DD$366:$DD$370 - $DE$366:$DE$370 * TINV(1 - $DD$363 , $DD$347)</f>
        <v>#VALUE!</v>
      </c>
      <c r="DI366" s="0" t="e">
        <f aca="false" t="array" ref="DI366:DI370">$DD$366:$DD$370 + $DE$366:$DE$370 * TINV(1 - $DD$363 , $DD$347)</f>
        <v>#VALUE!</v>
      </c>
      <c r="DJ366" s="0" t="str">
        <f aca="false">"Intercept"</f>
        <v>Intercept</v>
      </c>
      <c r="DK366" s="0" t="n">
        <f aca="false" t="array" ref="DK366:DK366">INDEX($DJ$344:$DN$344, 1 , 371 - ROW())</f>
        <v>34.3283362802897</v>
      </c>
      <c r="DL366" s="0" t="n">
        <f aca="false" t="array" ref="DL366:DL366">INDEX($DJ$345:$DN$345, 1 , 371 - ROW())</f>
        <v>3.72869254332071</v>
      </c>
      <c r="DM366" s="0" t="n">
        <f aca="false" t="array" ref="DM366:DM370">$DK$366:$DK$370 / $DL$366:$DL$370</f>
        <v>9.2065344303549</v>
      </c>
      <c r="DN366" s="0" t="n">
        <f aca="false" t="array" ref="DN366:DN370">TDIST(ABS($DM$366:$DM$370) , $DK$347 , 2 )</f>
        <v>1.67793716344039E-006</v>
      </c>
      <c r="DO366" s="0" t="n">
        <f aca="false" t="array" ref="DO366:DO370">$DK$366:$DK$370 - $DL$366:$DL$370 * TINV(1 - $DK$363 , $DK$347)</f>
        <v>26.1215393258965</v>
      </c>
      <c r="DP366" s="0" t="n">
        <f aca="false" t="array" ref="DP366:DP370">$DK$366:$DK$370 + $DL$366:$DL$370 * TINV(1 - $DK$363 , $DK$347)</f>
        <v>42.535133234683</v>
      </c>
      <c r="DQ366" s="0" t="str">
        <f aca="false">"Intercept"</f>
        <v>Intercept</v>
      </c>
      <c r="DR366" s="0" t="n">
        <f aca="false" t="array" ref="DR366:DR366">INDEX($DQ$344:$DU$344, 1 , 371 - ROW())</f>
        <v>36.5523303864436</v>
      </c>
      <c r="DS366" s="0" t="n">
        <f aca="false" t="array" ref="DS366:DS366">INDEX($DQ$345:$DU$345, 1 , 371 - ROW())</f>
        <v>3.23916188393795</v>
      </c>
      <c r="DT366" s="0" t="n">
        <f aca="false" t="array" ref="DT366:DT370">$DR$366:$DR$370 / $DS$366:$DS$370</f>
        <v>11.2845025028529</v>
      </c>
      <c r="DU366" s="0" t="n">
        <f aca="false" t="array" ref="DU366:DU370">TDIST(ABS($DT$366:$DT$370) , $DR$347 , 2 )</f>
        <v>2.18262388449758E-007</v>
      </c>
      <c r="DV366" s="0" t="n">
        <f aca="false" t="array" ref="DV366:DV370">$DR$366:$DR$370 - $DS$366:$DS$370 * TINV(1 - $DR$363 , $DR$347)</f>
        <v>29.4229831487617</v>
      </c>
      <c r="DW366" s="0" t="n">
        <f aca="false" t="array" ref="DW366:DW370">$DR$366:$DR$370 + $DS$366:$DS$370 * TINV(1 - $DR$363 , $DR$347)</f>
        <v>43.6816776241255</v>
      </c>
      <c r="DX366" s="0" t="str">
        <f aca="false">"Intercept"</f>
        <v>Intercept</v>
      </c>
      <c r="DY366" s="0" t="n">
        <f aca="false" t="array" ref="DY366:DY366">INDEX($DX$344:$EB$344, 1 , 371 - ROW())</f>
        <v>32.3898290200825</v>
      </c>
      <c r="DZ366" s="0" t="n">
        <f aca="false" t="array" ref="DZ366:DZ366">INDEX($DX$345:$EB$345, 1 , 371 - ROW())</f>
        <v>3.41923577129596</v>
      </c>
      <c r="EA366" s="0" t="n">
        <f aca="false" t="array" ref="EA366:EA370">$DY$366:$DY$370 / $DZ$366:$DZ$370</f>
        <v>9.47282702526421</v>
      </c>
      <c r="EB366" s="0" t="n">
        <f aca="false" t="array" ref="EB366:EB370">TDIST(ABS($EA$366:$EA$370) , $DY$347 , 2 )</f>
        <v>1.26666013299404E-006</v>
      </c>
      <c r="EC366" s="0" t="n">
        <f aca="false" t="array" ref="EC366:EC370">$DY$366:$DY$370 - $DZ$366:$DZ$370 * TINV(1 - $DY$363 , $DY$347)</f>
        <v>24.8641418286056</v>
      </c>
      <c r="ED366" s="0" t="n">
        <f aca="false" t="array" ref="ED366:ED370">$DY$366:$DY$370 + $DZ$366:$DZ$370 * TINV(1 - $DY$363 , $DY$347)</f>
        <v>39.9155162115594</v>
      </c>
    </row>
    <row r="367" customFormat="false" ht="12.8" hidden="false" customHeight="false" outlineLevel="0" collapsed="false">
      <c r="A367" s="22" t="n">
        <v>6</v>
      </c>
      <c r="B367" s="22" t="s">
        <v>241</v>
      </c>
      <c r="C367" s="22" t="s">
        <v>481</v>
      </c>
      <c r="D367" s="22" t="s">
        <v>241</v>
      </c>
      <c r="E367" s="42" t="n">
        <f aca="false">G8</f>
        <v>11.1384511568123</v>
      </c>
      <c r="F367" s="42" t="s">
        <v>241</v>
      </c>
      <c r="G367" s="42" t="n">
        <f aca="false">H8</f>
        <v>0.49</v>
      </c>
      <c r="H367" s="42" t="s">
        <v>241</v>
      </c>
      <c r="I367" s="42" t="n">
        <f aca="false">AN8</f>
        <v>1.28066567303325</v>
      </c>
      <c r="J367" s="42" t="s">
        <v>241</v>
      </c>
      <c r="K367" s="42" t="n">
        <f aca="false">P8</f>
        <v>4.71656976744186</v>
      </c>
      <c r="L367" s="42" t="s">
        <v>241</v>
      </c>
      <c r="M367" s="42" t="n">
        <f aca="false">Q8</f>
        <v>0.3</v>
      </c>
      <c r="N367" s="42" t="s">
        <v>241</v>
      </c>
      <c r="O367" s="42" t="n">
        <f aca="false">AS8</f>
        <v>0.635332627271214</v>
      </c>
      <c r="P367" s="42" t="s">
        <v>241</v>
      </c>
      <c r="Q367" s="42" t="n">
        <f aca="false">BC8*2.355</f>
        <v>0.748650000000001</v>
      </c>
      <c r="R367" s="42" t="str">
        <f aca="false">N367</f>
        <v>&amp;</v>
      </c>
      <c r="S367" s="45" t="n">
        <f aca="false">Sheet2!M8</f>
        <v>0.01248</v>
      </c>
      <c r="T367" s="42" t="str">
        <f aca="false">P367</f>
        <v>&amp;</v>
      </c>
      <c r="U367" s="42" t="n">
        <f aca="false">Sheet2!N8</f>
        <v>56.286326668462</v>
      </c>
      <c r="V367" s="22" t="s">
        <v>350</v>
      </c>
      <c r="BZ367" s="0" t="s">
        <v>106</v>
      </c>
      <c r="CA367" s="0" t="n">
        <f aca="false">$CA$361</f>
        <v>0.418343693934992</v>
      </c>
      <c r="CG367" s="0" t="s">
        <v>106</v>
      </c>
      <c r="CH367" s="0" t="n">
        <f aca="false">$CH$361</f>
        <v>0.418052744576095</v>
      </c>
      <c r="CN367" s="0" t="s">
        <v>106</v>
      </c>
      <c r="CO367" s="0" t="n">
        <f aca="false">$CO$361</f>
        <v>0.45973587824669</v>
      </c>
      <c r="CU367" s="0" t="s">
        <v>106</v>
      </c>
      <c r="CV367" s="0" t="n">
        <f aca="false">$CV$361</f>
        <v>0.265976783527881</v>
      </c>
      <c r="DC367" s="24" t="str">
        <f aca="false">$BK$137</f>
        <v>Log(RefB.K)</v>
      </c>
      <c r="DD367" s="0" t="n">
        <v>34.3298521438941</v>
      </c>
      <c r="DE367" s="0" t="n">
        <v>3.72869254332071</v>
      </c>
      <c r="DF367" s="0" t="n">
        <v>9.20694097060642</v>
      </c>
      <c r="DG367" s="0" t="e">
        <v>#VALUE!</v>
      </c>
      <c r="DH367" s="0" t="e">
        <v>#VALUE!</v>
      </c>
      <c r="DI367" s="0" t="e">
        <v>#VALUE!</v>
      </c>
      <c r="DJ367" s="24" t="str">
        <f aca="false">$BK$137</f>
        <v>Log(RefB.K)</v>
      </c>
      <c r="DK367" s="0" t="n">
        <v>34.9460522081503</v>
      </c>
      <c r="DL367" s="0" t="n">
        <v>3.67800373349176</v>
      </c>
      <c r="DM367" s="0" t="n">
        <v>9.50136398447149</v>
      </c>
      <c r="DN367" s="0" t="n">
        <v>1.22952283168007E-006</v>
      </c>
      <c r="DO367" s="0" t="n">
        <v>26.8508205719733</v>
      </c>
      <c r="DP367" s="0" t="n">
        <v>43.0412838443273</v>
      </c>
      <c r="DQ367" s="24" t="str">
        <f aca="false">$BK$137</f>
        <v>Log(RefB.K)</v>
      </c>
      <c r="DR367" s="0" t="n">
        <v>36.5523303864436</v>
      </c>
      <c r="DS367" s="0" t="n">
        <v>3.23916188393795</v>
      </c>
      <c r="DT367" s="0" t="n">
        <v>11.2845025028529</v>
      </c>
      <c r="DU367" s="0" t="n">
        <v>2.18262388449756E-007</v>
      </c>
      <c r="DV367" s="0" t="n">
        <v>29.4229831487617</v>
      </c>
      <c r="DW367" s="0" t="n">
        <v>43.6816776241255</v>
      </c>
      <c r="DX367" s="24" t="str">
        <f aca="false">$BK$137</f>
        <v>Log(RefB.K)</v>
      </c>
      <c r="DY367" s="0" t="n">
        <v>32.3898290200825</v>
      </c>
      <c r="DZ367" s="0" t="n">
        <v>3.41923577129596</v>
      </c>
      <c r="EA367" s="0" t="n">
        <v>9.47282702526421</v>
      </c>
      <c r="EB367" s="0" t="n">
        <v>1.26666013299403E-006</v>
      </c>
      <c r="EC367" s="0" t="n">
        <v>24.8641418286056</v>
      </c>
      <c r="ED367" s="0" t="n">
        <v>39.9155162115594</v>
      </c>
    </row>
    <row r="368" customFormat="false" ht="12.8" hidden="false" customHeight="false" outlineLevel="0" collapsed="false">
      <c r="A368" s="22" t="n">
        <v>7</v>
      </c>
      <c r="B368" s="22" t="s">
        <v>241</v>
      </c>
      <c r="C368" s="22" t="s">
        <v>482</v>
      </c>
      <c r="D368" s="22" t="s">
        <v>241</v>
      </c>
      <c r="E368" s="42" t="n">
        <f aca="false">G9</f>
        <v>5.67700581395349</v>
      </c>
      <c r="F368" s="42" t="s">
        <v>241</v>
      </c>
      <c r="G368" s="42" t="n">
        <f aca="false">H9</f>
        <v>0.004</v>
      </c>
      <c r="H368" s="42" t="s">
        <v>241</v>
      </c>
      <c r="I368" s="42" t="n">
        <f aca="false">AN9</f>
        <v>0.912168108513389</v>
      </c>
      <c r="J368" s="42" t="s">
        <v>241</v>
      </c>
      <c r="K368" s="42" t="n">
        <f aca="false">P9</f>
        <v>3.17943338984563</v>
      </c>
      <c r="L368" s="42" t="s">
        <v>241</v>
      </c>
      <c r="M368" s="42" t="n">
        <f aca="false">Q9</f>
        <v>0.05</v>
      </c>
      <c r="N368" s="42" t="s">
        <v>241</v>
      </c>
      <c r="O368" s="42" t="n">
        <f aca="false">AS9</f>
        <v>0.498927462479892</v>
      </c>
      <c r="P368" s="42" t="s">
        <v>241</v>
      </c>
      <c r="Q368" s="42" t="n">
        <f aca="false">BC9*2.355</f>
        <v>0.729598333333334</v>
      </c>
      <c r="R368" s="42" t="str">
        <f aca="false">N368</f>
        <v>&amp;</v>
      </c>
      <c r="S368" s="45" t="n">
        <f aca="false">Sheet2!M9</f>
        <v>0.01369</v>
      </c>
      <c r="T368" s="42" t="str">
        <f aca="false">P368</f>
        <v>&amp;</v>
      </c>
      <c r="U368" s="42" t="n">
        <f aca="false">Sheet2!N9</f>
        <v>61.2125287494312</v>
      </c>
      <c r="V368" s="22" t="s">
        <v>350</v>
      </c>
      <c r="BZ368" s="0" t="s">
        <v>109</v>
      </c>
      <c r="CA368" s="0" t="n">
        <f aca="false">1</f>
        <v>1</v>
      </c>
      <c r="CG368" s="0" t="s">
        <v>109</v>
      </c>
      <c r="CH368" s="0" t="n">
        <f aca="false">1</f>
        <v>1</v>
      </c>
      <c r="CN368" s="0" t="s">
        <v>109</v>
      </c>
      <c r="CO368" s="0" t="n">
        <f aca="false">1</f>
        <v>1</v>
      </c>
      <c r="CU368" s="0" t="s">
        <v>109</v>
      </c>
      <c r="CV368" s="0" t="n">
        <f aca="false">1</f>
        <v>1</v>
      </c>
      <c r="DC368" s="24" t="str">
        <f aca="false">$BL$137</f>
        <v>Log(O/H) 2011</v>
      </c>
      <c r="DD368" s="0" t="n">
        <v>34.3298521438941</v>
      </c>
      <c r="DE368" s="0" t="n">
        <v>3.72869254332071</v>
      </c>
      <c r="DF368" s="0" t="n">
        <v>9.20694097060642</v>
      </c>
      <c r="DG368" s="0" t="e">
        <v>#VALUE!</v>
      </c>
      <c r="DH368" s="0" t="e">
        <v>#VALUE!</v>
      </c>
      <c r="DI368" s="0" t="e">
        <v>#VALUE!</v>
      </c>
      <c r="DJ368" s="24" t="str">
        <f aca="false">$BL$137</f>
        <v>Log(O/H) 2011</v>
      </c>
      <c r="DK368" s="0" t="n">
        <v>34.9460522081503</v>
      </c>
      <c r="DL368" s="0" t="n">
        <v>3.67800373349176</v>
      </c>
      <c r="DM368" s="0" t="n">
        <v>9.50136398447149</v>
      </c>
      <c r="DN368" s="0" t="n">
        <v>1.22952283168007E-006</v>
      </c>
      <c r="DO368" s="0" t="n">
        <v>26.8508205719733</v>
      </c>
      <c r="DP368" s="0" t="n">
        <v>43.0412838443273</v>
      </c>
      <c r="DQ368" s="24" t="str">
        <f aca="false">$BL$137</f>
        <v>Log(O/H) 2011</v>
      </c>
      <c r="DR368" s="0" t="n">
        <v>36.5523303864436</v>
      </c>
      <c r="DS368" s="0" t="n">
        <v>3.23916188393795</v>
      </c>
      <c r="DT368" s="0" t="n">
        <v>11.2845025028529</v>
      </c>
      <c r="DU368" s="0" t="n">
        <v>2.18262388449756E-007</v>
      </c>
      <c r="DV368" s="0" t="n">
        <v>29.4229831487617</v>
      </c>
      <c r="DW368" s="0" t="n">
        <v>43.6816776241255</v>
      </c>
      <c r="DX368" s="24" t="str">
        <f aca="false">$BL$137</f>
        <v>Log(O/H) 2011</v>
      </c>
      <c r="DY368" s="0" t="n">
        <v>32.3898290200825</v>
      </c>
      <c r="DZ368" s="0" t="n">
        <v>3.41923577129596</v>
      </c>
      <c r="EA368" s="0" t="n">
        <v>9.47282702526421</v>
      </c>
      <c r="EB368" s="0" t="n">
        <v>1.26666013299403E-006</v>
      </c>
      <c r="EC368" s="0" t="n">
        <v>24.8641418286056</v>
      </c>
      <c r="ED368" s="0" t="n">
        <v>39.9155162115594</v>
      </c>
    </row>
    <row r="369" customFormat="false" ht="12.8" hidden="false" customHeight="false" outlineLevel="0" collapsed="false">
      <c r="A369" s="22" t="n">
        <v>8</v>
      </c>
      <c r="B369" s="22" t="s">
        <v>241</v>
      </c>
      <c r="C369" s="22" t="s">
        <v>483</v>
      </c>
      <c r="D369" s="22" t="s">
        <v>241</v>
      </c>
      <c r="E369" s="42" t="n">
        <f aca="false">G10</f>
        <v>18.2560950503723</v>
      </c>
      <c r="F369" s="42" t="s">
        <v>241</v>
      </c>
      <c r="G369" s="42" t="n">
        <f aca="false">H10</f>
        <v>0.2332</v>
      </c>
      <c r="H369" s="42" t="s">
        <v>241</v>
      </c>
      <c r="I369" s="42" t="n">
        <f aca="false">AN10</f>
        <v>2.5738001175032</v>
      </c>
      <c r="J369" s="42" t="s">
        <v>241</v>
      </c>
      <c r="K369" s="42" t="n">
        <f aca="false">P10</f>
        <v>5.818262272413</v>
      </c>
      <c r="L369" s="42" t="s">
        <v>241</v>
      </c>
      <c r="M369" s="42" t="n">
        <f aca="false">Q10</f>
        <v>0.3195</v>
      </c>
      <c r="N369" s="42" t="s">
        <v>241</v>
      </c>
      <c r="O369" s="42" t="n">
        <f aca="false">AS10</f>
        <v>0.77273971790606</v>
      </c>
      <c r="P369" s="42" t="s">
        <v>241</v>
      </c>
      <c r="Q369" s="42" t="n">
        <f aca="false">BC10*2.355</f>
        <v>1.53433</v>
      </c>
      <c r="R369" s="42" t="str">
        <f aca="false">N369</f>
        <v>&amp;</v>
      </c>
      <c r="S369" s="45" t="n">
        <f aca="false">Sheet2!M10</f>
        <v>0.02292</v>
      </c>
      <c r="T369" s="42" t="str">
        <f aca="false">P369</f>
        <v>&amp;</v>
      </c>
      <c r="U369" s="42" t="n">
        <f aca="false">Sheet2!N10</f>
        <v>95.7600538472889</v>
      </c>
      <c r="V369" s="22" t="s">
        <v>350</v>
      </c>
      <c r="BZ369" s="0" t="s">
        <v>112</v>
      </c>
      <c r="CA369" s="0" t="n">
        <f aca="false">39</f>
        <v>39</v>
      </c>
      <c r="CG369" s="0" t="s">
        <v>112</v>
      </c>
      <c r="CH369" s="0" t="n">
        <f aca="false">39</f>
        <v>39</v>
      </c>
      <c r="CN369" s="0" t="s">
        <v>112</v>
      </c>
      <c r="CO369" s="0" t="n">
        <f aca="false">39</f>
        <v>39</v>
      </c>
      <c r="CU369" s="0" t="s">
        <v>112</v>
      </c>
      <c r="CV369" s="0" t="n">
        <f aca="false">39</f>
        <v>39</v>
      </c>
      <c r="DC369" s="24" t="str">
        <f aca="false">$BM$137</f>
        <v>Log(σH) 2011</v>
      </c>
      <c r="DD369" s="0" t="n">
        <v>34.3298521438941</v>
      </c>
      <c r="DE369" s="0" t="n">
        <v>3.72869254332071</v>
      </c>
      <c r="DF369" s="0" t="n">
        <v>9.20694097060642</v>
      </c>
      <c r="DG369" s="0" t="e">
        <v>#VALUE!</v>
      </c>
      <c r="DH369" s="0" t="e">
        <v>#VALUE!</v>
      </c>
      <c r="DI369" s="0" t="e">
        <v>#VALUE!</v>
      </c>
      <c r="DJ369" s="24" t="str">
        <f aca="false">$BM$137</f>
        <v>Log(σH) 2011</v>
      </c>
      <c r="DK369" s="0" t="n">
        <v>34.9460522081503</v>
      </c>
      <c r="DL369" s="0" t="n">
        <v>3.67800373349176</v>
      </c>
      <c r="DM369" s="0" t="n">
        <v>9.50136398447149</v>
      </c>
      <c r="DN369" s="0" t="n">
        <v>1.22952283168007E-006</v>
      </c>
      <c r="DO369" s="0" t="n">
        <v>26.8508205719733</v>
      </c>
      <c r="DP369" s="0" t="n">
        <v>43.0412838443273</v>
      </c>
      <c r="DQ369" s="24" t="str">
        <f aca="false">$BM$137</f>
        <v>Log(σH) 2011</v>
      </c>
      <c r="DR369" s="0" t="n">
        <v>36.5523303864436</v>
      </c>
      <c r="DS369" s="0" t="n">
        <v>3.23916188393795</v>
      </c>
      <c r="DT369" s="0" t="n">
        <v>11.2845025028529</v>
      </c>
      <c r="DU369" s="0" t="n">
        <v>2.18262388449756E-007</v>
      </c>
      <c r="DV369" s="0" t="n">
        <v>29.4229831487617</v>
      </c>
      <c r="DW369" s="0" t="n">
        <v>43.6816776241255</v>
      </c>
      <c r="DX369" s="24" t="str">
        <f aca="false">$BM$137</f>
        <v>Log(σH) 2011</v>
      </c>
      <c r="DY369" s="0" t="n">
        <v>32.3898290200825</v>
      </c>
      <c r="DZ369" s="0" t="n">
        <v>3.41923577129596</v>
      </c>
      <c r="EA369" s="0" t="n">
        <v>9.47282702526421</v>
      </c>
      <c r="EB369" s="0" t="n">
        <v>1.26666013299403E-006</v>
      </c>
      <c r="EC369" s="0" t="n">
        <v>24.8641418286056</v>
      </c>
      <c r="ED369" s="0" t="n">
        <v>39.9155162115594</v>
      </c>
    </row>
    <row r="370" customFormat="false" ht="12.8" hidden="false" customHeight="false" outlineLevel="0" collapsed="false">
      <c r="A370" s="22" t="n">
        <v>9</v>
      </c>
      <c r="B370" s="22" t="s">
        <v>241</v>
      </c>
      <c r="C370" s="22" t="s">
        <v>484</v>
      </c>
      <c r="D370" s="22" t="s">
        <v>241</v>
      </c>
      <c r="E370" s="42" t="n">
        <f aca="false">G11</f>
        <v>11.2732037943696</v>
      </c>
      <c r="F370" s="42" t="s">
        <v>241</v>
      </c>
      <c r="G370" s="42" t="n">
        <f aca="false">H11</f>
        <v>0.0998</v>
      </c>
      <c r="H370" s="42" t="s">
        <v>241</v>
      </c>
      <c r="I370" s="42" t="n">
        <f aca="false">AN11</f>
        <v>1.72203803066862</v>
      </c>
      <c r="J370" s="42" t="s">
        <v>241</v>
      </c>
      <c r="K370" s="42" t="n">
        <f aca="false">P11</f>
        <v>4.80179461279461</v>
      </c>
      <c r="L370" s="42" t="s">
        <v>241</v>
      </c>
      <c r="M370" s="42" t="n">
        <f aca="false">Q11</f>
        <v>0.3787</v>
      </c>
      <c r="N370" s="42" t="s">
        <v>241</v>
      </c>
      <c r="O370" s="42" t="n">
        <f aca="false">AS11</f>
        <v>0.609368685677178</v>
      </c>
      <c r="P370" s="42" t="s">
        <v>241</v>
      </c>
      <c r="Q370" s="42" t="n">
        <f aca="false">BC11*2.355</f>
        <v>1.23460166666667</v>
      </c>
      <c r="R370" s="42" t="str">
        <f aca="false">N370</f>
        <v>&amp;</v>
      </c>
      <c r="S370" s="45" t="n">
        <f aca="false">Sheet2!M11</f>
        <v>0.02848</v>
      </c>
      <c r="T370" s="42" t="str">
        <f aca="false">P370</f>
        <v>&amp;</v>
      </c>
      <c r="U370" s="42" t="n">
        <f aca="false">Sheet2!N11</f>
        <v>116.47132237655</v>
      </c>
      <c r="V370" s="22" t="s">
        <v>350</v>
      </c>
      <c r="BZ370" s="0" t="s">
        <v>115</v>
      </c>
      <c r="CA370" s="0" t="n">
        <f aca="false">1 - (1 - $BZ$361)*($CA$369 - 1)/($CA$369 - $CA$368 - 1)</f>
        <v>0.268253136800129</v>
      </c>
      <c r="CG370" s="0" t="s">
        <v>115</v>
      </c>
      <c r="CH370" s="0" t="n">
        <f aca="false">1 - (1 - $CG$361)*($CH$369 - 1)/($CH$369 - $CH$368 - 1)</f>
        <v>0.188254430655588</v>
      </c>
      <c r="CN370" s="0" t="s">
        <v>115</v>
      </c>
      <c r="CO370" s="0" t="n">
        <f aca="false">1 - (1 - $CN$361)*($CO$369 - 1)/($CO$369 - $CO$368 - 1)</f>
        <v>0.138510816247425</v>
      </c>
      <c r="CU370" s="0" t="s">
        <v>115</v>
      </c>
      <c r="CV370" s="0" t="n">
        <f aca="false">1 - (1 - $CU$361)*($CV$369 - 1)/($CV$369 - $CV$368 - 1)</f>
        <v>0.0995618641830927</v>
      </c>
      <c r="DC370" s="24" t="str">
        <f aca="false">$BN$137</f>
        <v>Log(Whβ)</v>
      </c>
      <c r="DD370" s="0" t="n">
        <v>34.3298521438941</v>
      </c>
      <c r="DE370" s="0" t="n">
        <v>3.72869254332071</v>
      </c>
      <c r="DF370" s="0" t="n">
        <v>9.20694097060642</v>
      </c>
      <c r="DG370" s="0" t="e">
        <v>#VALUE!</v>
      </c>
      <c r="DH370" s="0" t="e">
        <v>#VALUE!</v>
      </c>
      <c r="DI370" s="0" t="e">
        <v>#VALUE!</v>
      </c>
      <c r="DJ370" s="24" t="str">
        <f aca="false">$BN$137</f>
        <v>Log(Whβ)</v>
      </c>
      <c r="DK370" s="0" t="n">
        <v>34.9460522081503</v>
      </c>
      <c r="DL370" s="0" t="n">
        <v>3.67800373349176</v>
      </c>
      <c r="DM370" s="0" t="n">
        <v>9.50136398447149</v>
      </c>
      <c r="DN370" s="0" t="n">
        <v>1.22952283168007E-006</v>
      </c>
      <c r="DO370" s="0" t="n">
        <v>26.8508205719733</v>
      </c>
      <c r="DP370" s="0" t="n">
        <v>43.0412838443273</v>
      </c>
      <c r="DQ370" s="24" t="str">
        <f aca="false">$BN$137</f>
        <v>Log(Whβ)</v>
      </c>
      <c r="DR370" s="0" t="n">
        <v>36.5523303864436</v>
      </c>
      <c r="DS370" s="0" t="n">
        <v>3.23916188393795</v>
      </c>
      <c r="DT370" s="0" t="n">
        <v>11.2845025028529</v>
      </c>
      <c r="DU370" s="0" t="n">
        <v>2.18262388449756E-007</v>
      </c>
      <c r="DV370" s="0" t="n">
        <v>29.4229831487617</v>
      </c>
      <c r="DW370" s="0" t="n">
        <v>43.6816776241255</v>
      </c>
      <c r="DX370" s="24" t="str">
        <f aca="false">$BN$137</f>
        <v>Log(Whβ)</v>
      </c>
      <c r="DY370" s="0" t="n">
        <v>32.3898290200825</v>
      </c>
      <c r="DZ370" s="0" t="n">
        <v>3.41923577129596</v>
      </c>
      <c r="EA370" s="0" t="n">
        <v>9.47282702526421</v>
      </c>
      <c r="EB370" s="0" t="n">
        <v>1.26666013299403E-006</v>
      </c>
      <c r="EC370" s="0" t="n">
        <v>24.8641418286056</v>
      </c>
      <c r="ED370" s="0" t="n">
        <v>39.9155162115594</v>
      </c>
    </row>
    <row r="371" customFormat="false" ht="12.8" hidden="false" customHeight="false" outlineLevel="0" collapsed="false">
      <c r="A371" s="22" t="n">
        <v>10</v>
      </c>
      <c r="B371" s="22" t="s">
        <v>241</v>
      </c>
      <c r="C371" s="22" t="s">
        <v>485</v>
      </c>
      <c r="D371" s="22" t="s">
        <v>241</v>
      </c>
      <c r="E371" s="42" t="n">
        <f aca="false">G12</f>
        <v>17.8386131095124</v>
      </c>
      <c r="F371" s="42" t="s">
        <v>241</v>
      </c>
      <c r="G371" s="42" t="n">
        <f aca="false">H12</f>
        <v>0.259</v>
      </c>
      <c r="H371" s="42" t="s">
        <v>241</v>
      </c>
      <c r="I371" s="42" t="n">
        <f aca="false">AN12</f>
        <v>2.47227095394793</v>
      </c>
      <c r="J371" s="42" t="s">
        <v>241</v>
      </c>
      <c r="K371" s="42" t="n">
        <f aca="false">P12</f>
        <v>3.83410052370265</v>
      </c>
      <c r="L371" s="42" t="s">
        <v>241</v>
      </c>
      <c r="M371" s="42" t="n">
        <f aca="false">Q12</f>
        <v>0.05</v>
      </c>
      <c r="N371" s="42" t="s">
        <v>241</v>
      </c>
      <c r="O371" s="42" t="n">
        <f aca="false">AS12</f>
        <v>0.60166004775985</v>
      </c>
      <c r="P371" s="42" t="s">
        <v>241</v>
      </c>
      <c r="Q371" s="42" t="n">
        <f aca="false">BC12*2.355</f>
        <v>2.210018664</v>
      </c>
      <c r="R371" s="42" t="str">
        <f aca="false">N371</f>
        <v>&amp;</v>
      </c>
      <c r="S371" s="45" t="n">
        <f aca="false">Sheet2!M12</f>
        <v>0.00335</v>
      </c>
      <c r="T371" s="42" t="str">
        <f aca="false">P371</f>
        <v>&amp;</v>
      </c>
      <c r="U371" s="42" t="n">
        <f aca="false">Sheet2!N12</f>
        <v>18.0786700229718</v>
      </c>
      <c r="V371" s="22" t="s">
        <v>350</v>
      </c>
    </row>
    <row r="372" customFormat="false" ht="12.8" hidden="false" customHeight="false" outlineLevel="0" collapsed="false">
      <c r="A372" s="22" t="n">
        <v>11</v>
      </c>
      <c r="B372" s="22" t="s">
        <v>241</v>
      </c>
      <c r="C372" s="22" t="s">
        <v>486</v>
      </c>
      <c r="D372" s="22" t="s">
        <v>241</v>
      </c>
      <c r="E372" s="42" t="n">
        <f aca="false">G13</f>
        <v>27.6901806192661</v>
      </c>
      <c r="F372" s="42" t="s">
        <v>241</v>
      </c>
      <c r="G372" s="42" t="n">
        <f aca="false">H13</f>
        <v>0.4119</v>
      </c>
      <c r="H372" s="42" t="s">
        <v>241</v>
      </c>
      <c r="I372" s="42" t="n">
        <f aca="false">AN13</f>
        <v>3.41882801718779</v>
      </c>
      <c r="J372" s="42" t="s">
        <v>241</v>
      </c>
      <c r="K372" s="42" t="n">
        <f aca="false">P13</f>
        <v>3.98721362229102</v>
      </c>
      <c r="L372" s="42" t="s">
        <v>241</v>
      </c>
      <c r="M372" s="42" t="n">
        <f aca="false">Q13</f>
        <v>0.05</v>
      </c>
      <c r="N372" s="42" t="s">
        <v>241</v>
      </c>
      <c r="O372" s="42" t="n">
        <f aca="false">AS13</f>
        <v>0.625687074083191</v>
      </c>
      <c r="P372" s="42" t="s">
        <v>241</v>
      </c>
      <c r="Q372" s="42" t="n">
        <f aca="false">BC13*2.355</f>
        <v>2.6658008895</v>
      </c>
      <c r="R372" s="42" t="str">
        <f aca="false">N372</f>
        <v>&amp;</v>
      </c>
      <c r="S372" s="45" t="n">
        <f aca="false">Sheet2!M13</f>
        <v>0.00258</v>
      </c>
      <c r="T372" s="42" t="str">
        <f aca="false">P372</f>
        <v>&amp;</v>
      </c>
      <c r="U372" s="42" t="n">
        <f aca="false">Sheet2!N13</f>
        <v>11.7393468285763</v>
      </c>
      <c r="V372" s="22" t="s">
        <v>350</v>
      </c>
      <c r="BZ372" s="0" t="s">
        <v>120</v>
      </c>
      <c r="CG372" s="0" t="s">
        <v>120</v>
      </c>
      <c r="CN372" s="0" t="s">
        <v>120</v>
      </c>
      <c r="CU372" s="0" t="s">
        <v>120</v>
      </c>
      <c r="DC372" s="0" t="str">
        <f aca="false">$BK$137</f>
        <v>Log(RefB.K)</v>
      </c>
      <c r="DD372" s="0" t="str">
        <f aca="false">$BL$137</f>
        <v>Log(O/H) 2011</v>
      </c>
      <c r="DE372" s="0" t="str">
        <f aca="false">$BM$137</f>
        <v>Log(σH) 2011</v>
      </c>
      <c r="DF372" s="0" t="str">
        <f aca="false">$BN$137</f>
        <v>Log(Whβ)</v>
      </c>
      <c r="DG372" s="0" t="s">
        <v>157</v>
      </c>
      <c r="DH372" s="0" t="n">
        <f aca="false">$BE$137</f>
        <v>0</v>
      </c>
      <c r="DI372" s="0" t="s">
        <v>133</v>
      </c>
      <c r="DJ372" s="0" t="str">
        <f aca="false">$BK$137</f>
        <v>Log(RefB.K)</v>
      </c>
      <c r="DK372" s="0" t="str">
        <f aca="false">$BL$137</f>
        <v>Log(O/H) 2011</v>
      </c>
      <c r="DL372" s="0" t="str">
        <f aca="false">$BM$137</f>
        <v>Log(σH) 2011</v>
      </c>
      <c r="DM372" s="0" t="str">
        <f aca="false">$BN$137</f>
        <v>Log(Whβ)</v>
      </c>
      <c r="DN372" s="0" t="s">
        <v>157</v>
      </c>
      <c r="DO372" s="0" t="str">
        <f aca="false">$BF$137</f>
        <v>Log(LHβ) 2011</v>
      </c>
      <c r="DP372" s="0" t="s">
        <v>133</v>
      </c>
      <c r="DQ372" s="0" t="str">
        <f aca="false">$BK$137</f>
        <v>Log(RefB.K)</v>
      </c>
      <c r="DR372" s="0" t="str">
        <f aca="false">$BL$137</f>
        <v>Log(O/H) 2011</v>
      </c>
      <c r="DS372" s="0" t="str">
        <f aca="false">$BM$137</f>
        <v>Log(σH) 2011</v>
      </c>
      <c r="DT372" s="0" t="str">
        <f aca="false">$BN$137</f>
        <v>Log(Whβ)</v>
      </c>
      <c r="DU372" s="0" t="s">
        <v>157</v>
      </c>
      <c r="DV372" s="0" t="str">
        <f aca="false">$BG$137</f>
        <v>Full Log(LHβ) 2007</v>
      </c>
      <c r="DW372" s="0" t="s">
        <v>133</v>
      </c>
      <c r="DX372" s="0" t="str">
        <f aca="false">$BK$137</f>
        <v>Log(RefB.K)</v>
      </c>
      <c r="DY372" s="0" t="str">
        <f aca="false">$BL$137</f>
        <v>Log(O/H) 2011</v>
      </c>
      <c r="DZ372" s="0" t="str">
        <f aca="false">$BM$137</f>
        <v>Log(σH) 2011</v>
      </c>
      <c r="EA372" s="0" t="str">
        <f aca="false">$BN$137</f>
        <v>Log(Whβ)</v>
      </c>
      <c r="EB372" s="0" t="s">
        <v>157</v>
      </c>
      <c r="EC372" s="0" t="str">
        <f aca="false">$BH$137</f>
        <v>BK Log(LHβ) 2007</v>
      </c>
      <c r="ED372" s="0" t="s">
        <v>133</v>
      </c>
    </row>
    <row r="373" customFormat="false" ht="12.8" hidden="false" customHeight="false" outlineLevel="0" collapsed="false">
      <c r="A373" s="22" t="n">
        <v>12</v>
      </c>
      <c r="B373" s="22" t="s">
        <v>241</v>
      </c>
      <c r="C373" s="22" t="s">
        <v>487</v>
      </c>
      <c r="D373" s="22" t="s">
        <v>241</v>
      </c>
      <c r="E373" s="42" t="n">
        <f aca="false">G14</f>
        <v>17.2564465622873</v>
      </c>
      <c r="F373" s="42" t="s">
        <v>241</v>
      </c>
      <c r="G373" s="42" t="n">
        <f aca="false">H14</f>
        <v>0.5827</v>
      </c>
      <c r="H373" s="42" t="s">
        <v>241</v>
      </c>
      <c r="I373" s="42" t="n">
        <f aca="false">AN14</f>
        <v>1.7947395747854</v>
      </c>
      <c r="J373" s="42" t="s">
        <v>241</v>
      </c>
      <c r="K373" s="42" t="n">
        <f aca="false">P14</f>
        <v>5.89024641833811</v>
      </c>
      <c r="L373" s="42" t="s">
        <v>241</v>
      </c>
      <c r="M373" s="42" t="n">
        <f aca="false">Q14</f>
        <v>0.234</v>
      </c>
      <c r="N373" s="42" t="s">
        <v>241</v>
      </c>
      <c r="O373" s="42" t="n">
        <f aca="false">AS14</f>
        <v>0.82999165280762</v>
      </c>
      <c r="P373" s="42" t="s">
        <v>241</v>
      </c>
      <c r="Q373" s="42" t="n">
        <f aca="false">BC14*2.355</f>
        <v>3.65126265</v>
      </c>
      <c r="R373" s="42" t="str">
        <f aca="false">N373</f>
        <v>&amp;</v>
      </c>
      <c r="S373" s="45" t="n">
        <f aca="false">Sheet2!M14</f>
        <v>0.00406</v>
      </c>
      <c r="T373" s="42" t="str">
        <f aca="false">P373</f>
        <v>&amp;</v>
      </c>
      <c r="U373" s="42" t="n">
        <f aca="false">Sheet2!N14</f>
        <v>19.0450403415992</v>
      </c>
      <c r="V373" s="22" t="s">
        <v>350</v>
      </c>
      <c r="CA373" s="0" t="s">
        <v>123</v>
      </c>
      <c r="CB373" s="0" t="s">
        <v>124</v>
      </c>
      <c r="CC373" s="0" t="s">
        <v>125</v>
      </c>
      <c r="CD373" s="0" t="s">
        <v>126</v>
      </c>
      <c r="CE373" s="0" t="s">
        <v>127</v>
      </c>
      <c r="CH373" s="0" t="s">
        <v>123</v>
      </c>
      <c r="CI373" s="0" t="s">
        <v>124</v>
      </c>
      <c r="CJ373" s="0" t="s">
        <v>125</v>
      </c>
      <c r="CK373" s="0" t="s">
        <v>126</v>
      </c>
      <c r="CL373" s="0" t="s">
        <v>127</v>
      </c>
      <c r="CO373" s="0" t="s">
        <v>123</v>
      </c>
      <c r="CP373" s="0" t="s">
        <v>124</v>
      </c>
      <c r="CQ373" s="0" t="s">
        <v>125</v>
      </c>
      <c r="CR373" s="0" t="s">
        <v>126</v>
      </c>
      <c r="CS373" s="0" t="s">
        <v>127</v>
      </c>
      <c r="CV373" s="0" t="s">
        <v>123</v>
      </c>
      <c r="CW373" s="0" t="s">
        <v>124</v>
      </c>
      <c r="CX373" s="0" t="s">
        <v>125</v>
      </c>
      <c r="CY373" s="0" t="s">
        <v>126</v>
      </c>
      <c r="CZ373" s="0" t="s">
        <v>127</v>
      </c>
      <c r="DC373" s="0" t="n">
        <f aca="false" t="array" ref="DC373:DF388">$BK$138:$BN$153</f>
        <v>2.48979141903991</v>
      </c>
      <c r="DD373" s="0" t="n">
        <v>8.08</v>
      </c>
      <c r="DE373" s="0" t="n">
        <v>1.52762990087134</v>
      </c>
      <c r="DF373" s="0" t="n">
        <v>1.57978359661681</v>
      </c>
      <c r="DG373" s="0" t="e">
        <f aca="false" t="array" ref="DG373:DG388">MMULT($DC$373:$DF$388 , $DD$367:$DD$370) + $DD$366</f>
        <v>#VALUE!</v>
      </c>
      <c r="DH373" s="0" t="n">
        <f aca="false" t="array" ref="DH373:DH388">$BE$138:$BE$153</f>
        <v>0</v>
      </c>
      <c r="DI373" s="0" t="e">
        <f aca="false" t="array" ref="DI373:DI388">$DH$373:$DH$388 - $DG$373:$DG$388</f>
        <v>#VALUE!</v>
      </c>
      <c r="DJ373" s="0" t="n">
        <f aca="false" t="array" ref="DJ373:DM388">$BK$138:$BN$153</f>
        <v>2.48979141903991</v>
      </c>
      <c r="DK373" s="0" t="n">
        <v>8.08</v>
      </c>
      <c r="DL373" s="0" t="n">
        <v>1.52762990087134</v>
      </c>
      <c r="DM373" s="0" t="n">
        <v>1.57978359661681</v>
      </c>
      <c r="DN373" s="0" t="n">
        <f aca="false" t="array" ref="DN373:DN388">MMULT($DJ$373:$DM$388 , $DK$367:$DK$370) + $DK$366</f>
        <v>512.292653354849</v>
      </c>
      <c r="DO373" s="0" t="n">
        <f aca="false" t="array" ref="DO373:DO388">$BF$138:$BF$153</f>
        <v>39.9963150223595</v>
      </c>
      <c r="DP373" s="0" t="n">
        <f aca="false" t="array" ref="DP373:DP388">$DO$373:$DO$388 - $DN$373:$DN$388</f>
        <v>-472.29633833249</v>
      </c>
      <c r="DQ373" s="0" t="n">
        <f aca="false" t="array" ref="DQ373:DT388">$BK$138:$BN$153</f>
        <v>2.48979141903991</v>
      </c>
      <c r="DR373" s="0" t="n">
        <v>8.08</v>
      </c>
      <c r="DS373" s="0" t="n">
        <v>1.52762990087134</v>
      </c>
      <c r="DT373" s="0" t="n">
        <v>1.57978359661681</v>
      </c>
      <c r="DU373" s="0" t="n">
        <f aca="false" t="array" ref="DU373:DU388">MMULT($DQ$373:$DT$388 , $DR$367:$DR$370) + $DR$366</f>
        <v>536.486043258468</v>
      </c>
      <c r="DV373" s="0" t="n">
        <f aca="false" t="array" ref="DV373:DV388">$BG$138:$BG$153</f>
        <v>40.4667860464016</v>
      </c>
      <c r="DW373" s="0" t="n">
        <f aca="false" t="array" ref="DW373:DW388">$DV$373:$DV$388 - $DU$373:$DU$388</f>
        <v>-496.019257212066</v>
      </c>
      <c r="DX373" s="0" t="n">
        <f aca="false" t="array" ref="DX373:EA388">$BK$138:$BN$153</f>
        <v>2.48979141903991</v>
      </c>
      <c r="DY373" s="0" t="n">
        <v>8.08</v>
      </c>
      <c r="DZ373" s="0" t="n">
        <v>1.52762990087134</v>
      </c>
      <c r="EA373" s="0" t="n">
        <v>1.57978359661681</v>
      </c>
      <c r="EB373" s="0" t="n">
        <f aca="false" t="array" ref="EB373:EB388">MMULT($DX$373:$EA$388 , $DY$367:$DY$370) + $DY$366</f>
        <v>475.392157739058</v>
      </c>
      <c r="EC373" s="0" t="n">
        <f aca="false" t="array" ref="EC373:EC388">$BH$138:$BH$153</f>
        <v>40.4667860464016</v>
      </c>
      <c r="ED373" s="0" t="n">
        <f aca="false" t="array" ref="ED373:ED388">$EC$373:$EC$388 - $EB$373:$EB$388</f>
        <v>-434.925371692657</v>
      </c>
    </row>
    <row r="374" customFormat="false" ht="12.8" hidden="false" customHeight="false" outlineLevel="0" collapsed="false">
      <c r="A374" s="22" t="n">
        <v>13</v>
      </c>
      <c r="B374" s="22" t="s">
        <v>241</v>
      </c>
      <c r="C374" s="22" t="s">
        <v>488</v>
      </c>
      <c r="D374" s="22" t="s">
        <v>241</v>
      </c>
      <c r="E374" s="42" t="n">
        <f aca="false">G15</f>
        <v>56.5485896269336</v>
      </c>
      <c r="F374" s="42" t="s">
        <v>241</v>
      </c>
      <c r="G374" s="42" t="n">
        <f aca="false">H15</f>
        <v>0.1897</v>
      </c>
      <c r="H374" s="42" t="s">
        <v>241</v>
      </c>
      <c r="I374" s="42" t="n">
        <f aca="false">AN15</f>
        <v>8.19540788362487</v>
      </c>
      <c r="J374" s="42" t="s">
        <v>241</v>
      </c>
      <c r="K374" s="42" t="n">
        <f aca="false">P15</f>
        <v>4.09195005202914</v>
      </c>
      <c r="L374" s="42" t="s">
        <v>241</v>
      </c>
      <c r="M374" s="42" t="n">
        <f aca="false">Q15</f>
        <v>0.05</v>
      </c>
      <c r="N374" s="42" t="s">
        <v>241</v>
      </c>
      <c r="O374" s="42" t="n">
        <f aca="false">AS15</f>
        <v>0.642122669584369</v>
      </c>
      <c r="P374" s="42" t="s">
        <v>241</v>
      </c>
      <c r="Q374" s="42" t="n">
        <f aca="false">BC15*2.355</f>
        <v>1.7052496125</v>
      </c>
      <c r="R374" s="42" t="str">
        <f aca="false">N374</f>
        <v>&amp;</v>
      </c>
      <c r="S374" s="45" t="n">
        <f aca="false">Sheet2!M15</f>
        <v>0.00504</v>
      </c>
      <c r="T374" s="42" t="str">
        <f aca="false">P374</f>
        <v>&amp;</v>
      </c>
      <c r="U374" s="42" t="n">
        <f aca="false">Sheet2!N15</f>
        <v>25.9378872328565</v>
      </c>
      <c r="V374" s="22" t="s">
        <v>350</v>
      </c>
      <c r="BZ374" s="0" t="s">
        <v>130</v>
      </c>
      <c r="CA374" s="0" t="n">
        <f aca="false">$CA$368</f>
        <v>1</v>
      </c>
      <c r="CB374" s="0" t="n">
        <f aca="false">$BZ$363</f>
        <v>2.61301306704253</v>
      </c>
      <c r="CC374" s="0" t="n">
        <f aca="false">$BZ$363 / $CA$374</f>
        <v>2.61301306704253</v>
      </c>
      <c r="CD374" s="0" t="n">
        <f aca="false">$BZ$362</f>
        <v>14.9305266767103</v>
      </c>
      <c r="CE374" s="0" t="n">
        <f aca="false">FDIST($BZ$362 , $CA$374 , $CA$362)</f>
        <v>0.0004341816871829</v>
      </c>
      <c r="CG374" s="0" t="s">
        <v>130</v>
      </c>
      <c r="CH374" s="0" t="n">
        <f aca="false">$CH$368</f>
        <v>1</v>
      </c>
      <c r="CI374" s="0" t="n">
        <f aca="false">$CG$363</f>
        <v>1.71494651729842</v>
      </c>
      <c r="CJ374" s="0" t="n">
        <f aca="false">$CG$363 / $CH$374</f>
        <v>1.71494651729842</v>
      </c>
      <c r="CK374" s="0" t="n">
        <f aca="false">$CG$362</f>
        <v>9.81269776524909</v>
      </c>
      <c r="CL374" s="0" t="n">
        <f aca="false">FDIST($CG$362 , $CH$374 , $CH$362)</f>
        <v>0.00338154513939687</v>
      </c>
      <c r="CN374" s="0" t="s">
        <v>130</v>
      </c>
      <c r="CO374" s="0" t="n">
        <f aca="false">$CO$368</f>
        <v>1</v>
      </c>
      <c r="CP374" s="0" t="n">
        <f aca="false">$CN$363</f>
        <v>1.50267819077047</v>
      </c>
      <c r="CQ374" s="0" t="n">
        <f aca="false">$CN$363 / $CO$374</f>
        <v>1.50267819077047</v>
      </c>
      <c r="CR374" s="0" t="n">
        <f aca="false">$CN$362</f>
        <v>7.10966581666782</v>
      </c>
      <c r="CS374" s="0" t="n">
        <f aca="false">FDIST($CN$362 , $CO$374 , $CO$362)</f>
        <v>0.0113022439791832</v>
      </c>
      <c r="CU374" s="0" t="s">
        <v>130</v>
      </c>
      <c r="CV374" s="0" t="n">
        <f aca="false">$CV$368</f>
        <v>1</v>
      </c>
      <c r="CW374" s="0" t="n">
        <f aca="false">$CU$363</f>
        <v>0.367985663647225</v>
      </c>
      <c r="CX374" s="0" t="n">
        <f aca="false">$CU$363 / $CV$374</f>
        <v>0.367985663647225</v>
      </c>
      <c r="CY374" s="0" t="n">
        <f aca="false">$CU$362</f>
        <v>5.2016777038493</v>
      </c>
      <c r="CZ374" s="0" t="n">
        <f aca="false">FDIST($CU$362 , $CV$374 , $CV$362)</f>
        <v>0.0284191948024243</v>
      </c>
      <c r="DC374" s="0" t="n">
        <v>2.53264650264469</v>
      </c>
      <c r="DD374" s="0" t="n">
        <v>8.36</v>
      </c>
      <c r="DE374" s="0" t="n">
        <v>1.54530711646582</v>
      </c>
      <c r="DF374" s="0" t="n">
        <v>1.41497334797082</v>
      </c>
      <c r="DG374" s="0" t="e">
        <v>#VALUE!</v>
      </c>
      <c r="DH374" s="0" t="n">
        <v>0</v>
      </c>
      <c r="DI374" s="0" t="e">
        <v>#VALUE!</v>
      </c>
      <c r="DJ374" s="0" t="n">
        <v>2.53264650264469</v>
      </c>
      <c r="DK374" s="0" t="n">
        <v>8.36</v>
      </c>
      <c r="DL374" s="0" t="n">
        <v>1.54530711646582</v>
      </c>
      <c r="DM374" s="0" t="n">
        <v>1.41497334797082</v>
      </c>
      <c r="DN374" s="0" t="n">
        <v>518.433445307607</v>
      </c>
      <c r="DO374" s="0" t="n">
        <v>40.3308782653967</v>
      </c>
      <c r="DP374" s="0" t="n">
        <v>-478.10256704221</v>
      </c>
      <c r="DQ374" s="0" t="n">
        <v>2.53264650264469</v>
      </c>
      <c r="DR374" s="0" t="n">
        <v>8.36</v>
      </c>
      <c r="DS374" s="0" t="n">
        <v>1.54530711646582</v>
      </c>
      <c r="DT374" s="0" t="n">
        <v>1.41497334797082</v>
      </c>
      <c r="DU374" s="0" t="n">
        <v>542.909093706474</v>
      </c>
      <c r="DV374" s="0" t="n">
        <v>40.6750396842358</v>
      </c>
      <c r="DW374" s="0" t="n">
        <v>-502.234054022239</v>
      </c>
      <c r="DX374" s="0" t="n">
        <v>2.53264650264469</v>
      </c>
      <c r="DY374" s="0" t="n">
        <v>8.36</v>
      </c>
      <c r="DZ374" s="0" t="n">
        <v>1.54530711646582</v>
      </c>
      <c r="EA374" s="0" t="n">
        <v>1.41497334797082</v>
      </c>
      <c r="EB374" s="0" t="n">
        <v>481.083764911537</v>
      </c>
      <c r="EC374" s="0" t="n">
        <v>40.6750396842358</v>
      </c>
      <c r="ED374" s="0" t="n">
        <v>-440.408725227301</v>
      </c>
    </row>
    <row r="375" customFormat="false" ht="12.8" hidden="false" customHeight="false" outlineLevel="0" collapsed="false">
      <c r="A375" s="22" t="n">
        <v>14</v>
      </c>
      <c r="B375" s="22" t="s">
        <v>241</v>
      </c>
      <c r="C375" s="22" t="s">
        <v>489</v>
      </c>
      <c r="D375" s="22" t="s">
        <v>241</v>
      </c>
      <c r="E375" s="42" t="n">
        <f aca="false">G16</f>
        <v>21.674400576023</v>
      </c>
      <c r="F375" s="42" t="s">
        <v>241</v>
      </c>
      <c r="G375" s="42" t="n">
        <f aca="false">H16</f>
        <v>0.3866</v>
      </c>
      <c r="H375" s="42" t="s">
        <v>241</v>
      </c>
      <c r="I375" s="42" t="n">
        <f aca="false">AN16</f>
        <v>2.73303288530501</v>
      </c>
      <c r="J375" s="42" t="s">
        <v>241</v>
      </c>
      <c r="K375" s="42" t="n">
        <f aca="false">P16</f>
        <v>5.3099925980755</v>
      </c>
      <c r="L375" s="42" t="s">
        <v>241</v>
      </c>
      <c r="M375" s="42" t="n">
        <f aca="false">Q16</f>
        <v>0.272</v>
      </c>
      <c r="N375" s="42" t="s">
        <v>241</v>
      </c>
      <c r="O375" s="42" t="n">
        <f aca="false">AS16</f>
        <v>0.729433124637375</v>
      </c>
      <c r="P375" s="42" t="s">
        <v>241</v>
      </c>
      <c r="Q375" s="42" t="n">
        <f aca="false">BC16*2.355</f>
        <v>1.127</v>
      </c>
      <c r="R375" s="42" t="str">
        <f aca="false">N375</f>
        <v>&amp;</v>
      </c>
      <c r="S375" s="45" t="n">
        <f aca="false">Sheet2!M16</f>
        <v>0.00212</v>
      </c>
      <c r="T375" s="42" t="str">
        <f aca="false">P375</f>
        <v>&amp;</v>
      </c>
      <c r="U375" s="42" t="n">
        <f aca="false">Sheet2!N16</f>
        <v>13.1442094764846</v>
      </c>
      <c r="V375" s="22" t="s">
        <v>350</v>
      </c>
      <c r="BZ375" s="0" t="s">
        <v>133</v>
      </c>
      <c r="CA375" s="0" t="n">
        <f aca="false">$CA$362</f>
        <v>37</v>
      </c>
      <c r="CB375" s="0" t="n">
        <f aca="false">$CA$363</f>
        <v>6.47542351144144</v>
      </c>
      <c r="CC375" s="0" t="n">
        <f aca="false">$CA$363 / $CA$362</f>
        <v>0.175011446255174</v>
      </c>
      <c r="CG375" s="0" t="s">
        <v>133</v>
      </c>
      <c r="CH375" s="0" t="n">
        <f aca="false">$CH$362</f>
        <v>37</v>
      </c>
      <c r="CI375" s="0" t="n">
        <f aca="false">$CH$363</f>
        <v>6.46641959816141</v>
      </c>
      <c r="CJ375" s="0" t="n">
        <f aca="false">$CH$363 / $CH$362</f>
        <v>0.174768097247606</v>
      </c>
      <c r="CN375" s="0" t="s">
        <v>133</v>
      </c>
      <c r="CO375" s="0" t="n">
        <f aca="false">$CO$362</f>
        <v>37</v>
      </c>
      <c r="CP375" s="0" t="n">
        <f aca="false">$CO$363</f>
        <v>7.82021187664846</v>
      </c>
      <c r="CQ375" s="0" t="n">
        <f aca="false">$CO$363 / $CO$362</f>
        <v>0.211357077747256</v>
      </c>
      <c r="CU375" s="0" t="s">
        <v>133</v>
      </c>
      <c r="CV375" s="0" t="n">
        <f aca="false">$CV$362</f>
        <v>37</v>
      </c>
      <c r="CW375" s="0" t="n">
        <f aca="false">$CV$363</f>
        <v>2.61751502690598</v>
      </c>
      <c r="CX375" s="0" t="n">
        <f aca="false">$CV$363 / $CV$362</f>
        <v>0.0707436493758373</v>
      </c>
      <c r="DC375" s="0" t="n">
        <v>2.34558873592099</v>
      </c>
      <c r="DD375" s="0" t="n">
        <v>8.25</v>
      </c>
      <c r="DE375" s="0" t="n">
        <v>1.53781909507327</v>
      </c>
      <c r="DF375" s="0" t="n">
        <v>2.03742649794062</v>
      </c>
      <c r="DG375" s="0" t="e">
        <v>#VALUE!</v>
      </c>
      <c r="DH375" s="0" t="n">
        <v>0</v>
      </c>
      <c r="DI375" s="0" t="e">
        <v>#VALUE!</v>
      </c>
      <c r="DJ375" s="0" t="n">
        <v>2.34558873592099</v>
      </c>
      <c r="DK375" s="0" t="n">
        <v>8.25</v>
      </c>
      <c r="DL375" s="0" t="n">
        <v>1.53781909507327</v>
      </c>
      <c r="DM375" s="0" t="n">
        <v>2.03742649794062</v>
      </c>
      <c r="DN375" s="0" t="n">
        <v>529.543052572297</v>
      </c>
      <c r="DO375" s="0" t="n">
        <v>40.5363222856562</v>
      </c>
      <c r="DP375" s="0" t="n">
        <v>-489.00673028664</v>
      </c>
      <c r="DQ375" s="0" t="n">
        <v>2.34558873592099</v>
      </c>
      <c r="DR375" s="0" t="n">
        <v>8.25</v>
      </c>
      <c r="DS375" s="0" t="n">
        <v>1.53781909507327</v>
      </c>
      <c r="DT375" s="0" t="n">
        <v>2.03742649794062</v>
      </c>
      <c r="DU375" s="0" t="n">
        <v>554.529348629228</v>
      </c>
      <c r="DV375" s="0" t="n">
        <v>40.8519069419647</v>
      </c>
      <c r="DW375" s="0" t="n">
        <v>-513.677441687264</v>
      </c>
      <c r="DX375" s="0" t="n">
        <v>2.34558873592099</v>
      </c>
      <c r="DY375" s="0" t="n">
        <v>8.25</v>
      </c>
      <c r="DZ375" s="0" t="n">
        <v>1.53781909507327</v>
      </c>
      <c r="EA375" s="0" t="n">
        <v>2.03742649794062</v>
      </c>
      <c r="EB375" s="0" t="n">
        <v>491.380730006199</v>
      </c>
      <c r="EC375" s="0" t="n">
        <v>40.8519069419647</v>
      </c>
      <c r="ED375" s="0" t="n">
        <v>-450.528823064234</v>
      </c>
    </row>
    <row r="376" customFormat="false" ht="12.8" hidden="false" customHeight="false" outlineLevel="0" collapsed="false">
      <c r="A376" s="22" t="n">
        <v>15</v>
      </c>
      <c r="B376" s="22" t="s">
        <v>241</v>
      </c>
      <c r="C376" s="22" t="s">
        <v>490</v>
      </c>
      <c r="D376" s="22" t="s">
        <v>241</v>
      </c>
      <c r="E376" s="42" t="n">
        <f aca="false">G17</f>
        <v>9.41017006802721</v>
      </c>
      <c r="F376" s="42" t="s">
        <v>241</v>
      </c>
      <c r="G376" s="42" t="n">
        <f aca="false">H17</f>
        <v>0.0637</v>
      </c>
      <c r="H376" s="42" t="s">
        <v>241</v>
      </c>
      <c r="I376" s="42" t="n">
        <f aca="false">AN17</f>
        <v>1.46598950138091</v>
      </c>
      <c r="J376" s="42" t="s">
        <v>241</v>
      </c>
      <c r="K376" s="42" t="n">
        <f aca="false">P17</f>
        <v>3.58126432789163</v>
      </c>
      <c r="L376" s="42" t="s">
        <v>241</v>
      </c>
      <c r="M376" s="42" t="n">
        <f aca="false">Q17</f>
        <v>0.05</v>
      </c>
      <c r="N376" s="42" t="s">
        <v>241</v>
      </c>
      <c r="O376" s="42" t="n">
        <f aca="false">AS17</f>
        <v>0.561984135063599</v>
      </c>
      <c r="P376" s="42" t="s">
        <v>241</v>
      </c>
      <c r="Q376" s="42" t="n">
        <f aca="false">BC17*2.355</f>
        <v>0.927561250000001</v>
      </c>
      <c r="R376" s="42" t="str">
        <f aca="false">N376</f>
        <v>&amp;</v>
      </c>
      <c r="S376" s="45" t="n">
        <f aca="false">Sheet2!M17</f>
        <v>0.01041</v>
      </c>
      <c r="T376" s="42" t="str">
        <f aca="false">P376</f>
        <v>&amp;</v>
      </c>
      <c r="U376" s="42" t="n">
        <f aca="false">Sheet2!N17</f>
        <v>47.4078314525385</v>
      </c>
      <c r="V376" s="22" t="s">
        <v>350</v>
      </c>
      <c r="BZ376" s="0" t="s">
        <v>136</v>
      </c>
      <c r="CA376" s="0" t="n">
        <f aca="false">$CA$374 + $CA$362</f>
        <v>38</v>
      </c>
      <c r="CB376" s="0" t="n">
        <f aca="false">$BZ$363 + $CA$363</f>
        <v>9.08843657848397</v>
      </c>
      <c r="CG376" s="0" t="s">
        <v>136</v>
      </c>
      <c r="CH376" s="0" t="n">
        <f aca="false">$CH$374 + $CH$362</f>
        <v>38</v>
      </c>
      <c r="CI376" s="0" t="n">
        <f aca="false">$CG$363 + $CH$363</f>
        <v>8.18136611545983</v>
      </c>
      <c r="CN376" s="0" t="s">
        <v>136</v>
      </c>
      <c r="CO376" s="0" t="n">
        <f aca="false">$CO$374 + $CO$362</f>
        <v>38</v>
      </c>
      <c r="CP376" s="0" t="n">
        <f aca="false">$CN$363 + $CO$363</f>
        <v>9.32289006741893</v>
      </c>
      <c r="CU376" s="0" t="s">
        <v>136</v>
      </c>
      <c r="CV376" s="0" t="n">
        <f aca="false">$CV$374 + $CV$362</f>
        <v>38</v>
      </c>
      <c r="CW376" s="0" t="n">
        <f aca="false">$CU$363 + $CV$363</f>
        <v>2.98550069055321</v>
      </c>
      <c r="DC376" s="0" t="n">
        <v>1.56423218661249</v>
      </c>
      <c r="DD376" s="0" t="n">
        <v>8.07</v>
      </c>
      <c r="DE376" s="0" t="n">
        <v>1.51719589794997</v>
      </c>
      <c r="DF376" s="0" t="n">
        <v>2.26481782300954</v>
      </c>
      <c r="DG376" s="0" t="e">
        <v>#VALUE!</v>
      </c>
      <c r="DH376" s="0" t="n">
        <v>0</v>
      </c>
      <c r="DI376" s="0" t="e">
        <v>#VALUE!</v>
      </c>
      <c r="DJ376" s="0" t="n">
        <v>1.56423218661249</v>
      </c>
      <c r="DK376" s="0" t="n">
        <v>8.07</v>
      </c>
      <c r="DL376" s="0" t="n">
        <v>1.51719589794997</v>
      </c>
      <c r="DM376" s="0" t="n">
        <v>2.26481782300954</v>
      </c>
      <c r="DN376" s="0" t="n">
        <v>503.173166203684</v>
      </c>
      <c r="DO376" s="0" t="n">
        <v>39.7119114592515</v>
      </c>
      <c r="DP376" s="0" t="n">
        <v>-463.461254744432</v>
      </c>
      <c r="DQ376" s="0" t="n">
        <v>1.56423218661249</v>
      </c>
      <c r="DR376" s="0" t="n">
        <v>8.07</v>
      </c>
      <c r="DS376" s="0" t="n">
        <v>1.51719589794997</v>
      </c>
      <c r="DT376" s="0" t="n">
        <v>2.26481782300954</v>
      </c>
      <c r="DU376" s="0" t="n">
        <v>526.947383345787</v>
      </c>
      <c r="DV376" s="0" t="n">
        <v>40.3675165950432</v>
      </c>
      <c r="DW376" s="0" t="n">
        <v>-486.579866750744</v>
      </c>
      <c r="DX376" s="0" t="n">
        <v>1.56423218661249</v>
      </c>
      <c r="DY376" s="0" t="n">
        <v>8.07</v>
      </c>
      <c r="DZ376" s="0" t="n">
        <v>1.51719589794997</v>
      </c>
      <c r="EA376" s="0" t="n">
        <v>2.26481782300954</v>
      </c>
      <c r="EB376" s="0" t="n">
        <v>466.939740057721</v>
      </c>
      <c r="EC376" s="0" t="n">
        <v>40.3675165950432</v>
      </c>
      <c r="ED376" s="0" t="n">
        <v>-426.572223462678</v>
      </c>
    </row>
    <row r="377" customFormat="false" ht="12.8" hidden="false" customHeight="false" outlineLevel="0" collapsed="false">
      <c r="A377" s="22" t="n">
        <v>16</v>
      </c>
      <c r="B377" s="22" t="s">
        <v>241</v>
      </c>
      <c r="C377" s="22" t="s">
        <v>491</v>
      </c>
      <c r="D377" s="22" t="s">
        <v>241</v>
      </c>
      <c r="E377" s="42" t="n">
        <f aca="false">G18</f>
        <v>14.0016692708333</v>
      </c>
      <c r="F377" s="42" t="s">
        <v>241</v>
      </c>
      <c r="G377" s="42" t="n">
        <f aca="false">H18</f>
        <v>0.1861</v>
      </c>
      <c r="H377" s="42" t="s">
        <v>241</v>
      </c>
      <c r="I377" s="42" t="n">
        <f aca="false">AN18</f>
        <v>2.03372026123031</v>
      </c>
      <c r="J377" s="42" t="s">
        <v>241</v>
      </c>
      <c r="K377" s="42" t="n">
        <f aca="false">P18</f>
        <v>4.06638012958963</v>
      </c>
      <c r="L377" s="42" t="s">
        <v>241</v>
      </c>
      <c r="M377" s="42" t="n">
        <f aca="false">Q18</f>
        <v>0.1</v>
      </c>
      <c r="N377" s="42" t="s">
        <v>241</v>
      </c>
      <c r="O377" s="42" t="n">
        <f aca="false">AS18</f>
        <v>0.621090812907053</v>
      </c>
      <c r="P377" s="42" t="s">
        <v>241</v>
      </c>
      <c r="Q377" s="42" t="n">
        <f aca="false">BC18*2.355</f>
        <v>0.954327500000001</v>
      </c>
      <c r="R377" s="42" t="str">
        <f aca="false">N377</f>
        <v>&amp;</v>
      </c>
      <c r="S377" s="45" t="n">
        <f aca="false">Sheet2!M18</f>
        <v>0.02377</v>
      </c>
      <c r="T377" s="42" t="str">
        <f aca="false">P377</f>
        <v>&amp;</v>
      </c>
      <c r="U377" s="42" t="n">
        <f aca="false">Sheet2!N18</f>
        <v>99.8945704021639</v>
      </c>
      <c r="V377" s="22" t="s">
        <v>350</v>
      </c>
      <c r="DC377" s="0" t="n">
        <v>1.84744322960342</v>
      </c>
      <c r="DD377" s="0" t="n">
        <v>8.07</v>
      </c>
      <c r="DE377" s="0" t="n">
        <v>1.32221929473392</v>
      </c>
      <c r="DF377" s="0" t="n">
        <v>1.69019608002851</v>
      </c>
      <c r="DG377" s="0" t="e">
        <v>#VALUE!</v>
      </c>
      <c r="DH377" s="0" t="n">
        <v>0</v>
      </c>
      <c r="DI377" s="0" t="e">
        <v>#VALUE!</v>
      </c>
      <c r="DJ377" s="0" t="n">
        <v>1.84744322960342</v>
      </c>
      <c r="DK377" s="0" t="n">
        <v>8.07</v>
      </c>
      <c r="DL377" s="0" t="n">
        <v>1.32221929473392</v>
      </c>
      <c r="DM377" s="0" t="n">
        <v>1.69019608002851</v>
      </c>
      <c r="DN377" s="0" t="n">
        <v>486.17585011246</v>
      </c>
      <c r="DO377" s="0" t="n">
        <v>39.8158956218551</v>
      </c>
      <c r="DP377" s="0" t="n">
        <v>-446.359954490605</v>
      </c>
      <c r="DQ377" s="0" t="n">
        <v>1.84744322960342</v>
      </c>
      <c r="DR377" s="0" t="n">
        <v>8.07</v>
      </c>
      <c r="DS377" s="0" t="n">
        <v>1.32221929473392</v>
      </c>
      <c r="DT377" s="0" t="n">
        <v>1.69019608002851</v>
      </c>
      <c r="DU377" s="0" t="n">
        <v>509.168793943225</v>
      </c>
      <c r="DV377" s="0" t="n">
        <v>40.2813702480347</v>
      </c>
      <c r="DW377" s="0" t="n">
        <v>-468.88742369519</v>
      </c>
      <c r="DX377" s="0" t="n">
        <v>1.84744322960342</v>
      </c>
      <c r="DY377" s="0" t="n">
        <v>8.07</v>
      </c>
      <c r="DZ377" s="0" t="n">
        <v>1.32221929473392</v>
      </c>
      <c r="EA377" s="0" t="n">
        <v>1.69019608002851</v>
      </c>
      <c r="EB377" s="0" t="n">
        <v>451.185738469335</v>
      </c>
      <c r="EC377" s="0" t="n">
        <v>40.2813702480347</v>
      </c>
      <c r="ED377" s="0" t="n">
        <v>-410.9043682213</v>
      </c>
    </row>
    <row r="378" customFormat="false" ht="12.8" hidden="false" customHeight="false" outlineLevel="0" collapsed="false">
      <c r="A378" s="22" t="n">
        <v>17</v>
      </c>
      <c r="B378" s="22" t="s">
        <v>241</v>
      </c>
      <c r="C378" s="22" t="s">
        <v>492</v>
      </c>
      <c r="D378" s="22" t="s">
        <v>241</v>
      </c>
      <c r="E378" s="42" t="n">
        <f aca="false">G19</f>
        <v>10.4783211678832</v>
      </c>
      <c r="F378" s="42" t="s">
        <v>241</v>
      </c>
      <c r="G378" s="42" t="n">
        <f aca="false">H19</f>
        <v>0.1988</v>
      </c>
      <c r="H378" s="42" t="s">
        <v>241</v>
      </c>
      <c r="I378" s="42" t="n">
        <f aca="false">AN19</f>
        <v>1.51003861079569</v>
      </c>
      <c r="J378" s="42" t="s">
        <v>241</v>
      </c>
      <c r="K378" s="42" t="n">
        <f aca="false">P19</f>
        <v>3.63878128400435</v>
      </c>
      <c r="L378" s="42" t="s">
        <v>241</v>
      </c>
      <c r="M378" s="42" t="n">
        <f aca="false">Q19</f>
        <v>0.12</v>
      </c>
      <c r="N378" s="42" t="s">
        <v>241</v>
      </c>
      <c r="O378" s="42" t="n">
        <f aca="false">AS19</f>
        <v>0.549570186009635</v>
      </c>
      <c r="P378" s="42" t="s">
        <v>241</v>
      </c>
      <c r="Q378" s="42" t="n">
        <f aca="false">BC19*2.355</f>
        <v>0.971635</v>
      </c>
      <c r="R378" s="42" t="str">
        <f aca="false">N378</f>
        <v>&amp;</v>
      </c>
      <c r="S378" s="45" t="n">
        <f aca="false">Sheet2!M19</f>
        <v>0.01454</v>
      </c>
      <c r="T378" s="42" t="str">
        <f aca="false">P378</f>
        <v>&amp;</v>
      </c>
      <c r="U378" s="42" t="n">
        <f aca="false">Sheet2!N19</f>
        <v>63.7331656134456</v>
      </c>
      <c r="V378" s="22" t="s">
        <v>350</v>
      </c>
      <c r="BZ378" s="0" t="s">
        <v>141</v>
      </c>
      <c r="CA378" s="0" t="n">
        <v>0.95</v>
      </c>
      <c r="CG378" s="0" t="s">
        <v>141</v>
      </c>
      <c r="CH378" s="0" t="n">
        <v>0.95</v>
      </c>
      <c r="CN378" s="0" t="s">
        <v>141</v>
      </c>
      <c r="CO378" s="0" t="n">
        <v>0.95</v>
      </c>
      <c r="CU378" s="0" t="s">
        <v>141</v>
      </c>
      <c r="CV378" s="0" t="n">
        <v>0.95</v>
      </c>
      <c r="DC378" s="0" t="n">
        <v>1.70817954621746</v>
      </c>
      <c r="DD378" s="0" t="n">
        <v>8.27</v>
      </c>
      <c r="DE378" s="0" t="n">
        <v>1.23299611039215</v>
      </c>
      <c r="DF378" s="0" t="n">
        <v>1.83250891270624</v>
      </c>
      <c r="DG378" s="0" t="e">
        <v>#VALUE!</v>
      </c>
      <c r="DH378" s="0" t="n">
        <v>0</v>
      </c>
      <c r="DI378" s="0" t="e">
        <v>#VALUE!</v>
      </c>
      <c r="DJ378" s="0" t="n">
        <v>1.70817954621746</v>
      </c>
      <c r="DK378" s="0" t="n">
        <v>8.27</v>
      </c>
      <c r="DL378" s="0" t="n">
        <v>1.23299611039215</v>
      </c>
      <c r="DM378" s="0" t="n">
        <v>1.83250891270624</v>
      </c>
      <c r="DN378" s="0" t="n">
        <v>490.153618226246</v>
      </c>
      <c r="DO378" s="0" t="n">
        <v>39.9770046637507</v>
      </c>
      <c r="DP378" s="0" t="n">
        <v>-450.176613562495</v>
      </c>
      <c r="DQ378" s="0" t="n">
        <v>1.70817954621746</v>
      </c>
      <c r="DR378" s="0" t="n">
        <v>8.27</v>
      </c>
      <c r="DS378" s="0" t="n">
        <v>1.23299611039215</v>
      </c>
      <c r="DT378" s="0" t="n">
        <v>1.83250891270624</v>
      </c>
      <c r="DU378" s="0" t="n">
        <v>513.329398220633</v>
      </c>
      <c r="DV378" s="0" t="n">
        <v>40.5618565782759</v>
      </c>
      <c r="DW378" s="0" t="n">
        <v>-472.767541642357</v>
      </c>
      <c r="DX378" s="0" t="n">
        <v>1.70817954621746</v>
      </c>
      <c r="DY378" s="0" t="n">
        <v>8.27</v>
      </c>
      <c r="DZ378" s="0" t="n">
        <v>1.23299611039215</v>
      </c>
      <c r="EA378" s="0" t="n">
        <v>1.83250891270624</v>
      </c>
      <c r="EB378" s="0" t="n">
        <v>454.872542012111</v>
      </c>
      <c r="EC378" s="0" t="n">
        <v>40.2717584423895</v>
      </c>
      <c r="ED378" s="0" t="n">
        <v>-414.600783569722</v>
      </c>
    </row>
    <row r="379" customFormat="false" ht="12.8" hidden="false" customHeight="false" outlineLevel="0" collapsed="false">
      <c r="A379" s="22" t="n">
        <v>18</v>
      </c>
      <c r="B379" s="22" t="s">
        <v>241</v>
      </c>
      <c r="C379" s="22" t="s">
        <v>493</v>
      </c>
      <c r="D379" s="22" t="s">
        <v>241</v>
      </c>
      <c r="E379" s="42" t="n">
        <f aca="false">G20</f>
        <v>15.7681314776429</v>
      </c>
      <c r="F379" s="42" t="s">
        <v>241</v>
      </c>
      <c r="G379" s="42" t="n">
        <f aca="false">H20</f>
        <v>0.0184</v>
      </c>
      <c r="H379" s="42" t="s">
        <v>241</v>
      </c>
      <c r="I379" s="42" t="n">
        <f aca="false">AN20</f>
        <v>2.51520497514579</v>
      </c>
      <c r="J379" s="42" t="s">
        <v>241</v>
      </c>
      <c r="K379" s="42" t="n">
        <f aca="false">P20</f>
        <v>3.31007988638381</v>
      </c>
      <c r="L379" s="42" t="s">
        <v>241</v>
      </c>
      <c r="M379" s="42" t="n">
        <f aca="false">Q20</f>
        <v>0.05</v>
      </c>
      <c r="N379" s="42" t="s">
        <v>241</v>
      </c>
      <c r="O379" s="42" t="n">
        <f aca="false">AS20</f>
        <v>0.519428953471293</v>
      </c>
      <c r="P379" s="42" t="s">
        <v>241</v>
      </c>
      <c r="Q379" s="42" t="n">
        <f aca="false">BC20*2.355</f>
        <v>1.021545</v>
      </c>
      <c r="R379" s="42" t="str">
        <f aca="false">N379</f>
        <v>&amp;</v>
      </c>
      <c r="S379" s="45" t="n">
        <f aca="false">Sheet2!M20</f>
        <v>0.02897</v>
      </c>
      <c r="T379" s="42" t="str">
        <f aca="false">P379</f>
        <v>&amp;</v>
      </c>
      <c r="U379" s="42" t="n">
        <f aca="false">Sheet2!N20</f>
        <v>115.793730126321</v>
      </c>
      <c r="V379" s="22" t="s">
        <v>350</v>
      </c>
      <c r="DC379" s="0" t="n">
        <v>1.57968225691357</v>
      </c>
      <c r="DD379" s="0" t="n">
        <v>7.89</v>
      </c>
      <c r="DE379" s="0" t="n">
        <v>1.23299611039215</v>
      </c>
      <c r="DF379" s="0" t="n">
        <v>1.79239168949825</v>
      </c>
      <c r="DG379" s="0" t="e">
        <v>#VALUE!</v>
      </c>
      <c r="DH379" s="0" t="n">
        <v>0</v>
      </c>
      <c r="DI379" s="0" t="e">
        <v>#VALUE!</v>
      </c>
      <c r="DJ379" s="0" t="n">
        <v>1.57968225691357</v>
      </c>
      <c r="DK379" s="0" t="n">
        <v>7.89</v>
      </c>
      <c r="DL379" s="0" t="n">
        <v>1.23299611039215</v>
      </c>
      <c r="DM379" s="0" t="n">
        <v>1.79239168949825</v>
      </c>
      <c r="DN379" s="0" t="n">
        <v>470.981706829857</v>
      </c>
      <c r="DO379" s="0" t="n">
        <v>39.0888685217564</v>
      </c>
      <c r="DP379" s="0" t="n">
        <v>-431.8928383081</v>
      </c>
      <c r="DQ379" s="0" t="n">
        <v>1.57968225691357</v>
      </c>
      <c r="DR379" s="0" t="n">
        <v>7.89</v>
      </c>
      <c r="DS379" s="0" t="n">
        <v>1.23299611039215</v>
      </c>
      <c r="DT379" s="0" t="n">
        <v>1.79239168949825</v>
      </c>
      <c r="DU379" s="0" t="n">
        <v>493.276259304501</v>
      </c>
      <c r="DV379" s="0" t="n">
        <v>39.807392282766</v>
      </c>
      <c r="DW379" s="0" t="n">
        <v>-453.468867021735</v>
      </c>
      <c r="DX379" s="0" t="n">
        <v>1.57968225691357</v>
      </c>
      <c r="DY379" s="0" t="n">
        <v>7.89</v>
      </c>
      <c r="DZ379" s="0" t="n">
        <v>1.23299611039215</v>
      </c>
      <c r="EA379" s="0" t="n">
        <v>1.79239168949825</v>
      </c>
      <c r="EB379" s="0" t="n">
        <v>437.103011753916</v>
      </c>
      <c r="EC379" s="0" t="n">
        <v>39.2678630647137</v>
      </c>
      <c r="ED379" s="0" t="n">
        <v>-397.835148689202</v>
      </c>
    </row>
    <row r="380" customFormat="false" ht="12.8" hidden="false" customHeight="false" outlineLevel="0" collapsed="false">
      <c r="A380" s="22" t="n">
        <v>19</v>
      </c>
      <c r="B380" s="22" t="s">
        <v>241</v>
      </c>
      <c r="C380" s="22" t="s">
        <v>494</v>
      </c>
      <c r="D380" s="22" t="s">
        <v>241</v>
      </c>
      <c r="E380" s="42" t="n">
        <f aca="false">G21</f>
        <v>16.7752444444444</v>
      </c>
      <c r="F380" s="42" t="s">
        <v>241</v>
      </c>
      <c r="G380" s="42" t="n">
        <f aca="false">H21</f>
        <v>0.3</v>
      </c>
      <c r="H380" s="42" t="s">
        <v>241</v>
      </c>
      <c r="I380" s="42" t="n">
        <f aca="false">AN21</f>
        <v>2.25966341038272</v>
      </c>
      <c r="J380" s="42" t="s">
        <v>241</v>
      </c>
      <c r="K380" s="42" t="n">
        <f aca="false">P21</f>
        <v>3.55833493558931</v>
      </c>
      <c r="L380" s="42" t="s">
        <v>241</v>
      </c>
      <c r="M380" s="42" t="n">
        <f aca="false">Q21</f>
        <v>0.1</v>
      </c>
      <c r="N380" s="42" t="s">
        <v>241</v>
      </c>
      <c r="O380" s="42" t="n">
        <f aca="false">AS21</f>
        <v>0.54349300048438</v>
      </c>
      <c r="P380" s="42" t="s">
        <v>241</v>
      </c>
      <c r="Q380" s="42" t="n">
        <f aca="false">BC21*2.355</f>
        <v>0.882279999999999</v>
      </c>
      <c r="R380" s="42" t="str">
        <f aca="false">N380</f>
        <v>&amp;</v>
      </c>
      <c r="S380" s="45" t="n">
        <f aca="false">Sheet2!M21</f>
        <v>0.01163</v>
      </c>
      <c r="T380" s="42" t="str">
        <f aca="false">P380</f>
        <v>&amp;</v>
      </c>
      <c r="U380" s="42" t="n">
        <f aca="false">Sheet2!N21</f>
        <v>48.661550524331</v>
      </c>
      <c r="V380" s="22" t="s">
        <v>350</v>
      </c>
      <c r="CA380" s="0" t="s">
        <v>146</v>
      </c>
      <c r="CB380" s="0" t="s">
        <v>106</v>
      </c>
      <c r="CC380" s="0" t="s">
        <v>147</v>
      </c>
      <c r="CD380" s="0" t="s">
        <v>148</v>
      </c>
      <c r="CE380" s="0" t="str">
        <f aca="false">_xlfn.CONCAT("Lower " , INT($CA$378 * 100) , "%")</f>
        <v>Lower 95%</v>
      </c>
      <c r="CF380" s="0" t="str">
        <f aca="false">_xlfn.CONCAT("Upper " , INT($CA$378 * 100) , "%")</f>
        <v>Upper 95%</v>
      </c>
      <c r="CH380" s="0" t="s">
        <v>146</v>
      </c>
      <c r="CI380" s="0" t="s">
        <v>106</v>
      </c>
      <c r="CJ380" s="0" t="s">
        <v>147</v>
      </c>
      <c r="CK380" s="0" t="s">
        <v>148</v>
      </c>
      <c r="CL380" s="0" t="str">
        <f aca="false">_xlfn.CONCAT("Lower " , INT($CH$378 * 100) , "%")</f>
        <v>Lower 95%</v>
      </c>
      <c r="CM380" s="0" t="str">
        <f aca="false">_xlfn.CONCAT("Upper " , INT($CH$378 * 100) , "%")</f>
        <v>Upper 95%</v>
      </c>
      <c r="CO380" s="0" t="s">
        <v>146</v>
      </c>
      <c r="CP380" s="0" t="s">
        <v>106</v>
      </c>
      <c r="CQ380" s="0" t="s">
        <v>147</v>
      </c>
      <c r="CR380" s="0" t="s">
        <v>148</v>
      </c>
      <c r="CS380" s="0" t="str">
        <f aca="false">_xlfn.CONCAT("Lower " , INT($CO$378 * 100) , "%")</f>
        <v>Lower 95%</v>
      </c>
      <c r="CT380" s="0" t="str">
        <f aca="false">_xlfn.CONCAT("Upper " , INT($CO$378 * 100) , "%")</f>
        <v>Upper 95%</v>
      </c>
      <c r="CV380" s="0" t="s">
        <v>146</v>
      </c>
      <c r="CW380" s="0" t="s">
        <v>106</v>
      </c>
      <c r="CX380" s="0" t="s">
        <v>147</v>
      </c>
      <c r="CY380" s="0" t="s">
        <v>148</v>
      </c>
      <c r="CZ380" s="0" t="str">
        <f aca="false">_xlfn.CONCAT("Lower " , INT($CV$378 * 100) , "%")</f>
        <v>Lower 95%</v>
      </c>
      <c r="DA380" s="0" t="str">
        <f aca="false">_xlfn.CONCAT("Upper " , INT($CV$378 * 100) , "%")</f>
        <v>Upper 95%</v>
      </c>
      <c r="DC380" s="0" t="n">
        <v>2.37246173690123</v>
      </c>
      <c r="DD380" s="0" t="n">
        <v>8.49</v>
      </c>
      <c r="DE380" s="0" t="n">
        <v>1.48572142648158</v>
      </c>
      <c r="DF380" s="0" t="n">
        <v>1.34242268082221</v>
      </c>
      <c r="DG380" s="0" t="e">
        <v>#VALUE!</v>
      </c>
      <c r="DH380" s="0" t="n">
        <v>0</v>
      </c>
      <c r="DI380" s="0" t="e">
        <v>#VALUE!</v>
      </c>
      <c r="DJ380" s="0" t="n">
        <v>2.37246173690123</v>
      </c>
      <c r="DK380" s="0" t="n">
        <v>8.49</v>
      </c>
      <c r="DL380" s="0" t="n">
        <v>1.48572142648158</v>
      </c>
      <c r="DM380" s="0" t="n">
        <v>1.34242268082221</v>
      </c>
      <c r="DN380" s="0" t="n">
        <v>512.760962873086</v>
      </c>
      <c r="DO380" s="0" t="n">
        <v>40.3263420583806</v>
      </c>
      <c r="DP380" s="0" t="n">
        <v>-472.434620814705</v>
      </c>
      <c r="DQ380" s="0" t="n">
        <v>2.37246173690123</v>
      </c>
      <c r="DR380" s="0" t="n">
        <v>8.49</v>
      </c>
      <c r="DS380" s="0" t="n">
        <v>1.48572142648158</v>
      </c>
      <c r="DT380" s="0" t="n">
        <v>1.34242268082221</v>
      </c>
      <c r="DU380" s="0" t="n">
        <v>536.975878394401</v>
      </c>
      <c r="DV380" s="0" t="n">
        <v>40.3264007404092</v>
      </c>
      <c r="DW380" s="0" t="n">
        <v>-496.649477653992</v>
      </c>
      <c r="DX380" s="0" t="n">
        <v>2.37246173690123</v>
      </c>
      <c r="DY380" s="0" t="n">
        <v>8.49</v>
      </c>
      <c r="DZ380" s="0" t="n">
        <v>1.48572142648158</v>
      </c>
      <c r="EA380" s="0" t="n">
        <v>1.34242268082221</v>
      </c>
      <c r="EB380" s="0" t="n">
        <v>475.826211495225</v>
      </c>
      <c r="EC380" s="0" t="n">
        <v>40.3264007404092</v>
      </c>
      <c r="ED380" s="0" t="n">
        <v>-435.499810754816</v>
      </c>
    </row>
    <row r="381" customFormat="false" ht="12.8" hidden="false" customHeight="false" outlineLevel="0" collapsed="false">
      <c r="A381" s="22" t="n">
        <v>20</v>
      </c>
      <c r="B381" s="22" t="s">
        <v>241</v>
      </c>
      <c r="C381" s="22" t="s">
        <v>495</v>
      </c>
      <c r="D381" s="22" t="s">
        <v>241</v>
      </c>
      <c r="E381" s="42" t="n">
        <f aca="false">G22</f>
        <v>17.0794587194608</v>
      </c>
      <c r="F381" s="42" t="s">
        <v>241</v>
      </c>
      <c r="G381" s="42" t="n">
        <f aca="false">H22</f>
        <v>0.1485</v>
      </c>
      <c r="H381" s="42" t="s">
        <v>241</v>
      </c>
      <c r="I381" s="42" t="n">
        <f aca="false">AN22</f>
        <v>2.53741968725155</v>
      </c>
      <c r="J381" s="42" t="s">
        <v>241</v>
      </c>
      <c r="K381" s="42" t="n">
        <f aca="false">P22</f>
        <v>4.57868251862435</v>
      </c>
      <c r="L381" s="42" t="s">
        <v>241</v>
      </c>
      <c r="M381" s="42" t="n">
        <f aca="false">Q22</f>
        <v>0.05</v>
      </c>
      <c r="N381" s="42" t="s">
        <v>241</v>
      </c>
      <c r="O381" s="42" t="n">
        <f aca="false">AS22</f>
        <v>0.718502377755176</v>
      </c>
      <c r="P381" s="42" t="s">
        <v>241</v>
      </c>
      <c r="Q381" s="42" t="n">
        <f aca="false">BC22*2.355</f>
        <v>1.080954</v>
      </c>
      <c r="R381" s="42" t="str">
        <f aca="false">N381</f>
        <v>&amp;</v>
      </c>
      <c r="S381" s="45" t="n">
        <f aca="false">Sheet2!M22</f>
        <v>0.00575</v>
      </c>
      <c r="T381" s="42" t="str">
        <f aca="false">P381</f>
        <v>&amp;</v>
      </c>
      <c r="U381" s="42" t="n">
        <f aca="false">Sheet2!N22</f>
        <v>25.4069797150106</v>
      </c>
      <c r="V381" s="22" t="s">
        <v>350</v>
      </c>
      <c r="BZ381" s="0" t="str">
        <f aca="false">"Intercept"</f>
        <v>Intercept</v>
      </c>
      <c r="CA381" s="0" t="n">
        <f aca="false" t="array" ref="CA381:CA382">INDEX($BZ$359:$CA$359, 1 , 383 - ROW())</f>
        <v>37.3390133130445</v>
      </c>
      <c r="CB381" s="0" t="n">
        <f aca="false" t="array" ref="CB381:CB382">INDEX($BZ$360:$CA$360, 1 , 383 - ROW())</f>
        <v>0.653317971734074</v>
      </c>
      <c r="CC381" s="0" t="n">
        <f aca="false" t="array" ref="CC381:CC382">$CA$381:$CA$382 / $CB$381:$CB$382</f>
        <v>57.152894805476</v>
      </c>
      <c r="CD381" s="0" t="n">
        <f aca="false" t="array" ref="CD381:CD382">TDIST(ABS($CC$381:$CC$382) , $CA$362 , 2 )</f>
        <v>1.06670776075386E-037</v>
      </c>
      <c r="CE381" s="0" t="n">
        <f aca="false" t="array" ref="CE381:CE382">$CA$381:$CA$382 - $CB$381:$CB$382 * TINV(1 - $CA$378 , $CA$362)</f>
        <v>36.0152653627554</v>
      </c>
      <c r="CF381" s="0" t="n">
        <f aca="false" t="array" ref="CF381:CF382">$CA$381:$CA$382 + $CB$381:$CB$382 * TINV(1 - $CA$378 , $CA$362)</f>
        <v>38.6627612633335</v>
      </c>
      <c r="CG381" s="0" t="str">
        <f aca="false">"Intercept"</f>
        <v>Intercept</v>
      </c>
      <c r="CH381" s="0" t="n">
        <f aca="false" t="array" ref="CH381:CH382">INDEX($CG$359:$CH$359, 1 , 383 - ROW())</f>
        <v>38.2880336665536</v>
      </c>
      <c r="CI381" s="0" t="n">
        <f aca="false" t="array" ref="CI381:CI382">INDEX($CG$360:$CH$360, 1 , 383 - ROW())</f>
        <v>0.652863602640462</v>
      </c>
      <c r="CJ381" s="0" t="n">
        <f aca="false" t="array" ref="CJ381:CJ382">$CH$381:$CH$382 / $CI$381:$CI$382</f>
        <v>58.646298417771</v>
      </c>
      <c r="CK381" s="0" t="n">
        <f aca="false" t="array" ref="CK381:CK382">TDIST(ABS($CJ$381:$CJ$382) , $CH$362 , 2 )</f>
        <v>4.14923117336856E-038</v>
      </c>
      <c r="CL381" s="0" t="n">
        <f aca="false" t="array" ref="CL381:CL382">$CH$381:$CH$382 - $CI$381:$CI$382 * TINV(1 - $CH$378 , $CH$362)</f>
        <v>36.9652063554975</v>
      </c>
      <c r="CM381" s="0" t="n">
        <f aca="false" t="array" ref="CM381:CM382">$CH$381:$CH$382 + $CI$381:$CI$382 * TINV(1 - $CH$378 , $CH$362)</f>
        <v>39.6108609776097</v>
      </c>
      <c r="CN381" s="0" t="str">
        <f aca="false">"Intercept"</f>
        <v>Intercept</v>
      </c>
      <c r="CO381" s="0" t="n">
        <f aca="false" t="array" ref="CO381:CO382">INDEX($CN$359:$CO$359, 1 , 383 - ROW())</f>
        <v>38.2244964172077</v>
      </c>
      <c r="CP381" s="0" t="n">
        <f aca="false" t="array" ref="CP381:CP382">INDEX($CN$360:$CO$360, 1 , 383 - ROW())</f>
        <v>0.717959218374604</v>
      </c>
      <c r="CQ381" s="0" t="n">
        <f aca="false" t="array" ref="CQ381:CQ382">$CO$381:$CO$382 / $CP$381:$CP$382</f>
        <v>53.2404841931616</v>
      </c>
      <c r="CR381" s="0" t="n">
        <f aca="false" t="array" ref="CR381:CR382">TDIST(ABS($CQ$381:$CQ$382) , $CO$362 , 2 )</f>
        <v>1.42612369489888E-036</v>
      </c>
      <c r="CS381" s="0" t="n">
        <f aca="false" t="array" ref="CS381:CS382">$CO$381:$CO$382 - $CP$381:$CP$382 * TINV(1 - $CO$378 , $CO$362)</f>
        <v>36.7697728601748</v>
      </c>
      <c r="CT381" s="0" t="n">
        <f aca="false" t="array" ref="CT381:CT382">$CO$381:$CO$382 + $CP$381:$CP$382 * TINV(1 - $CO$378 , $CO$362)</f>
        <v>39.6792199742406</v>
      </c>
      <c r="CU381" s="0" t="str">
        <f aca="false">"Intercept"</f>
        <v>Intercept</v>
      </c>
      <c r="CV381" s="0" t="n">
        <f aca="false" t="array" ref="CV381:CV382">INDEX($CU$359:$CV$359, 1 , 383 - ROW())</f>
        <v>1.68856933829021</v>
      </c>
      <c r="CW381" s="0" t="n">
        <f aca="false" t="array" ref="CW381:CW382">INDEX($CU$360:$CV$360, 1 , 383 - ROW())</f>
        <v>0.438588248120442</v>
      </c>
      <c r="CX381" s="0" t="n">
        <f aca="false" t="array" ref="CX381:CX382">$CV$381:$CV$382 / $CW$381:$CW$382</f>
        <v>3.85001044949683</v>
      </c>
      <c r="CY381" s="0" t="n">
        <f aca="false" t="array" ref="CY381:CY382">TDIST(ABS($CX$381:$CX$382) , $CV$362 , 2 )</f>
        <v>0.000452226379863033</v>
      </c>
      <c r="CZ381" s="0" t="n">
        <f aca="false" t="array" ref="CZ381:CZ382">$CV$381:$CV$382 - $CW$381:$CW$382 * TINV(1 - $CV$378 , $CV$362)</f>
        <v>0.799905135575428</v>
      </c>
      <c r="DA381" s="0" t="n">
        <f aca="false" t="array" ref="DA381:DA382">$CV$381:$CV$382 + $CW$381:$CW$382 * TINV(1 - $CV$378 , $CV$362)</f>
        <v>2.57723354100499</v>
      </c>
      <c r="DC381" s="0" t="n">
        <v>2.00306036143839</v>
      </c>
      <c r="DD381" s="0" t="n">
        <v>7.96</v>
      </c>
      <c r="DE381" s="0" t="n">
        <v>1.25527250510331</v>
      </c>
      <c r="DF381" s="0" t="n">
        <v>1.32221929473392</v>
      </c>
      <c r="DG381" s="0" t="e">
        <v>#VALUE!</v>
      </c>
      <c r="DH381" s="0" t="n">
        <v>0</v>
      </c>
      <c r="DI381" s="0" t="e">
        <v>#VALUE!</v>
      </c>
      <c r="DJ381" s="0" t="n">
        <v>2.00306036143839</v>
      </c>
      <c r="DK381" s="0" t="n">
        <v>7.96</v>
      </c>
      <c r="DL381" s="0" t="n">
        <v>1.25527250510331</v>
      </c>
      <c r="DM381" s="0" t="n">
        <v>1.32221929473392</v>
      </c>
      <c r="DN381" s="0" t="n">
        <v>472.57112682726</v>
      </c>
      <c r="DO381" s="0" t="n">
        <v>39.8138398098754</v>
      </c>
      <c r="DP381" s="0" t="n">
        <v>-432.757287017384</v>
      </c>
      <c r="DQ381" s="0" t="n">
        <v>2.00306036143839</v>
      </c>
      <c r="DR381" s="0" t="n">
        <v>7.96</v>
      </c>
      <c r="DS381" s="0" t="n">
        <v>1.25527250510331</v>
      </c>
      <c r="DT381" s="0" t="n">
        <v>1.32221929473392</v>
      </c>
      <c r="DU381" s="0" t="n">
        <v>494.938736213819</v>
      </c>
      <c r="DV381" s="0" t="n">
        <v>40.2861528339909</v>
      </c>
      <c r="DW381" s="0" t="n">
        <v>-454.652583379828</v>
      </c>
      <c r="DX381" s="0" t="n">
        <v>2.00306036143839</v>
      </c>
      <c r="DY381" s="0" t="n">
        <v>7.96</v>
      </c>
      <c r="DZ381" s="0" t="n">
        <v>1.25527250510331</v>
      </c>
      <c r="EA381" s="0" t="n">
        <v>1.32221929473392</v>
      </c>
      <c r="EB381" s="0" t="n">
        <v>438.576169341226</v>
      </c>
      <c r="EC381" s="0" t="n">
        <v>39.8999512285901</v>
      </c>
      <c r="ED381" s="0" t="n">
        <v>-398.676218112636</v>
      </c>
    </row>
    <row r="382" customFormat="false" ht="12.8" hidden="false" customHeight="false" outlineLevel="0" collapsed="false">
      <c r="A382" s="22" t="n">
        <v>21</v>
      </c>
      <c r="B382" s="22" t="s">
        <v>241</v>
      </c>
      <c r="C382" s="22" t="s">
        <v>496</v>
      </c>
      <c r="D382" s="22" t="s">
        <v>241</v>
      </c>
      <c r="E382" s="42" t="n">
        <f aca="false">G23</f>
        <v>14.8617655737705</v>
      </c>
      <c r="F382" s="42" t="s">
        <v>241</v>
      </c>
      <c r="G382" s="42" t="n">
        <f aca="false">H23</f>
        <v>0.3</v>
      </c>
      <c r="H382" s="42" t="s">
        <v>241</v>
      </c>
      <c r="I382" s="42" t="n">
        <f aca="false">AN23</f>
        <v>2.00191347386634</v>
      </c>
      <c r="J382" s="42" t="s">
        <v>241</v>
      </c>
      <c r="K382" s="42" t="n">
        <f aca="false">P23</f>
        <v>5.52049257232213</v>
      </c>
      <c r="L382" s="42" t="s">
        <v>241</v>
      </c>
      <c r="M382" s="42" t="n">
        <f aca="false">Q23</f>
        <v>0.14</v>
      </c>
      <c r="N382" s="42" t="s">
        <v>241</v>
      </c>
      <c r="O382" s="42" t="n">
        <f aca="false">AS23</f>
        <v>0.824238566569223</v>
      </c>
      <c r="P382" s="42" t="s">
        <v>241</v>
      </c>
      <c r="Q382" s="42" t="n">
        <f aca="false">BC23*2.355</f>
        <v>1.49282777777778</v>
      </c>
      <c r="R382" s="42" t="str">
        <f aca="false">N382</f>
        <v>&amp;</v>
      </c>
      <c r="S382" s="45" t="n">
        <f aca="false">Sheet2!M23</f>
        <v>0.0164</v>
      </c>
      <c r="T382" s="42" t="str">
        <f aca="false">P382</f>
        <v>&amp;</v>
      </c>
      <c r="U382" s="42" t="n">
        <f aca="false">Sheet2!N23</f>
        <v>68.824059915613</v>
      </c>
      <c r="V382" s="22" t="s">
        <v>350</v>
      </c>
      <c r="BS382" s="24"/>
      <c r="BZ382" s="24" t="str">
        <f aca="false">$BF$52</f>
        <v>log (R)</v>
      </c>
      <c r="CA382" s="0" t="n">
        <v>0.935539659275274</v>
      </c>
      <c r="CB382" s="0" t="n">
        <v>0.242116640315938</v>
      </c>
      <c r="CC382" s="0" t="n">
        <v>3.86400396955158</v>
      </c>
      <c r="CD382" s="0" t="n">
        <v>0.0004341816871829</v>
      </c>
      <c r="CE382" s="0" t="n">
        <v>0.444964747493191</v>
      </c>
      <c r="CF382" s="0" t="n">
        <v>1.42611457105736</v>
      </c>
      <c r="CG382" s="24" t="str">
        <f aca="false">$BF$52</f>
        <v>log (R)</v>
      </c>
      <c r="CH382" s="0" t="n">
        <v>0.757908368362654</v>
      </c>
      <c r="CI382" s="0" t="n">
        <v>0.241948253216289</v>
      </c>
      <c r="CJ382" s="0" t="n">
        <v>3.13252258814667</v>
      </c>
      <c r="CK382" s="0" t="n">
        <v>0.00338154513939687</v>
      </c>
      <c r="CL382" s="0" t="n">
        <v>0.267674641252751</v>
      </c>
      <c r="CM382" s="0" t="n">
        <v>1.24814209547256</v>
      </c>
      <c r="CN382" s="24" t="str">
        <f aca="false">$BF$52</f>
        <v>log (R)</v>
      </c>
      <c r="CO382" s="0" t="n">
        <v>0.709454264634644</v>
      </c>
      <c r="CP382" s="0" t="n">
        <v>0.266072389491026</v>
      </c>
      <c r="CQ382" s="0" t="n">
        <v>2.6663956601877</v>
      </c>
      <c r="CR382" s="0" t="n">
        <v>0.0113022439791833</v>
      </c>
      <c r="CS382" s="0" t="n">
        <v>0.170340394427781</v>
      </c>
      <c r="CT382" s="0" t="n">
        <v>1.24856813484151</v>
      </c>
      <c r="CU382" s="24" t="str">
        <f aca="false">$BG$52</f>
        <v>log (σHβ) (Km s-¹)</v>
      </c>
      <c r="CV382" s="0" t="n">
        <v>0.728237192502976</v>
      </c>
      <c r="CW382" s="0" t="n">
        <v>0.319301629977701</v>
      </c>
      <c r="CX382" s="0" t="n">
        <v>2.28071868143559</v>
      </c>
      <c r="CY382" s="0" t="n">
        <v>0.0284191948024243</v>
      </c>
      <c r="CZ382" s="0" t="n">
        <v>0.0812706364092489</v>
      </c>
      <c r="DA382" s="0" t="n">
        <v>1.3752037485967</v>
      </c>
      <c r="DC382" s="0" t="n">
        <v>2.15672838520209</v>
      </c>
      <c r="DD382" s="0" t="n">
        <v>8.02</v>
      </c>
      <c r="DE382" s="0" t="n">
        <v>1.39269695325967</v>
      </c>
      <c r="DF382" s="0" t="n">
        <v>1.55630250076729</v>
      </c>
      <c r="DG382" s="0" t="e">
        <v>#VALUE!</v>
      </c>
      <c r="DH382" s="0" t="n">
        <v>0</v>
      </c>
      <c r="DI382" s="0" t="e">
        <v>#VALUE!</v>
      </c>
      <c r="DJ382" s="0" t="n">
        <v>2.15672838520209</v>
      </c>
      <c r="DK382" s="0" t="n">
        <v>8.02</v>
      </c>
      <c r="DL382" s="0" t="n">
        <v>1.39269695325967</v>
      </c>
      <c r="DM382" s="0" t="n">
        <v>1.55630250076729</v>
      </c>
      <c r="DN382" s="0" t="n">
        <v>493.02070661996</v>
      </c>
      <c r="DO382" s="0" t="n">
        <v>39.5808250944804</v>
      </c>
      <c r="DP382" s="0" t="n">
        <v>-453.43988152548</v>
      </c>
      <c r="DQ382" s="0" t="n">
        <v>2.15672838520209</v>
      </c>
      <c r="DR382" s="0" t="n">
        <v>8.02</v>
      </c>
      <c r="DS382" s="0" t="n">
        <v>1.39269695325967</v>
      </c>
      <c r="DT382" s="0" t="n">
        <v>1.55630250076729</v>
      </c>
      <c r="DU382" s="0" t="n">
        <v>516.328270928484</v>
      </c>
      <c r="DV382" s="0" t="n">
        <v>40.2880850465456</v>
      </c>
      <c r="DW382" s="0" t="n">
        <v>-476.040185881939</v>
      </c>
      <c r="DX382" s="0" t="n">
        <v>2.15672838520209</v>
      </c>
      <c r="DY382" s="0" t="n">
        <v>8.02</v>
      </c>
      <c r="DZ382" s="0" t="n">
        <v>1.39269695325967</v>
      </c>
      <c r="EA382" s="0" t="n">
        <v>1.55630250076729</v>
      </c>
      <c r="EB382" s="0" t="n">
        <v>457.529909496848</v>
      </c>
      <c r="EC382" s="0" t="n">
        <v>39.4996349548837</v>
      </c>
      <c r="ED382" s="0" t="n">
        <v>-418.030274541965</v>
      </c>
    </row>
    <row r="383" customFormat="false" ht="12.8" hidden="false" customHeight="false" outlineLevel="0" collapsed="false">
      <c r="A383" s="22" t="n">
        <v>22</v>
      </c>
      <c r="B383" s="22" t="s">
        <v>241</v>
      </c>
      <c r="C383" s="22" t="s">
        <v>497</v>
      </c>
      <c r="D383" s="22" t="s">
        <v>241</v>
      </c>
      <c r="E383" s="42" t="n">
        <f aca="false">G24</f>
        <v>21.5633047690015</v>
      </c>
      <c r="F383" s="42" t="s">
        <v>241</v>
      </c>
      <c r="G383" s="42" t="n">
        <f aca="false">H24</f>
        <v>0.45</v>
      </c>
      <c r="H383" s="42" t="s">
        <v>241</v>
      </c>
      <c r="I383" s="42" t="n">
        <f aca="false">AN24</f>
        <v>2.57467574609489</v>
      </c>
      <c r="J383" s="42" t="s">
        <v>241</v>
      </c>
      <c r="K383" s="42" t="n">
        <f aca="false">P24</f>
        <v>4.52864208707102</v>
      </c>
      <c r="L383" s="42" t="s">
        <v>241</v>
      </c>
      <c r="M383" s="42" t="n">
        <f aca="false">Q24</f>
        <v>0.05</v>
      </c>
      <c r="N383" s="42" t="s">
        <v>241</v>
      </c>
      <c r="O383" s="42" t="n">
        <f aca="false">AS24</f>
        <v>0.710649863651236</v>
      </c>
      <c r="P383" s="42" t="s">
        <v>241</v>
      </c>
      <c r="Q383" s="42" t="n">
        <f aca="false">BC24*2.355</f>
        <v>1.5355375</v>
      </c>
      <c r="R383" s="42" t="str">
        <f aca="false">N383</f>
        <v>&amp;</v>
      </c>
      <c r="S383" s="45" t="n">
        <f aca="false">Sheet2!M24</f>
        <v>0.02579</v>
      </c>
      <c r="T383" s="42" t="str">
        <f aca="false">P383</f>
        <v>&amp;</v>
      </c>
      <c r="U383" s="42" t="n">
        <f aca="false">Sheet2!N24</f>
        <v>105.393693408515</v>
      </c>
      <c r="V383" s="22" t="s">
        <v>350</v>
      </c>
      <c r="DC383" s="0" t="n">
        <v>1.78422575681948</v>
      </c>
      <c r="DD383" s="0" t="n">
        <v>8.28</v>
      </c>
      <c r="DE383" s="0" t="n">
        <v>1.50379068305718</v>
      </c>
      <c r="DF383" s="0" t="n">
        <v>1.79239168949825</v>
      </c>
      <c r="DG383" s="0" t="e">
        <v>#VALUE!</v>
      </c>
      <c r="DH383" s="0" t="n">
        <v>0</v>
      </c>
      <c r="DI383" s="0" t="e">
        <v>#VALUE!</v>
      </c>
      <c r="DJ383" s="0" t="n">
        <v>1.78422575681948</v>
      </c>
      <c r="DK383" s="0" t="n">
        <v>8.28</v>
      </c>
      <c r="DL383" s="0" t="n">
        <v>1.50379068305718</v>
      </c>
      <c r="DM383" s="0" t="n">
        <v>1.79239168949825</v>
      </c>
      <c r="DN383" s="0" t="n">
        <v>501.221856291621</v>
      </c>
      <c r="DO383" s="0" t="n">
        <v>40.3643638589132</v>
      </c>
      <c r="DP383" s="0" t="n">
        <v>-460.857492432708</v>
      </c>
      <c r="DQ383" s="0" t="n">
        <v>1.78422575681948</v>
      </c>
      <c r="DR383" s="0" t="n">
        <v>8.28</v>
      </c>
      <c r="DS383" s="0" t="n">
        <v>1.50379068305718</v>
      </c>
      <c r="DT383" s="0" t="n">
        <v>1.79239168949825</v>
      </c>
      <c r="DU383" s="0" t="n">
        <v>524.906382429082</v>
      </c>
      <c r="DV383" s="0" t="n">
        <v>41.0286745143046</v>
      </c>
      <c r="DW383" s="0" t="n">
        <v>-483.877707914778</v>
      </c>
      <c r="DX383" s="0" t="n">
        <v>1.78422575681948</v>
      </c>
      <c r="DY383" s="0" t="n">
        <v>8.28</v>
      </c>
      <c r="DZ383" s="0" t="n">
        <v>1.50379068305718</v>
      </c>
      <c r="EA383" s="0" t="n">
        <v>1.79239168949825</v>
      </c>
      <c r="EB383" s="0" t="n">
        <v>465.131163969056</v>
      </c>
      <c r="EC383" s="0" t="n">
        <v>40.3849932800756</v>
      </c>
      <c r="ED383" s="0" t="n">
        <v>-424.746170688981</v>
      </c>
    </row>
    <row r="384" customFormat="false" ht="12.8" hidden="false" customHeight="false" outlineLevel="0" collapsed="false">
      <c r="A384" s="22" t="n">
        <v>23</v>
      </c>
      <c r="B384" s="22" t="s">
        <v>241</v>
      </c>
      <c r="C384" s="22" t="s">
        <v>498</v>
      </c>
      <c r="D384" s="22" t="s">
        <v>241</v>
      </c>
      <c r="E384" s="42" t="n">
        <f aca="false">G25</f>
        <v>40.0231638846738</v>
      </c>
      <c r="F384" s="42" t="s">
        <v>241</v>
      </c>
      <c r="G384" s="42" t="n">
        <f aca="false">H25</f>
        <v>0.232</v>
      </c>
      <c r="H384" s="42" t="s">
        <v>241</v>
      </c>
      <c r="I384" s="42" t="n">
        <f aca="false">AN25</f>
        <v>5.64700150217643</v>
      </c>
      <c r="J384" s="42" t="s">
        <v>241</v>
      </c>
      <c r="K384" s="42" t="n">
        <f aca="false">P25</f>
        <v>3.8220422474985</v>
      </c>
      <c r="L384" s="42" t="s">
        <v>241</v>
      </c>
      <c r="M384" s="42" t="n">
        <f aca="false">Q25</f>
        <v>0.05</v>
      </c>
      <c r="N384" s="42" t="s">
        <v>241</v>
      </c>
      <c r="O384" s="42" t="n">
        <f aca="false">AS25</f>
        <v>0.599767822192984</v>
      </c>
      <c r="P384" s="42" t="s">
        <v>241</v>
      </c>
      <c r="Q384" s="42" t="n">
        <f aca="false">BC25*2.355</f>
        <v>0.891582222222223</v>
      </c>
      <c r="R384" s="42" t="str">
        <f aca="false">N384</f>
        <v>&amp;</v>
      </c>
      <c r="S384" s="45" t="n">
        <f aca="false">Sheet2!M25</f>
        <v>0.00334</v>
      </c>
      <c r="T384" s="42" t="str">
        <f aca="false">P384</f>
        <v>&amp;</v>
      </c>
      <c r="U384" s="42" t="n">
        <f aca="false">Sheet2!N25</f>
        <v>18.6750423855616</v>
      </c>
      <c r="V384" s="22" t="s">
        <v>350</v>
      </c>
      <c r="BZ384" s="0" t="str">
        <f aca="false">$BF$52</f>
        <v>log (R)</v>
      </c>
      <c r="CA384" s="0" t="s">
        <v>157</v>
      </c>
      <c r="CB384" s="0" t="str">
        <f aca="false">$BF$2</f>
        <v>log (LHβ) (erg s-¹) KTC</v>
      </c>
      <c r="CC384" s="0" t="s">
        <v>133</v>
      </c>
      <c r="CD384" s="26" t="s">
        <v>158</v>
      </c>
      <c r="CG384" s="0" t="str">
        <f aca="false">$BF$52</f>
        <v>log (R)</v>
      </c>
      <c r="CH384" s="0" t="s">
        <v>157</v>
      </c>
      <c r="CI384" s="0" t="str">
        <f aca="false">$BG$2</f>
        <v>log (LHβ) (erg s-¹) NTT</v>
      </c>
      <c r="CJ384" s="0" t="s">
        <v>133</v>
      </c>
      <c r="CK384" s="26" t="s">
        <v>158</v>
      </c>
      <c r="CN384" s="0" t="str">
        <f aca="false">$BF$52</f>
        <v>log (R)</v>
      </c>
      <c r="CO384" s="0" t="s">
        <v>157</v>
      </c>
      <c r="CP384" s="0" t="str">
        <f aca="false">$BH$2</f>
        <v>log(LHβ) B.K (erg s-¹) NTT</v>
      </c>
      <c r="CQ384" s="0" t="s">
        <v>133</v>
      </c>
      <c r="CR384" s="26" t="s">
        <v>158</v>
      </c>
      <c r="CU384" s="0" t="str">
        <f aca="false">$BG$52</f>
        <v>log (σHβ) (Km s-¹)</v>
      </c>
      <c r="CV384" s="0" t="s">
        <v>157</v>
      </c>
      <c r="CW384" s="0" t="str">
        <f aca="false">$BF$52</f>
        <v>log (R)</v>
      </c>
      <c r="CX384" s="0" t="s">
        <v>133</v>
      </c>
      <c r="CY384" s="26" t="s">
        <v>158</v>
      </c>
      <c r="DC384" s="0" t="n">
        <v>1.79879437718644</v>
      </c>
      <c r="DD384" s="0" t="n">
        <v>7.54</v>
      </c>
      <c r="DE384" s="0" t="n">
        <v>1.24303804868629</v>
      </c>
      <c r="DF384" s="0" t="n">
        <v>2.11058971029925</v>
      </c>
      <c r="DG384" s="0" t="e">
        <v>#VALUE!</v>
      </c>
      <c r="DH384" s="0" t="n">
        <v>0</v>
      </c>
      <c r="DI384" s="0" t="e">
        <v>#VALUE!</v>
      </c>
      <c r="DJ384" s="0" t="n">
        <v>1.79879437718644</v>
      </c>
      <c r="DK384" s="0" t="n">
        <v>7.54</v>
      </c>
      <c r="DL384" s="0" t="n">
        <v>1.24303804868629</v>
      </c>
      <c r="DM384" s="0" t="n">
        <v>2.11058971029925</v>
      </c>
      <c r="DN384" s="0" t="n">
        <v>477.878382898838</v>
      </c>
      <c r="DO384" s="0" t="n">
        <v>39.8907352023789</v>
      </c>
      <c r="DP384" s="0" t="n">
        <v>-437.987647696459</v>
      </c>
      <c r="DQ384" s="0" t="n">
        <v>1.79879437718644</v>
      </c>
      <c r="DR384" s="0" t="n">
        <v>7.54</v>
      </c>
      <c r="DS384" s="0" t="n">
        <v>1.24303804868629</v>
      </c>
      <c r="DT384" s="0" t="n">
        <v>2.11058971029925</v>
      </c>
      <c r="DU384" s="0" t="n">
        <v>500.489937712012</v>
      </c>
      <c r="DV384" s="0" t="n">
        <v>40.3666338830954</v>
      </c>
      <c r="DW384" s="0" t="n">
        <v>-460.123303828917</v>
      </c>
      <c r="DX384" s="0" t="n">
        <v>1.79879437718644</v>
      </c>
      <c r="DY384" s="0" t="n">
        <v>7.54</v>
      </c>
      <c r="DZ384" s="0" t="n">
        <v>1.24303804868629</v>
      </c>
      <c r="EA384" s="0" t="n">
        <v>2.11058971029925</v>
      </c>
      <c r="EB384" s="0" t="n">
        <v>443.495211861403</v>
      </c>
      <c r="EC384" s="0" t="n">
        <v>40.0674853105121</v>
      </c>
      <c r="ED384" s="0" t="n">
        <v>-403.427726550891</v>
      </c>
    </row>
    <row r="385" customFormat="false" ht="12.8" hidden="false" customHeight="false" outlineLevel="0" collapsed="false">
      <c r="A385" s="22" t="n">
        <v>24</v>
      </c>
      <c r="B385" s="22" t="s">
        <v>241</v>
      </c>
      <c r="C385" s="22" t="s">
        <v>499</v>
      </c>
      <c r="D385" s="22" t="s">
        <v>241</v>
      </c>
      <c r="E385" s="42" t="n">
        <f aca="false">G26</f>
        <v>48.1978228388474</v>
      </c>
      <c r="F385" s="42" t="s">
        <v>241</v>
      </c>
      <c r="G385" s="42" t="n">
        <f aca="false">H26</f>
        <v>0.2165</v>
      </c>
      <c r="H385" s="42" t="s">
        <v>241</v>
      </c>
      <c r="I385" s="42" t="n">
        <f aca="false">AN26</f>
        <v>6.86867230771534</v>
      </c>
      <c r="J385" s="42" t="s">
        <v>241</v>
      </c>
      <c r="K385" s="42" t="n">
        <f aca="false">P26</f>
        <v>5.16973307912297</v>
      </c>
      <c r="L385" s="42" t="s">
        <v>241</v>
      </c>
      <c r="M385" s="42" t="n">
        <f aca="false">Q26</f>
        <v>0.05</v>
      </c>
      <c r="N385" s="42" t="s">
        <v>241</v>
      </c>
      <c r="O385" s="42" t="n">
        <f aca="false">AS26</f>
        <v>0.811252034750259</v>
      </c>
      <c r="P385" s="42" t="s">
        <v>241</v>
      </c>
      <c r="Q385" s="42" t="n">
        <f aca="false">BC26*2.355</f>
        <v>0.758632</v>
      </c>
      <c r="R385" s="42" t="str">
        <f aca="false">N385</f>
        <v>&amp;</v>
      </c>
      <c r="S385" s="45" t="n">
        <f aca="false">Sheet2!M26</f>
        <v>0.0037</v>
      </c>
      <c r="T385" s="42" t="str">
        <f aca="false">P385</f>
        <v>&amp;</v>
      </c>
      <c r="U385" s="42" t="n">
        <f aca="false">Sheet2!N26</f>
        <v>20.0513455400829</v>
      </c>
      <c r="V385" s="22" t="s">
        <v>350</v>
      </c>
      <c r="BZ385" s="0" t="n">
        <f aca="false" t="array" ref="BZ385:BZ423">$BF$53:$BF$91</f>
        <v>2.62956092768934</v>
      </c>
      <c r="CA385" s="0" t="n">
        <f aca="false" t="array" ref="CA385:CA423">MMULT($BZ$385:$BZ$423 , $CA$382) + $CA$381</f>
        <v>39.7990718473785</v>
      </c>
      <c r="CB385" s="0" t="n">
        <f aca="false" t="array" ref="CB385:CB423">$BF$3:$BF$41</f>
        <v>39.4693811697741</v>
      </c>
      <c r="CC385" s="0" t="n">
        <f aca="false" t="array" ref="CC385:CC423">$CB$385:$CB$423 - $CA$385:$CA$423</f>
        <v>-0.329690677604447</v>
      </c>
      <c r="CD385" s="20" t="n">
        <f aca="false">(CC385)^2</f>
        <v>0.108695942899279</v>
      </c>
      <c r="CG385" s="0" t="n">
        <f aca="false" t="array" ref="CG385:CG423">$BF$53:$BF$91</f>
        <v>2.62956092768934</v>
      </c>
      <c r="CH385" s="0" t="n">
        <f aca="false" t="array" ref="CH385:CH423">MMULT($CG$385:$CG$423 , $CH$382) + $CH$381</f>
        <v>40.2809998987688</v>
      </c>
      <c r="CI385" s="0" t="n">
        <f aca="false" t="array" ref="CI385:CI423">$BG$3:$BG$41</f>
        <v>39.926839874903</v>
      </c>
      <c r="CJ385" s="0" t="n">
        <f aca="false" t="array" ref="CJ385:CJ423">$CI$385:$CI$423 - $CH$385:$CH$423</f>
        <v>-0.354160023865809</v>
      </c>
      <c r="CK385" s="20" t="n">
        <f aca="false">(CJ385)^2</f>
        <v>0.12542932250463</v>
      </c>
      <c r="CN385" s="0" t="n">
        <f aca="false" t="array" ref="CN385:CN423">$BF$53:$BF$91</f>
        <v>2.62956092768934</v>
      </c>
      <c r="CO385" s="0" t="n">
        <f aca="false" t="array" ref="CO385:CO423">MMULT($CN$385:$CN$423 , $CO$382) + $CO$381</f>
        <v>40.0900496314735</v>
      </c>
      <c r="CP385" s="0" t="n">
        <f aca="false" t="array" ref="CP385:CP423">$BH$3:$BH$41</f>
        <v>39.926839874903</v>
      </c>
      <c r="CQ385" s="0" t="n">
        <f aca="false" t="array" ref="CQ385:CQ423">$CP$385:$CP$423 - $CO$385:$CO$423</f>
        <v>-0.163209756570538</v>
      </c>
      <c r="CR385" s="20" t="n">
        <f aca="false">(CQ385)^2</f>
        <v>0.0266374246398142</v>
      </c>
      <c r="CU385" s="0" t="n">
        <f aca="false" t="array" ref="CU385:CU423">$BG$53:$BG$91</f>
        <v>1.18752072083646</v>
      </c>
      <c r="CV385" s="0" t="n">
        <f aca="false" t="array" ref="CV385:CV423">MMULT($CU$385:$CU$423 , $CV$382) + $CV$381</f>
        <v>2.55336609407126</v>
      </c>
      <c r="CW385" s="0" t="n">
        <f aca="false" t="array" ref="CW385:CW423">$BF$53:$BF$91</f>
        <v>2.62956092768934</v>
      </c>
      <c r="CX385" s="0" t="n">
        <f aca="false" t="array" ref="CX385:CX423">$CW$385:$CW$423 - $CV$385:$CV$423</f>
        <v>0.0761948336180769</v>
      </c>
      <c r="CY385" s="20" t="n">
        <f aca="false">(CX385)^2</f>
        <v>0.00580565267008642</v>
      </c>
      <c r="DC385" s="0" t="n">
        <v>1.83140139602582</v>
      </c>
      <c r="DD385" s="0" t="n">
        <v>8.26</v>
      </c>
      <c r="DE385" s="0" t="n">
        <v>1.3096301674259</v>
      </c>
      <c r="DF385" s="0" t="n">
        <v>1.70757017609794</v>
      </c>
      <c r="DG385" s="0" t="e">
        <v>#VALUE!</v>
      </c>
      <c r="DH385" s="0" t="n">
        <v>0</v>
      </c>
      <c r="DI385" s="0" t="e">
        <v>#VALUE!</v>
      </c>
      <c r="DJ385" s="0" t="n">
        <v>1.83140139602582</v>
      </c>
      <c r="DK385" s="0" t="n">
        <v>8.26</v>
      </c>
      <c r="DL385" s="0" t="n">
        <v>1.3096301674259</v>
      </c>
      <c r="DM385" s="0" t="n">
        <v>1.70757017609794</v>
      </c>
      <c r="DN385" s="0" t="n">
        <v>492.422217046442</v>
      </c>
      <c r="DO385" s="0" t="n">
        <v>39.8855611883631</v>
      </c>
      <c r="DP385" s="0" t="n">
        <v>-452.536655858079</v>
      </c>
      <c r="DQ385" s="0" t="n">
        <v>1.83140139602582</v>
      </c>
      <c r="DR385" s="0" t="n">
        <v>8.26</v>
      </c>
      <c r="DS385" s="0" t="n">
        <v>1.3096301674259</v>
      </c>
      <c r="DT385" s="0" t="n">
        <v>1.70757017609794</v>
      </c>
      <c r="DU385" s="0" t="n">
        <v>515.702272074772</v>
      </c>
      <c r="DV385" s="0" t="n">
        <v>40.3210963526474</v>
      </c>
      <c r="DW385" s="0" t="n">
        <v>-475.381175722125</v>
      </c>
      <c r="DX385" s="0" t="n">
        <v>1.83140139602582</v>
      </c>
      <c r="DY385" s="0" t="n">
        <v>8.26</v>
      </c>
      <c r="DZ385" s="0" t="n">
        <v>1.3096301674259</v>
      </c>
      <c r="EA385" s="0" t="n">
        <v>1.70757017609794</v>
      </c>
      <c r="EB385" s="0" t="n">
        <v>456.975198056452</v>
      </c>
      <c r="EC385" s="0" t="n">
        <v>40.3210963526474</v>
      </c>
      <c r="ED385" s="0" t="n">
        <v>-416.654101703805</v>
      </c>
    </row>
    <row r="386" customFormat="false" ht="12.8" hidden="false" customHeight="false" outlineLevel="0" collapsed="false">
      <c r="A386" s="22" t="n">
        <v>25</v>
      </c>
      <c r="B386" s="22" t="s">
        <v>241</v>
      </c>
      <c r="C386" s="22" t="s">
        <v>500</v>
      </c>
      <c r="D386" s="22" t="s">
        <v>241</v>
      </c>
      <c r="E386" s="42" t="n">
        <f aca="false">G27</f>
        <v>17.6214436660158</v>
      </c>
      <c r="F386" s="42" t="s">
        <v>241</v>
      </c>
      <c r="G386" s="42" t="n">
        <f aca="false">H27</f>
        <v>0.4176</v>
      </c>
      <c r="H386" s="42" t="s">
        <v>241</v>
      </c>
      <c r="I386" s="42" t="n">
        <f aca="false">AN27</f>
        <v>2.16510042373618</v>
      </c>
      <c r="J386" s="42" t="s">
        <v>241</v>
      </c>
      <c r="K386" s="42" t="n">
        <f aca="false">P27</f>
        <v>5.37401324503311</v>
      </c>
      <c r="L386" s="42" t="s">
        <v>241</v>
      </c>
      <c r="M386" s="42" t="n">
        <f aca="false">Q27</f>
        <v>0.156</v>
      </c>
      <c r="N386" s="42" t="s">
        <v>241</v>
      </c>
      <c r="O386" s="42" t="n">
        <f aca="false">AS27</f>
        <v>0.794869497929911</v>
      </c>
      <c r="P386" s="42" t="s">
        <v>241</v>
      </c>
      <c r="Q386" s="42" t="n">
        <f aca="false">BC27*2.355</f>
        <v>1.490699</v>
      </c>
      <c r="R386" s="42" t="str">
        <f aca="false">N386</f>
        <v>&amp;</v>
      </c>
      <c r="S386" s="45" t="n">
        <f aca="false">Sheet2!M27</f>
        <v>0.03073</v>
      </c>
      <c r="T386" s="42" t="str">
        <f aca="false">P386</f>
        <v>&amp;</v>
      </c>
      <c r="U386" s="42" t="n">
        <f aca="false">Sheet2!N27</f>
        <v>126.599634277527</v>
      </c>
      <c r="V386" s="22" t="s">
        <v>350</v>
      </c>
      <c r="BZ386" s="0" t="n">
        <v>2.78221676211721</v>
      </c>
      <c r="CA386" s="0" t="n">
        <v>39.9418874347056</v>
      </c>
      <c r="CB386" s="0" t="n">
        <v>40.1317447055601</v>
      </c>
      <c r="CC386" s="0" t="n">
        <v>0.189857270854525</v>
      </c>
      <c r="CD386" s="20" t="n">
        <f aca="false">(CC386)^2</f>
        <v>0.0360457832963283</v>
      </c>
      <c r="CG386" s="0" t="n">
        <v>2.78221676211721</v>
      </c>
      <c r="CH386" s="0" t="n">
        <v>40.3966990331611</v>
      </c>
      <c r="CI386" s="0" t="n">
        <v>40.6654832485069</v>
      </c>
      <c r="CJ386" s="0" t="n">
        <v>0.268784215345825</v>
      </c>
      <c r="CK386" s="20" t="n">
        <f aca="false">(CJ386)^2</f>
        <v>0.0722449544190707</v>
      </c>
      <c r="CN386" s="0" t="n">
        <v>2.78221676211721</v>
      </c>
      <c r="CO386" s="0" t="n">
        <v>40.1983519642298</v>
      </c>
      <c r="CP386" s="0" t="n">
        <v>40.0250782651027</v>
      </c>
      <c r="CQ386" s="0" t="n">
        <v>-0.173273699127058</v>
      </c>
      <c r="CR386" s="20" t="n">
        <f aca="false">(CQ386)^2</f>
        <v>0.0300237748091744</v>
      </c>
      <c r="CU386" s="0" t="n">
        <v>1.32633586092875</v>
      </c>
      <c r="CV386" s="0" t="n">
        <v>2.65445644196898</v>
      </c>
      <c r="CW386" s="0" t="n">
        <v>2.78221676211721</v>
      </c>
      <c r="CX386" s="0" t="n">
        <v>0.12776032014823</v>
      </c>
      <c r="CY386" s="20" t="n">
        <f aca="false">(CX386)^2</f>
        <v>0.0163226994043782</v>
      </c>
      <c r="DC386" s="0" t="n">
        <v>2.10676191127965</v>
      </c>
      <c r="DD386" s="0" t="n">
        <v>8.01</v>
      </c>
      <c r="DE386" s="0" t="n">
        <v>1.54900326202579</v>
      </c>
      <c r="DF386" s="0" t="n">
        <v>2</v>
      </c>
      <c r="DG386" s="0" t="e">
        <v>#VALUE!</v>
      </c>
      <c r="DH386" s="0" t="n">
        <v>0</v>
      </c>
      <c r="DI386" s="0" t="e">
        <v>#VALUE!</v>
      </c>
      <c r="DJ386" s="0" t="n">
        <v>2.10676191127965</v>
      </c>
      <c r="DK386" s="0" t="n">
        <v>8.01</v>
      </c>
      <c r="DL386" s="0" t="n">
        <v>1.54900326202579</v>
      </c>
      <c r="DM386" s="0" t="n">
        <v>2</v>
      </c>
      <c r="DN386" s="0" t="n">
        <v>511.892879490944</v>
      </c>
      <c r="DO386" s="0" t="n">
        <v>40.8602418490241</v>
      </c>
      <c r="DP386" s="0" t="n">
        <v>-471.03263764192</v>
      </c>
      <c r="DQ386" s="0" t="n">
        <v>2.10676191127965</v>
      </c>
      <c r="DR386" s="0" t="n">
        <v>8.01</v>
      </c>
      <c r="DS386" s="0" t="n">
        <v>1.54900326202579</v>
      </c>
      <c r="DT386" s="0" t="n">
        <v>2</v>
      </c>
      <c r="DU386" s="0" t="n">
        <v>536.067893984659</v>
      </c>
      <c r="DV386" s="0" t="n">
        <v>41.2889669095893</v>
      </c>
      <c r="DW386" s="0" t="n">
        <v>-494.77892707507</v>
      </c>
      <c r="DX386" s="0" t="n">
        <v>2.10676191127965</v>
      </c>
      <c r="DY386" s="0" t="n">
        <v>8.01</v>
      </c>
      <c r="DZ386" s="0" t="n">
        <v>1.54900326202579</v>
      </c>
      <c r="EA386" s="0" t="n">
        <v>2</v>
      </c>
      <c r="EB386" s="0" t="n">
        <v>475.021626412044</v>
      </c>
      <c r="EC386" s="0" t="n">
        <v>40.7432526092177</v>
      </c>
      <c r="ED386" s="0" t="n">
        <v>-434.278373802826</v>
      </c>
    </row>
    <row r="387" customFormat="false" ht="12.8" hidden="false" customHeight="false" outlineLevel="0" collapsed="false">
      <c r="A387" s="22" t="n">
        <v>26</v>
      </c>
      <c r="B387" s="22" t="s">
        <v>241</v>
      </c>
      <c r="C387" s="22" t="s">
        <v>501</v>
      </c>
      <c r="D387" s="22" t="s">
        <v>241</v>
      </c>
      <c r="E387" s="42" t="n">
        <f aca="false">G28</f>
        <v>16.0301734177215</v>
      </c>
      <c r="F387" s="42" t="s">
        <v>241</v>
      </c>
      <c r="G387" s="42" t="n">
        <f aca="false">H28</f>
        <v>0.0493</v>
      </c>
      <c r="H387" s="42" t="s">
        <v>241</v>
      </c>
      <c r="I387" s="42" t="n">
        <f aca="false">AN28</f>
        <v>2.51643573405521</v>
      </c>
      <c r="J387" s="42" t="s">
        <v>241</v>
      </c>
      <c r="K387" s="42" t="n">
        <f aca="false">P28</f>
        <v>4.5213130369817</v>
      </c>
      <c r="L387" s="42" t="s">
        <v>241</v>
      </c>
      <c r="M387" s="42" t="n">
        <f aca="false">Q28</f>
        <v>0.203</v>
      </c>
      <c r="N387" s="42" t="s">
        <v>241</v>
      </c>
      <c r="O387" s="42" t="n">
        <f aca="false">AS28</f>
        <v>0.649859711708469</v>
      </c>
      <c r="P387" s="42" t="s">
        <v>241</v>
      </c>
      <c r="Q387" s="42" t="n">
        <f aca="false">BC28*2.355</f>
        <v>1.11271125</v>
      </c>
      <c r="R387" s="42" t="str">
        <f aca="false">N387</f>
        <v>&amp;</v>
      </c>
      <c r="S387" s="45" t="n">
        <f aca="false">Sheet2!M28</f>
        <v>0.00626</v>
      </c>
      <c r="T387" s="42" t="str">
        <f aca="false">P387</f>
        <v>&amp;</v>
      </c>
      <c r="U387" s="42" t="n">
        <f aca="false">Sheet2!N28</f>
        <v>30.8130135819035</v>
      </c>
      <c r="V387" s="22" t="s">
        <v>350</v>
      </c>
      <c r="BZ387" s="0" t="n">
        <v>2.87283479667699</v>
      </c>
      <c r="CA387" s="0" t="n">
        <v>40.0266641998818</v>
      </c>
      <c r="CB387" s="0" t="n">
        <v>39.9963150223595</v>
      </c>
      <c r="CC387" s="0" t="n">
        <v>-0.0303491775223392</v>
      </c>
      <c r="CD387" s="20" t="n">
        <f aca="false">(CC387)^2</f>
        <v>0.000921072576282461</v>
      </c>
      <c r="CG387" s="0" t="n">
        <v>2.87283479667699</v>
      </c>
      <c r="CH387" s="0" t="n">
        <v>40.4653791998785</v>
      </c>
      <c r="CI387" s="0" t="n">
        <v>40.4667860464016</v>
      </c>
      <c r="CJ387" s="0" t="n">
        <v>0.0014068465230892</v>
      </c>
      <c r="CK387" s="20" t="n">
        <f aca="false">(CJ387)^2</f>
        <v>1.97921713952817E-006</v>
      </c>
      <c r="CN387" s="0" t="n">
        <v>2.87283479667699</v>
      </c>
      <c r="CO387" s="0" t="n">
        <v>40.262641315301</v>
      </c>
      <c r="CP387" s="0" t="n">
        <v>40.4667860464016</v>
      </c>
      <c r="CQ387" s="0" t="n">
        <v>0.204144731100598</v>
      </c>
      <c r="CR387" s="20" t="n">
        <f aca="false">(CQ387)^2</f>
        <v>0.0416750712361355</v>
      </c>
      <c r="CU387" s="0" t="n">
        <v>1.52762990087134</v>
      </c>
      <c r="CV387" s="0" t="n">
        <v>2.80104624848435</v>
      </c>
      <c r="CW387" s="0" t="n">
        <v>2.87283479667699</v>
      </c>
      <c r="CX387" s="0" t="n">
        <v>0.0717885481926368</v>
      </c>
      <c r="CY387" s="20" t="n">
        <f aca="false">(CX387)^2</f>
        <v>0.00515359565160654</v>
      </c>
      <c r="DC387" s="0" t="n">
        <v>1.87422012754356</v>
      </c>
      <c r="DD387" s="0" t="n">
        <v>8.48</v>
      </c>
      <c r="DE387" s="0" t="n">
        <v>1.38021124171161</v>
      </c>
      <c r="DF387" s="0" t="n">
        <v>0.698970004336019</v>
      </c>
      <c r="DG387" s="0" t="e">
        <v>#VALUE!</v>
      </c>
      <c r="DH387" s="0" t="n">
        <v>0</v>
      </c>
      <c r="DI387" s="0" t="e">
        <v>#VALUE!</v>
      </c>
      <c r="DJ387" s="0" t="n">
        <v>1.87422012754356</v>
      </c>
      <c r="DK387" s="0" t="n">
        <v>8.48</v>
      </c>
      <c r="DL387" s="0" t="n">
        <v>1.38021124171161</v>
      </c>
      <c r="DM387" s="0" t="n">
        <v>0.698970004336019</v>
      </c>
      <c r="DN387" s="0" t="n">
        <v>468.826629806695</v>
      </c>
      <c r="DO387" s="0" t="n">
        <v>39.5307026003539</v>
      </c>
      <c r="DP387" s="0" t="n">
        <v>-429.295927206341</v>
      </c>
      <c r="DQ387" s="0" t="n">
        <v>1.87422012754356</v>
      </c>
      <c r="DR387" s="0" t="n">
        <v>8.48</v>
      </c>
      <c r="DS387" s="0" t="n">
        <v>1.38021124171161</v>
      </c>
      <c r="DT387" s="0" t="n">
        <v>0.698970004336019</v>
      </c>
      <c r="DU387" s="0" t="n">
        <v>491.02212522121</v>
      </c>
      <c r="DV387" s="0" t="n">
        <v>40.3112205857885</v>
      </c>
      <c r="DW387" s="0" t="n">
        <v>-450.710904635422</v>
      </c>
      <c r="DX387" s="0" t="n">
        <v>1.87422012754356</v>
      </c>
      <c r="DY387" s="0" t="n">
        <v>8.48</v>
      </c>
      <c r="DZ387" s="0" t="n">
        <v>1.38021124171161</v>
      </c>
      <c r="EA387" s="0" t="n">
        <v>0.698970004336019</v>
      </c>
      <c r="EB387" s="0" t="n">
        <v>435.10557364876</v>
      </c>
      <c r="EC387" s="0" t="n">
        <v>39.8411325938</v>
      </c>
      <c r="ED387" s="0" t="n">
        <v>-395.26444105496</v>
      </c>
    </row>
    <row r="388" customFormat="false" ht="12.8" hidden="false" customHeight="false" outlineLevel="0" collapsed="false">
      <c r="A388" s="22" t="n">
        <v>27</v>
      </c>
      <c r="B388" s="22" t="s">
        <v>241</v>
      </c>
      <c r="C388" s="22" t="s">
        <v>502</v>
      </c>
      <c r="D388" s="22" t="s">
        <v>241</v>
      </c>
      <c r="E388" s="42" t="n">
        <f aca="false">G29</f>
        <v>12.5161596505163</v>
      </c>
      <c r="F388" s="42" t="s">
        <v>241</v>
      </c>
      <c r="G388" s="42" t="n">
        <f aca="false">H29</f>
        <v>0.13</v>
      </c>
      <c r="H388" s="42" t="s">
        <v>241</v>
      </c>
      <c r="I388" s="42" t="n">
        <f aca="false">AN29</f>
        <v>1.87956174212439</v>
      </c>
      <c r="J388" s="42" t="s">
        <v>241</v>
      </c>
      <c r="K388" s="42" t="n">
        <f aca="false">P29</f>
        <v>3.23912905092593</v>
      </c>
      <c r="L388" s="42" t="s">
        <v>241</v>
      </c>
      <c r="M388" s="42" t="n">
        <f aca="false">Q29</f>
        <v>0.125</v>
      </c>
      <c r="N388" s="42" t="s">
        <v>241</v>
      </c>
      <c r="O388" s="42" t="n">
        <f aca="false">AS29</f>
        <v>0.48781837338947</v>
      </c>
      <c r="P388" s="42" t="s">
        <v>241</v>
      </c>
      <c r="Q388" s="42" t="n">
        <f aca="false">BC29*2.355</f>
        <v>0.590387000000001</v>
      </c>
      <c r="R388" s="42" t="str">
        <f aca="false">N388</f>
        <v>&amp;</v>
      </c>
      <c r="S388" s="45" t="n">
        <f aca="false">Sheet2!M29</f>
        <v>0.0093</v>
      </c>
      <c r="T388" s="42" t="str">
        <f aca="false">P388</f>
        <v>&amp;</v>
      </c>
      <c r="U388" s="42" t="n">
        <f aca="false">Sheet2!N29</f>
        <v>43.3892079986258</v>
      </c>
      <c r="V388" s="22" t="s">
        <v>350</v>
      </c>
      <c r="BZ388" s="0" t="n">
        <v>2.8057379010057</v>
      </c>
      <c r="CA388" s="0" t="n">
        <v>39.9638923929671</v>
      </c>
      <c r="CB388" s="0" t="n">
        <v>40.3308782653967</v>
      </c>
      <c r="CC388" s="0" t="n">
        <v>0.366985872429616</v>
      </c>
      <c r="CD388" s="20" t="n">
        <f aca="false">(CC388)^2</f>
        <v>0.134678630562927</v>
      </c>
      <c r="CG388" s="0" t="n">
        <v>2.8057379010057</v>
      </c>
      <c r="CH388" s="0" t="n">
        <v>40.4145259011581</v>
      </c>
      <c r="CI388" s="0" t="n">
        <v>40.6750396842358</v>
      </c>
      <c r="CJ388" s="0" t="n">
        <v>0.260513783077712</v>
      </c>
      <c r="CK388" s="20" t="n">
        <f aca="false">(CJ388)^2</f>
        <v>0.0678674311734614</v>
      </c>
      <c r="CN388" s="0" t="n">
        <v>2.8057379010057</v>
      </c>
      <c r="CO388" s="0" t="n">
        <v>40.2150391365233</v>
      </c>
      <c r="CP388" s="0" t="n">
        <v>40.6750396842358</v>
      </c>
      <c r="CQ388" s="0" t="n">
        <v>0.460000547712539</v>
      </c>
      <c r="CR388" s="20" t="n">
        <f aca="false">(CQ388)^2</f>
        <v>0.211600503895836</v>
      </c>
      <c r="CU388" s="0" t="n">
        <v>1.54530711646582</v>
      </c>
      <c r="CV388" s="0" t="n">
        <v>2.81391945434015</v>
      </c>
      <c r="CW388" s="0" t="n">
        <v>2.8057379010057</v>
      </c>
      <c r="CX388" s="0" t="n">
        <v>-0.00818155333444803</v>
      </c>
      <c r="CY388" s="20" t="n">
        <f aca="false">(CX388)^2</f>
        <v>6.69378149644177E-005</v>
      </c>
      <c r="DC388" s="0" t="n">
        <v>1.7010708609064</v>
      </c>
      <c r="DD388" s="0" t="n">
        <v>7.85</v>
      </c>
      <c r="DE388" s="0" t="n">
        <v>1.23552844690755</v>
      </c>
      <c r="DF388" s="0" t="n">
        <v>1.27875360095283</v>
      </c>
      <c r="DG388" s="0" t="e">
        <v>#VALUE!</v>
      </c>
      <c r="DH388" s="0" t="n">
        <v>0</v>
      </c>
      <c r="DI388" s="0" t="e">
        <v>#VALUE!</v>
      </c>
      <c r="DJ388" s="0" t="n">
        <v>1.7010708609064</v>
      </c>
      <c r="DK388" s="0" t="n">
        <v>7.85</v>
      </c>
      <c r="DL388" s="0" t="n">
        <v>1.23552844690755</v>
      </c>
      <c r="DM388" s="0" t="n">
        <v>1.27875360095283</v>
      </c>
      <c r="DN388" s="0" t="n">
        <v>455.964788939812</v>
      </c>
      <c r="DO388" s="0" t="n">
        <v>39.7584397069598</v>
      </c>
      <c r="DP388" s="0" t="n">
        <v>-416.206349232852</v>
      </c>
      <c r="DQ388" s="0" t="n">
        <v>1.7010708609064</v>
      </c>
      <c r="DR388" s="0" t="n">
        <v>7.85</v>
      </c>
      <c r="DS388" s="0" t="n">
        <v>1.23552844690755</v>
      </c>
      <c r="DT388" s="0" t="n">
        <v>1.27875360095283</v>
      </c>
      <c r="DU388" s="0" t="n">
        <v>477.569096136725</v>
      </c>
      <c r="DV388" s="0" t="n">
        <v>40.1263375099171</v>
      </c>
      <c r="DW388" s="0" t="n">
        <v>-437.442758626808</v>
      </c>
      <c r="DX388" s="0" t="n">
        <v>1.7010708609064</v>
      </c>
      <c r="DY388" s="0" t="n">
        <v>7.85</v>
      </c>
      <c r="DZ388" s="0" t="n">
        <v>1.23552844690755</v>
      </c>
      <c r="EA388" s="0" t="n">
        <v>1.27875360095283</v>
      </c>
      <c r="EB388" s="0" t="n">
        <v>423.184546801994</v>
      </c>
      <c r="EC388" s="0" t="n">
        <v>39.9044887603007</v>
      </c>
      <c r="ED388" s="0" t="n">
        <v>-383.280058041693</v>
      </c>
    </row>
    <row r="389" customFormat="false" ht="12.8" hidden="false" customHeight="false" outlineLevel="0" collapsed="false">
      <c r="A389" s="22" t="n">
        <v>28</v>
      </c>
      <c r="B389" s="22" t="s">
        <v>241</v>
      </c>
      <c r="C389" s="22" t="s">
        <v>503</v>
      </c>
      <c r="D389" s="22" t="s">
        <v>241</v>
      </c>
      <c r="E389" s="42" t="n">
        <f aca="false">G30</f>
        <v>17.3012023378792</v>
      </c>
      <c r="F389" s="42" t="s">
        <v>241</v>
      </c>
      <c r="G389" s="42" t="n">
        <f aca="false">H30</f>
        <v>0.3681</v>
      </c>
      <c r="H389" s="42" t="s">
        <v>241</v>
      </c>
      <c r="I389" s="42" t="n">
        <f aca="false">AN30</f>
        <v>2.21424839706416</v>
      </c>
      <c r="J389" s="42" t="s">
        <v>241</v>
      </c>
      <c r="K389" s="42" t="n">
        <f aca="false">P30</f>
        <v>3.56356940509915</v>
      </c>
      <c r="L389" s="42" t="s">
        <v>241</v>
      </c>
      <c r="M389" s="42" t="n">
        <f aca="false">Q30</f>
        <v>0.05</v>
      </c>
      <c r="N389" s="42" t="s">
        <v>241</v>
      </c>
      <c r="O389" s="42" t="n">
        <f aca="false">AS30</f>
        <v>0.55920738781177</v>
      </c>
      <c r="P389" s="42" t="s">
        <v>241</v>
      </c>
      <c r="Q389" s="42" t="n">
        <f aca="false">BC30*2.355</f>
        <v>0.760505454545455</v>
      </c>
      <c r="R389" s="42" t="str">
        <f aca="false">N389</f>
        <v>&amp;</v>
      </c>
      <c r="S389" s="45" t="n">
        <f aca="false">Sheet2!M30</f>
        <v>0.00807</v>
      </c>
      <c r="T389" s="42" t="str">
        <f aca="false">P389</f>
        <v>&amp;</v>
      </c>
      <c r="U389" s="42" t="n">
        <f aca="false">Sheet2!N30</f>
        <v>36.9019985051642</v>
      </c>
      <c r="V389" s="22" t="s">
        <v>350</v>
      </c>
      <c r="BZ389" s="0" t="n">
        <v>2.72333943354249</v>
      </c>
      <c r="CA389" s="0" t="n">
        <v>39.8868053587917</v>
      </c>
      <c r="CB389" s="0" t="n">
        <v>40.4850090486329</v>
      </c>
      <c r="CC389" s="0" t="n">
        <v>0.598203689841149</v>
      </c>
      <c r="CD389" s="20" t="n">
        <f aca="false">(CC389)^2</f>
        <v>0.357847654539566</v>
      </c>
      <c r="CG389" s="0" t="n">
        <v>2.72333943354249</v>
      </c>
      <c r="CH389" s="0" t="n">
        <v>40.3520754131275</v>
      </c>
      <c r="CI389" s="0" t="n">
        <v>40.9096967114523</v>
      </c>
      <c r="CJ389" s="0" t="n">
        <v>0.55762129832484</v>
      </c>
      <c r="CK389" s="20" t="n">
        <f aca="false">(CJ389)^2</f>
        <v>0.31094151234548</v>
      </c>
      <c r="CN389" s="0" t="n">
        <v>2.72333943354249</v>
      </c>
      <c r="CO389" s="0" t="n">
        <v>40.1565811923821</v>
      </c>
      <c r="CP389" s="0" t="n">
        <v>40.9096967114523</v>
      </c>
      <c r="CQ389" s="0" t="n">
        <v>0.753115519070171</v>
      </c>
      <c r="CR389" s="20" t="n">
        <f aca="false">(CQ389)^2</f>
        <v>0.567182985064333</v>
      </c>
      <c r="CU389" s="0" t="n">
        <v>1.44247976906445</v>
      </c>
      <c r="CV389" s="0" t="n">
        <v>2.73903675555605</v>
      </c>
      <c r="CW389" s="0" t="n">
        <v>2.72333943354249</v>
      </c>
      <c r="CX389" s="0" t="n">
        <v>-0.0156973220135557</v>
      </c>
      <c r="CY389" s="20" t="n">
        <f aca="false">(CX389)^2</f>
        <v>0.000246405918397259</v>
      </c>
    </row>
    <row r="390" customFormat="false" ht="12.8" hidden="false" customHeight="false" outlineLevel="0" collapsed="false">
      <c r="A390" s="22" t="n">
        <v>29</v>
      </c>
      <c r="B390" s="22" t="s">
        <v>241</v>
      </c>
      <c r="C390" s="22" t="s">
        <v>504</v>
      </c>
      <c r="D390" s="22" t="s">
        <v>241</v>
      </c>
      <c r="E390" s="42" t="n">
        <f aca="false">G31</f>
        <v>21.3521030927835</v>
      </c>
      <c r="F390" s="42" t="s">
        <v>241</v>
      </c>
      <c r="G390" s="42" t="n">
        <f aca="false">H31</f>
        <v>0.345</v>
      </c>
      <c r="H390" s="42" t="s">
        <v>241</v>
      </c>
      <c r="I390" s="42" t="n">
        <f aca="false">AN31</f>
        <v>2.78219255213186</v>
      </c>
      <c r="J390" s="42" t="s">
        <v>241</v>
      </c>
      <c r="K390" s="42" t="n">
        <f aca="false">P31</f>
        <v>4.92727505636401</v>
      </c>
      <c r="L390" s="42" t="s">
        <v>241</v>
      </c>
      <c r="M390" s="42" t="n">
        <f aca="false">Q31</f>
        <v>0.198</v>
      </c>
      <c r="N390" s="42" t="s">
        <v>241</v>
      </c>
      <c r="O390" s="42" t="n">
        <f aca="false">AS31</f>
        <v>0.710427667840834</v>
      </c>
      <c r="P390" s="42" t="s">
        <v>241</v>
      </c>
      <c r="Q390" s="42" t="n">
        <f aca="false">BC31*2.355</f>
        <v>0.884829166666666</v>
      </c>
      <c r="R390" s="42" t="str">
        <f aca="false">N390</f>
        <v>&amp;</v>
      </c>
      <c r="S390" s="45" t="n">
        <f aca="false">Sheet2!M31</f>
        <v>0.00952</v>
      </c>
      <c r="T390" s="42" t="str">
        <f aca="false">P390</f>
        <v>&amp;</v>
      </c>
      <c r="U390" s="42" t="n">
        <f aca="false">Sheet2!N31</f>
        <v>37.6791736550282</v>
      </c>
      <c r="V390" s="22" t="s">
        <v>350</v>
      </c>
      <c r="BZ390" s="0" t="n">
        <v>2.52960348518892</v>
      </c>
      <c r="CA390" s="0" t="n">
        <v>39.7055576956797</v>
      </c>
      <c r="CB390" s="0" t="n">
        <v>40.5363222856562</v>
      </c>
      <c r="CC390" s="0" t="n">
        <v>0.830764589976518</v>
      </c>
      <c r="CD390" s="20" t="n">
        <f aca="false">(CC390)^2</f>
        <v>0.690169803958852</v>
      </c>
      <c r="CG390" s="0" t="n">
        <v>2.52960348518892</v>
      </c>
      <c r="CH390" s="0" t="n">
        <v>40.2052413166176</v>
      </c>
      <c r="CI390" s="0" t="n">
        <v>40.8519069419647</v>
      </c>
      <c r="CJ390" s="0" t="n">
        <v>0.64666562534709</v>
      </c>
      <c r="CK390" s="20" t="n">
        <f aca="false">(CJ390)^2</f>
        <v>0.418176431005543</v>
      </c>
      <c r="CN390" s="0" t="n">
        <v>2.52960348518892</v>
      </c>
      <c r="CO390" s="0" t="n">
        <v>40.0191343976096</v>
      </c>
      <c r="CP390" s="0" t="n">
        <v>40.8519069419647</v>
      </c>
      <c r="CQ390" s="0" t="n">
        <v>0.832772544355052</v>
      </c>
      <c r="CR390" s="20" t="n">
        <f aca="false">(CQ390)^2</f>
        <v>0.693510110631587</v>
      </c>
      <c r="CU390" s="0" t="n">
        <v>1.53781909507327</v>
      </c>
      <c r="CV390" s="0" t="n">
        <v>2.80846639866383</v>
      </c>
      <c r="CW390" s="0" t="n">
        <v>2.52960348518892</v>
      </c>
      <c r="CX390" s="0" t="n">
        <v>-0.278862913474915</v>
      </c>
      <c r="CY390" s="20" t="n">
        <f aca="false">(CX390)^2</f>
        <v>0.0777645245117179</v>
      </c>
      <c r="DC390" s="14" t="s">
        <v>505</v>
      </c>
      <c r="DJ390" s="14" t="s">
        <v>506</v>
      </c>
      <c r="DQ390" s="14" t="s">
        <v>507</v>
      </c>
      <c r="DX390" s="14" t="s">
        <v>508</v>
      </c>
    </row>
    <row r="391" customFormat="false" ht="12.8" hidden="false" customHeight="false" outlineLevel="0" collapsed="false">
      <c r="A391" s="22" t="n">
        <v>30</v>
      </c>
      <c r="B391" s="22" t="s">
        <v>241</v>
      </c>
      <c r="C391" s="22" t="s">
        <v>509</v>
      </c>
      <c r="D391" s="22" t="s">
        <v>241</v>
      </c>
      <c r="E391" s="42" t="n">
        <f aca="false">G32</f>
        <v>29.276875</v>
      </c>
      <c r="F391" s="42" t="s">
        <v>241</v>
      </c>
      <c r="G391" s="42" t="n">
        <f aca="false">H32</f>
        <v>0.2651</v>
      </c>
      <c r="H391" s="42" t="s">
        <v>241</v>
      </c>
      <c r="I391" s="42" t="n">
        <f aca="false">AN32</f>
        <v>4.04077546175946</v>
      </c>
      <c r="J391" s="42" t="s">
        <v>241</v>
      </c>
      <c r="K391" s="42" t="n">
        <f aca="false">P32</f>
        <v>4.40360733424864</v>
      </c>
      <c r="L391" s="42" t="s">
        <v>241</v>
      </c>
      <c r="M391" s="42" t="n">
        <f aca="false">Q32</f>
        <v>0.05</v>
      </c>
      <c r="N391" s="42" t="s">
        <v>241</v>
      </c>
      <c r="O391" s="42" t="n">
        <f aca="false">AS32</f>
        <v>0.691028986501644</v>
      </c>
      <c r="P391" s="42" t="s">
        <v>241</v>
      </c>
      <c r="Q391" s="42" t="n">
        <f aca="false">BC32*2.355</f>
        <v>0.844518181818181</v>
      </c>
      <c r="R391" s="42" t="str">
        <f aca="false">N391</f>
        <v>&amp;</v>
      </c>
      <c r="S391" s="45" t="n">
        <f aca="false">Sheet2!M32</f>
        <v>0.00932</v>
      </c>
      <c r="T391" s="42" t="str">
        <f aca="false">P391</f>
        <v>&amp;</v>
      </c>
      <c r="U391" s="42" t="n">
        <f aca="false">Sheet2!N32</f>
        <v>36.7124902467871</v>
      </c>
      <c r="V391" s="22" t="s">
        <v>350</v>
      </c>
      <c r="BZ391" s="0" t="n">
        <v>2.40587460839648</v>
      </c>
      <c r="CA391" s="0" t="n">
        <v>39.5898044244428</v>
      </c>
      <c r="CB391" s="0" t="n">
        <v>39.9166540391504</v>
      </c>
      <c r="CC391" s="0" t="n">
        <v>0.326849614707633</v>
      </c>
      <c r="CD391" s="20" t="n">
        <f aca="false">(CC391)^2</f>
        <v>0.106830670634528</v>
      </c>
      <c r="CG391" s="0" t="n">
        <v>2.40587460839648</v>
      </c>
      <c r="CH391" s="0" t="n">
        <v>40.1114661654885</v>
      </c>
      <c r="CI391" s="0" t="n">
        <v>40.3823661888664</v>
      </c>
      <c r="CJ391" s="0" t="n">
        <v>0.270900023377891</v>
      </c>
      <c r="CK391" s="20" t="n">
        <f aca="false">(CJ391)^2</f>
        <v>0.0733868226661418</v>
      </c>
      <c r="CN391" s="0" t="n">
        <v>2.40587460839648</v>
      </c>
      <c r="CO391" s="0" t="n">
        <v>39.9313544183108</v>
      </c>
      <c r="CP391" s="0" t="n">
        <v>40.3823661888664</v>
      </c>
      <c r="CQ391" s="0" t="n">
        <v>0.451011770555603</v>
      </c>
      <c r="CR391" s="20" t="n">
        <f aca="false">(CQ391)^2</f>
        <v>0.2034116171797</v>
      </c>
      <c r="CU391" s="0" t="n">
        <v>1.3541084391474</v>
      </c>
      <c r="CV391" s="0" t="n">
        <v>2.6746814663595</v>
      </c>
      <c r="CW391" s="0" t="n">
        <v>2.40587460839648</v>
      </c>
      <c r="CX391" s="0" t="n">
        <v>-0.268806857963019</v>
      </c>
      <c r="CY391" s="20" t="n">
        <f aca="false">(CX391)^2</f>
        <v>0.0722571268879507</v>
      </c>
      <c r="DC391" s="0" t="s">
        <v>78</v>
      </c>
      <c r="DD391" s="0" t="s">
        <v>79</v>
      </c>
      <c r="DJ391" s="0" t="s">
        <v>78</v>
      </c>
      <c r="DK391" s="0" t="s">
        <v>79</v>
      </c>
      <c r="DQ391" s="0" t="s">
        <v>78</v>
      </c>
      <c r="DR391" s="0" t="s">
        <v>79</v>
      </c>
      <c r="DX391" s="0" t="s">
        <v>78</v>
      </c>
      <c r="DY391" s="0" t="s">
        <v>79</v>
      </c>
    </row>
    <row r="392" customFormat="false" ht="12.8" hidden="false" customHeight="false" outlineLevel="0" collapsed="false">
      <c r="A392" s="22" t="n">
        <v>31</v>
      </c>
      <c r="B392" s="22" t="s">
        <v>241</v>
      </c>
      <c r="C392" s="22" t="s">
        <v>510</v>
      </c>
      <c r="D392" s="22" t="s">
        <v>241</v>
      </c>
      <c r="E392" s="42" t="n">
        <f aca="false">G33</f>
        <v>13.6809846998823</v>
      </c>
      <c r="F392" s="42" t="s">
        <v>241</v>
      </c>
      <c r="G392" s="42" t="n">
        <f aca="false">H33</f>
        <v>0.25</v>
      </c>
      <c r="H392" s="42" t="s">
        <v>241</v>
      </c>
      <c r="I392" s="42" t="n">
        <f aca="false">AN33</f>
        <v>1.90754092812037</v>
      </c>
      <c r="J392" s="42" t="s">
        <v>241</v>
      </c>
      <c r="K392" s="42" t="n">
        <f aca="false">P33</f>
        <v>3.53396539396539</v>
      </c>
      <c r="L392" s="42" t="s">
        <v>241</v>
      </c>
      <c r="M392" s="42" t="n">
        <f aca="false">Q33</f>
        <v>0.08</v>
      </c>
      <c r="N392" s="42" t="s">
        <v>241</v>
      </c>
      <c r="O392" s="42" t="n">
        <f aca="false">AS33</f>
        <v>0.545735344965351</v>
      </c>
      <c r="P392" s="42" t="s">
        <v>241</v>
      </c>
      <c r="Q392" s="42" t="n">
        <f aca="false">BC33*2.355</f>
        <v>0.82797909090909</v>
      </c>
      <c r="R392" s="42" t="str">
        <f aca="false">N392</f>
        <v>&amp;</v>
      </c>
      <c r="S392" s="45" t="n">
        <f aca="false">Sheet2!M33</f>
        <v>0.01495</v>
      </c>
      <c r="T392" s="42" t="str">
        <f aca="false">P392</f>
        <v>&amp;</v>
      </c>
      <c r="U392" s="42" t="n">
        <f aca="false">Sheet2!N33</f>
        <v>58.8278976772496</v>
      </c>
      <c r="V392" s="22" t="s">
        <v>350</v>
      </c>
      <c r="BZ392" s="0" t="n">
        <v>3.06295399039048</v>
      </c>
      <c r="CA392" s="0" t="n">
        <v>40.2045282455902</v>
      </c>
      <c r="CB392" s="0" t="n">
        <v>39.9203081956583</v>
      </c>
      <c r="CC392" s="0" t="n">
        <v>-0.284220049931939</v>
      </c>
      <c r="CD392" s="20" t="n">
        <f aca="false">(CC392)^2</f>
        <v>0.0807810367833139</v>
      </c>
      <c r="CG392" s="0" t="n">
        <v>3.06295399039048</v>
      </c>
      <c r="CH392" s="0" t="n">
        <v>40.6094721277803</v>
      </c>
      <c r="CI392" s="0" t="n">
        <v>39.8052047714277</v>
      </c>
      <c r="CJ392" s="0" t="n">
        <v>-0.804267356352625</v>
      </c>
      <c r="CK392" s="20" t="n">
        <f aca="false">(CJ392)^2</f>
        <v>0.64684598049444</v>
      </c>
      <c r="CN392" s="0" t="n">
        <v>3.06295399039048</v>
      </c>
      <c r="CO392" s="0" t="n">
        <v>40.3975221880699</v>
      </c>
      <c r="CP392" s="0" t="n">
        <v>39.8052047714277</v>
      </c>
      <c r="CQ392" s="0" t="n">
        <v>-0.592317416642239</v>
      </c>
      <c r="CR392" s="20" t="n">
        <f aca="false">(CQ392)^2</f>
        <v>0.350839922057735</v>
      </c>
      <c r="CU392" s="0" t="n">
        <v>1.42488163663107</v>
      </c>
      <c r="CV392" s="0" t="n">
        <v>2.72622114099947</v>
      </c>
      <c r="CW392" s="0" t="n">
        <v>3.06295399039048</v>
      </c>
      <c r="CX392" s="0" t="n">
        <v>0.336732849391014</v>
      </c>
      <c r="CY392" s="20" t="n">
        <f aca="false">(CX392)^2</f>
        <v>0.113389011858992</v>
      </c>
    </row>
    <row r="393" customFormat="false" ht="12.8" hidden="false" customHeight="false" outlineLevel="0" collapsed="false">
      <c r="A393" s="22" t="n">
        <v>32</v>
      </c>
      <c r="B393" s="22" t="s">
        <v>241</v>
      </c>
      <c r="C393" s="22" t="s">
        <v>511</v>
      </c>
      <c r="D393" s="22" t="s">
        <v>241</v>
      </c>
      <c r="E393" s="42" t="n">
        <f aca="false">G34</f>
        <v>6.12120349028647</v>
      </c>
      <c r="F393" s="42" t="s">
        <v>241</v>
      </c>
      <c r="G393" s="42" t="n">
        <f aca="false">H34</f>
        <v>0.2</v>
      </c>
      <c r="H393" s="42" t="s">
        <v>241</v>
      </c>
      <c r="I393" s="42" t="n">
        <f aca="false">AN34</f>
        <v>0.881470305780285</v>
      </c>
      <c r="J393" s="42" t="s">
        <v>241</v>
      </c>
      <c r="K393" s="42" t="n">
        <f aca="false">P34</f>
        <v>3.3455890448665</v>
      </c>
      <c r="L393" s="42" t="s">
        <v>241</v>
      </c>
      <c r="M393" s="42" t="n">
        <f aca="false">Q34</f>
        <v>0.09</v>
      </c>
      <c r="N393" s="42" t="s">
        <v>241</v>
      </c>
      <c r="O393" s="42" t="n">
        <f aca="false">AS34</f>
        <v>0.513829655218407</v>
      </c>
      <c r="P393" s="42" t="s">
        <v>241</v>
      </c>
      <c r="Q393" s="42" t="n">
        <f aca="false">BC34*2.355</f>
        <v>0.722755833333332</v>
      </c>
      <c r="R393" s="42" t="str">
        <f aca="false">N393</f>
        <v>&amp;</v>
      </c>
      <c r="S393" s="45" t="n">
        <f aca="false">Sheet2!M34</f>
        <v>0.02576</v>
      </c>
      <c r="T393" s="42" t="str">
        <f aca="false">P393</f>
        <v>&amp;</v>
      </c>
      <c r="U393" s="42" t="n">
        <f aca="false">Sheet2!N34</f>
        <v>100.742876297103</v>
      </c>
      <c r="V393" s="22" t="s">
        <v>350</v>
      </c>
      <c r="BZ393" s="0" t="n">
        <v>2.96671683363053</v>
      </c>
      <c r="CA393" s="0" t="n">
        <v>40.1144945687454</v>
      </c>
      <c r="CB393" s="0" t="n">
        <v>40.0555420750015</v>
      </c>
      <c r="CC393" s="0" t="n">
        <v>-0.0589524937439165</v>
      </c>
      <c r="CD393" s="20" t="n">
        <f aca="false">(CC393)^2</f>
        <v>0.00347539651862652</v>
      </c>
      <c r="CG393" s="0" t="n">
        <v>2.96671683363053</v>
      </c>
      <c r="CH393" s="0" t="n">
        <v>40.5365331813245</v>
      </c>
      <c r="CI393" s="0" t="n">
        <v>40.1409607062428</v>
      </c>
      <c r="CJ393" s="0" t="n">
        <v>-0.395572475081728</v>
      </c>
      <c r="CK393" s="20" t="n">
        <f aca="false">(CJ393)^2</f>
        <v>0.156477583042284</v>
      </c>
      <c r="CN393" s="0" t="n">
        <v>2.96671683363053</v>
      </c>
      <c r="CO393" s="0" t="n">
        <v>40.3292463267903</v>
      </c>
      <c r="CP393" s="0" t="n">
        <v>40.1409607062428</v>
      </c>
      <c r="CQ393" s="0" t="n">
        <v>-0.188285620547475</v>
      </c>
      <c r="CR393" s="20" t="n">
        <f aca="false">(CQ393)^2</f>
        <v>0.0354514749049478</v>
      </c>
      <c r="CU393" s="0" t="n">
        <v>1.43775056282039</v>
      </c>
      <c r="CV393" s="0" t="n">
        <v>2.7355927716781</v>
      </c>
      <c r="CW393" s="0" t="n">
        <v>2.96671683363053</v>
      </c>
      <c r="CX393" s="0" t="n">
        <v>0.231124061952426</v>
      </c>
      <c r="CY393" s="20" t="n">
        <f aca="false">(CX393)^2</f>
        <v>0.0534183320133887</v>
      </c>
      <c r="DC393" s="0" t="s">
        <v>84</v>
      </c>
      <c r="DJ393" s="0" t="s">
        <v>84</v>
      </c>
      <c r="DQ393" s="0" t="s">
        <v>84</v>
      </c>
      <c r="DX393" s="0" t="s">
        <v>84</v>
      </c>
    </row>
    <row r="394" customFormat="false" ht="12.8" hidden="false" customHeight="false" outlineLevel="0" collapsed="false">
      <c r="A394" s="22" t="n">
        <v>33</v>
      </c>
      <c r="B394" s="22" t="s">
        <v>241</v>
      </c>
      <c r="C394" s="22" t="s">
        <v>512</v>
      </c>
      <c r="D394" s="22" t="s">
        <v>241</v>
      </c>
      <c r="E394" s="42" t="n">
        <f aca="false">G35</f>
        <v>51.3791439441979</v>
      </c>
      <c r="F394" s="42" t="s">
        <v>241</v>
      </c>
      <c r="G394" s="42" t="n">
        <f aca="false">H35</f>
        <v>0.4</v>
      </c>
      <c r="H394" s="42" t="s">
        <v>241</v>
      </c>
      <c r="I394" s="42" t="n">
        <f aca="false">AN35</f>
        <v>6.40749631659236</v>
      </c>
      <c r="J394" s="42" t="s">
        <v>241</v>
      </c>
      <c r="K394" s="42" t="n">
        <f aca="false">P35</f>
        <v>3.23651719745223</v>
      </c>
      <c r="L394" s="42" t="s">
        <v>241</v>
      </c>
      <c r="M394" s="42" t="n">
        <f aca="false">Q35</f>
        <v>0.06</v>
      </c>
      <c r="N394" s="42" t="s">
        <v>241</v>
      </c>
      <c r="O394" s="42" t="n">
        <f aca="false">AS35</f>
        <v>0.505205095085917</v>
      </c>
      <c r="P394" s="42" t="s">
        <v>241</v>
      </c>
      <c r="Q394" s="42" t="n">
        <f aca="false">BC35*2.355</f>
        <v>1.8806088</v>
      </c>
      <c r="R394" s="42" t="str">
        <f aca="false">N394</f>
        <v>&amp;</v>
      </c>
      <c r="S394" s="45" t="n">
        <f aca="false">Sheet2!M35</f>
        <v>0.00382</v>
      </c>
      <c r="T394" s="42" t="str">
        <f aca="false">P394</f>
        <v>&amp;</v>
      </c>
      <c r="U394" s="42" t="n">
        <f aca="false">Sheet2!N35</f>
        <v>21.1381957276335</v>
      </c>
      <c r="V394" s="22" t="s">
        <v>350</v>
      </c>
      <c r="BZ394" s="0" t="n">
        <v>2.33023762449035</v>
      </c>
      <c r="CA394" s="0" t="n">
        <v>39.5190430262906</v>
      </c>
      <c r="CB394" s="0" t="n">
        <v>39.6009701741581</v>
      </c>
      <c r="CC394" s="0" t="n">
        <v>0.0819271478674821</v>
      </c>
      <c r="CD394" s="20" t="n">
        <f aca="false">(CC394)^2</f>
        <v>0.00671205755770028</v>
      </c>
      <c r="CG394" s="0" t="n">
        <v>2.33023762449035</v>
      </c>
      <c r="CH394" s="0" t="n">
        <v>40.0541402624283</v>
      </c>
      <c r="CI394" s="0" t="n">
        <v>39.9728485150304</v>
      </c>
      <c r="CJ394" s="0" t="n">
        <v>-0.0812917473979411</v>
      </c>
      <c r="CK394" s="20" t="n">
        <f aca="false">(CJ394)^2</f>
        <v>0.00660834819501066</v>
      </c>
      <c r="CN394" s="0" t="n">
        <v>2.33023762449035</v>
      </c>
      <c r="CO394" s="0" t="n">
        <v>39.8776934375145</v>
      </c>
      <c r="CP394" s="0" t="n">
        <v>39.9728485150304</v>
      </c>
      <c r="CQ394" s="0" t="n">
        <v>0.0951550775159049</v>
      </c>
      <c r="CR394" s="20" t="n">
        <f aca="false">(CQ394)^2</f>
        <v>0.00905448877705787</v>
      </c>
      <c r="CU394" s="0" t="n">
        <v>1.31386722036915</v>
      </c>
      <c r="CV394" s="0" t="n">
        <v>2.64537631417353</v>
      </c>
      <c r="CW394" s="0" t="n">
        <v>2.33023762449035</v>
      </c>
      <c r="CX394" s="0" t="n">
        <v>-0.315138689683178</v>
      </c>
      <c r="CY394" s="20" t="n">
        <f aca="false">(CX394)^2</f>
        <v>0.0993123937352305</v>
      </c>
      <c r="DC394" s="0" t="e">
        <f aca="false" t="array" ref="DC394:DD398">LINEST($BE$138:$BE$153 , $BI$138:$BI$153 , 1 , 1)</f>
        <v>#VALUE!</v>
      </c>
      <c r="DD394" s="0" t="e">
        <v>#VALUE!</v>
      </c>
      <c r="DJ394" s="0" t="n">
        <f aca="false" t="array" ref="DJ394:DK398">LINEST($BF$138:$BF$153 , $BI$138:$BI$153 , 1 , 1)</f>
        <v>0.847714098474402</v>
      </c>
      <c r="DK394" s="0" t="n">
        <v>37.6516089727899</v>
      </c>
      <c r="DQ394" s="0" t="n">
        <f aca="false" t="array" ref="DQ394:DR398">LINEST($BG$138:$BG$153 , $BI$138:$BI$153 , 1 , 1)</f>
        <v>0.604012596182998</v>
      </c>
      <c r="DR394" s="0" t="n">
        <v>38.8101212876279</v>
      </c>
      <c r="DX394" s="0" t="n">
        <f aca="false" t="array" ref="DX394:DY398">LINEST($BH$138:$BH$153 , $BI$138:$BI$153 , 1 , 1)</f>
        <v>0.473841560222858</v>
      </c>
      <c r="DY394" s="0" t="n">
        <v>38.904078459511</v>
      </c>
    </row>
    <row r="395" customFormat="false" ht="12.8" hidden="false" customHeight="false" outlineLevel="0" collapsed="false">
      <c r="A395" s="22" t="n">
        <v>34</v>
      </c>
      <c r="B395" s="22" t="s">
        <v>241</v>
      </c>
      <c r="C395" s="22" t="s">
        <v>513</v>
      </c>
      <c r="D395" s="22" t="s">
        <v>241</v>
      </c>
      <c r="E395" s="42" t="n">
        <f aca="false">G36</f>
        <v>19.7472479564033</v>
      </c>
      <c r="F395" s="42" t="s">
        <v>241</v>
      </c>
      <c r="G395" s="42" t="n">
        <f aca="false">H36</f>
        <v>0.4403</v>
      </c>
      <c r="H395" s="42" t="s">
        <v>241</v>
      </c>
      <c r="I395" s="42" t="n">
        <f aca="false">AN36</f>
        <v>2.37853808063212</v>
      </c>
      <c r="J395" s="42" t="s">
        <v>241</v>
      </c>
      <c r="K395" s="42" t="n">
        <f aca="false">P36</f>
        <v>4.34925563288899</v>
      </c>
      <c r="L395" s="42" t="s">
        <v>241</v>
      </c>
      <c r="M395" s="42" t="n">
        <f aca="false">Q36</f>
        <v>0.063</v>
      </c>
      <c r="N395" s="42" t="s">
        <v>241</v>
      </c>
      <c r="O395" s="42" t="n">
        <f aca="false">AS36</f>
        <v>0.677814111279765</v>
      </c>
      <c r="P395" s="42" t="s">
        <v>241</v>
      </c>
      <c r="Q395" s="42" t="n">
        <f aca="false">BC36*2.355</f>
        <v>2.9649921</v>
      </c>
      <c r="R395" s="42" t="str">
        <f aca="false">N395</f>
        <v>&amp;</v>
      </c>
      <c r="S395" s="45" t="n">
        <f aca="false">Sheet2!M36</f>
        <v>0.01306</v>
      </c>
      <c r="T395" s="42" t="str">
        <f aca="false">P395</f>
        <v>&amp;</v>
      </c>
      <c r="U395" s="42" t="n">
        <f aca="false">Sheet2!N36</f>
        <v>58.7552903034409</v>
      </c>
      <c r="V395" s="22" t="s">
        <v>350</v>
      </c>
      <c r="BZ395" s="0" t="n">
        <v>2.28501935429668</v>
      </c>
      <c r="CA395" s="0" t="n">
        <v>39.4767395412006</v>
      </c>
      <c r="CB395" s="0" t="n">
        <v>39.7119114592515</v>
      </c>
      <c r="CC395" s="0" t="n">
        <v>0.235171918050888</v>
      </c>
      <c r="CD395" s="20" t="n">
        <f aca="false">(CC395)^2</f>
        <v>0.0553058310397336</v>
      </c>
      <c r="CG395" s="0" t="n">
        <v>2.28501935429668</v>
      </c>
      <c r="CH395" s="0" t="n">
        <v>40.0198689570457</v>
      </c>
      <c r="CI395" s="0" t="n">
        <v>40.3675165950432</v>
      </c>
      <c r="CJ395" s="0" t="n">
        <v>0.347647637997525</v>
      </c>
      <c r="CK395" s="20" t="n">
        <f aca="false">(CJ395)^2</f>
        <v>0.120858880205258</v>
      </c>
      <c r="CN395" s="0" t="n">
        <v>2.28501935429668</v>
      </c>
      <c r="CO395" s="0" t="n">
        <v>39.8456131428862</v>
      </c>
      <c r="CP395" s="0" t="n">
        <v>40.3675165950432</v>
      </c>
      <c r="CQ395" s="0" t="n">
        <v>0.521903452157005</v>
      </c>
      <c r="CR395" s="20" t="n">
        <f aca="false">(CQ395)^2</f>
        <v>0.272383213373399</v>
      </c>
      <c r="CU395" s="0" t="n">
        <v>1.51719589794997</v>
      </c>
      <c r="CV395" s="0" t="n">
        <v>2.79344781949033</v>
      </c>
      <c r="CW395" s="0" t="n">
        <v>2.28501935429668</v>
      </c>
      <c r="CX395" s="0" t="n">
        <v>-0.508428465193648</v>
      </c>
      <c r="CY395" s="20" t="n">
        <f aca="false">(CX395)^2</f>
        <v>0.258499504219168</v>
      </c>
      <c r="DC395" s="0" t="e">
        <v>#VALUE!</v>
      </c>
      <c r="DD395" s="0" t="e">
        <v>#VALUE!</v>
      </c>
      <c r="DJ395" s="0" t="n">
        <v>0.480680142248951</v>
      </c>
      <c r="DK395" s="0" t="n">
        <v>1.31668334226803</v>
      </c>
      <c r="DQ395" s="0" t="n">
        <v>0.408424559887751</v>
      </c>
      <c r="DR395" s="0" t="n">
        <v>1.11876020519865</v>
      </c>
      <c r="DX395" s="0" t="n">
        <v>0.51456867073752</v>
      </c>
      <c r="DY395" s="0" t="n">
        <v>1.40951110242078</v>
      </c>
    </row>
    <row r="396" customFormat="false" ht="12.8" hidden="false" customHeight="false" outlineLevel="0" collapsed="false">
      <c r="A396" s="22" t="n">
        <v>35</v>
      </c>
      <c r="B396" s="22" t="s">
        <v>241</v>
      </c>
      <c r="C396" s="22" t="s">
        <v>514</v>
      </c>
      <c r="D396" s="22" t="s">
        <v>241</v>
      </c>
      <c r="E396" s="42" t="n">
        <f aca="false">G37</f>
        <v>55.1753432835821</v>
      </c>
      <c r="F396" s="42" t="s">
        <v>241</v>
      </c>
      <c r="G396" s="42" t="n">
        <f aca="false">H37</f>
        <v>0.4086</v>
      </c>
      <c r="H396" s="42" t="s">
        <v>241</v>
      </c>
      <c r="I396" s="42" t="n">
        <f aca="false">AN37</f>
        <v>6.83142933034778</v>
      </c>
      <c r="J396" s="42" t="s">
        <v>241</v>
      </c>
      <c r="K396" s="42" t="n">
        <f aca="false">P37</f>
        <v>4.29898582677165</v>
      </c>
      <c r="L396" s="42" t="s">
        <v>241</v>
      </c>
      <c r="M396" s="42" t="n">
        <f aca="false">Q37</f>
        <v>0.067</v>
      </c>
      <c r="N396" s="42" t="s">
        <v>241</v>
      </c>
      <c r="O396" s="42" t="n">
        <f aca="false">AS37</f>
        <v>0.668548180542831</v>
      </c>
      <c r="P396" s="42" t="s">
        <v>241</v>
      </c>
      <c r="Q396" s="42" t="n">
        <f aca="false">BC37*2.355</f>
        <v>1.7802464715</v>
      </c>
      <c r="R396" s="42" t="str">
        <f aca="false">N396</f>
        <v>&amp;</v>
      </c>
      <c r="S396" s="45" t="n">
        <f aca="false">Sheet2!M37</f>
        <v>0.00572</v>
      </c>
      <c r="T396" s="42" t="str">
        <f aca="false">P396</f>
        <v>&amp;</v>
      </c>
      <c r="U396" s="42" t="n">
        <f aca="false">Sheet2!N37</f>
        <v>28.9676621692261</v>
      </c>
      <c r="V396" s="22" t="s">
        <v>350</v>
      </c>
      <c r="BZ396" s="0" t="n">
        <v>2.18948247828467</v>
      </c>
      <c r="CA396" s="0" t="n">
        <v>39.3873610047681</v>
      </c>
      <c r="CB396" s="0" t="n">
        <v>39.8158956218551</v>
      </c>
      <c r="CC396" s="0" t="n">
        <v>0.428534617086989</v>
      </c>
      <c r="CD396" s="20" t="n">
        <f aca="false">(CC396)^2</f>
        <v>0.183641918041892</v>
      </c>
      <c r="CG396" s="0" t="n">
        <v>2.18948247828467</v>
      </c>
      <c r="CH396" s="0" t="n">
        <v>39.9474607592289</v>
      </c>
      <c r="CI396" s="0" t="n">
        <v>40.2813702480347</v>
      </c>
      <c r="CJ396" s="0" t="n">
        <v>0.333909488805752</v>
      </c>
      <c r="CK396" s="20" t="n">
        <f aca="false">(CJ396)^2</f>
        <v>0.111495546714518</v>
      </c>
      <c r="CN396" s="0" t="n">
        <v>2.18948247828467</v>
      </c>
      <c r="CO396" s="0" t="n">
        <v>39.7778340987696</v>
      </c>
      <c r="CP396" s="0" t="n">
        <v>40.2813702480347</v>
      </c>
      <c r="CQ396" s="0" t="n">
        <v>0.503536149265102</v>
      </c>
      <c r="CR396" s="20" t="n">
        <f aca="false">(CQ396)^2</f>
        <v>0.253548653616727</v>
      </c>
      <c r="CU396" s="0" t="n">
        <v>1.32221929473392</v>
      </c>
      <c r="CV396" s="0" t="n">
        <v>2.6514586053605</v>
      </c>
      <c r="CW396" s="0" t="n">
        <v>2.18948247828467</v>
      </c>
      <c r="CX396" s="0" t="n">
        <v>-0.461976127075834</v>
      </c>
      <c r="CY396" s="20" t="n">
        <f aca="false">(CX396)^2</f>
        <v>0.213421941987987</v>
      </c>
      <c r="DC396" s="0" t="e">
        <v>#VALUE!</v>
      </c>
      <c r="DD396" s="0" t="e">
        <v>#VALUE!</v>
      </c>
      <c r="DJ396" s="0" t="n">
        <v>0.181773974584533</v>
      </c>
      <c r="DK396" s="0" t="n">
        <v>0.405995175901459</v>
      </c>
      <c r="DQ396" s="0" t="n">
        <v>0.135113669546076</v>
      </c>
      <c r="DR396" s="0" t="n">
        <v>0.344966197809402</v>
      </c>
      <c r="DX396" s="0" t="n">
        <v>0.0571100559773918</v>
      </c>
      <c r="DY396" s="0" t="n">
        <v>0.43461832438516</v>
      </c>
    </row>
    <row r="397" customFormat="false" ht="12.8" hidden="false" customHeight="false" outlineLevel="0" collapsed="false">
      <c r="A397" s="22" t="n">
        <v>36</v>
      </c>
      <c r="B397" s="22" t="s">
        <v>241</v>
      </c>
      <c r="C397" s="22" t="s">
        <v>515</v>
      </c>
      <c r="D397" s="22" t="s">
        <v>241</v>
      </c>
      <c r="E397" s="42" t="n">
        <f aca="false">G38</f>
        <v>24.2544020300088</v>
      </c>
      <c r="F397" s="42" t="s">
        <v>241</v>
      </c>
      <c r="G397" s="42" t="n">
        <f aca="false">H38</f>
        <v>0.15</v>
      </c>
      <c r="H397" s="42" t="s">
        <v>241</v>
      </c>
      <c r="I397" s="42" t="n">
        <f aca="false">AN38</f>
        <v>3.60019405859161</v>
      </c>
      <c r="J397" s="42" t="s">
        <v>241</v>
      </c>
      <c r="K397" s="42" t="n">
        <f aca="false">P38</f>
        <v>3.06073046471601</v>
      </c>
      <c r="L397" s="42" t="s">
        <v>241</v>
      </c>
      <c r="M397" s="42" t="n">
        <f aca="false">Q38</f>
        <v>0.05</v>
      </c>
      <c r="N397" s="42" t="s">
        <v>241</v>
      </c>
      <c r="O397" s="42" t="n">
        <f aca="false">AS38</f>
        <v>0.480300197190104</v>
      </c>
      <c r="P397" s="42" t="s">
        <v>241</v>
      </c>
      <c r="Q397" s="42" t="n">
        <f aca="false">BC38*2.355</f>
        <v>1.8665421495</v>
      </c>
      <c r="R397" s="42" t="str">
        <f aca="false">N397</f>
        <v>&amp;</v>
      </c>
      <c r="S397" s="45" t="n">
        <f aca="false">Sheet2!M38</f>
        <v>0.00352</v>
      </c>
      <c r="T397" s="42" t="str">
        <f aca="false">P397</f>
        <v>&amp;</v>
      </c>
      <c r="U397" s="42" t="n">
        <f aca="false">Sheet2!N38</f>
        <v>19.859939950151</v>
      </c>
      <c r="V397" s="22" t="s">
        <v>350</v>
      </c>
      <c r="BZ397" s="0" t="n">
        <v>3.01277417174865</v>
      </c>
      <c r="CA397" s="0" t="n">
        <v>40.1575830351556</v>
      </c>
      <c r="CB397" s="0" t="n">
        <v>39.9770046637507</v>
      </c>
      <c r="CC397" s="0" t="n">
        <v>-0.18057837140487</v>
      </c>
      <c r="CD397" s="20" t="n">
        <f aca="false">(CC397)^2</f>
        <v>0.0326085482192352</v>
      </c>
      <c r="CG397" s="0" t="n">
        <v>3.01277417174865</v>
      </c>
      <c r="CH397" s="0" t="n">
        <v>40.5714404233088</v>
      </c>
      <c r="CI397" s="0" t="n">
        <v>40.5618565782759</v>
      </c>
      <c r="CJ397" s="0" t="n">
        <v>-0.00958384503285714</v>
      </c>
      <c r="CK397" s="20" t="n">
        <f aca="false">(CJ397)^2</f>
        <v>9.18500856138205E-005</v>
      </c>
      <c r="CN397" s="0" t="n">
        <v>3.01277417174865</v>
      </c>
      <c r="CO397" s="0" t="n">
        <v>40.3619219017359</v>
      </c>
      <c r="CP397" s="0" t="n">
        <v>40.2717584423895</v>
      </c>
      <c r="CQ397" s="0" t="n">
        <v>-0.0901634593463996</v>
      </c>
      <c r="CR397" s="20" t="n">
        <f aca="false">(CQ397)^2</f>
        <v>0.00812944940130985</v>
      </c>
      <c r="CU397" s="0" t="n">
        <v>1.23299611039215</v>
      </c>
      <c r="CV397" s="0" t="n">
        <v>2.58648296408928</v>
      </c>
      <c r="CW397" s="0" t="n">
        <v>3.01277417174865</v>
      </c>
      <c r="CX397" s="0" t="n">
        <v>0.426291207659371</v>
      </c>
      <c r="CY397" s="20" t="n">
        <f aca="false">(CX397)^2</f>
        <v>0.181724193727685</v>
      </c>
      <c r="DC397" s="0" t="e">
        <v>#VALUE!</v>
      </c>
      <c r="DD397" s="0" t="e">
        <v>#VALUE!</v>
      </c>
      <c r="DJ397" s="0" t="n">
        <v>3.11018662953342</v>
      </c>
      <c r="DK397" s="0" t="n">
        <v>14</v>
      </c>
      <c r="DQ397" s="0" t="n">
        <v>2.18709824290122</v>
      </c>
      <c r="DR397" s="0" t="n">
        <v>14</v>
      </c>
      <c r="DX397" s="0" t="n">
        <v>0.847968300809786</v>
      </c>
      <c r="DY397" s="0" t="n">
        <v>14</v>
      </c>
    </row>
    <row r="398" customFormat="false" ht="12.8" hidden="false" customHeight="false" outlineLevel="0" collapsed="false">
      <c r="A398" s="22" t="n">
        <v>37</v>
      </c>
      <c r="B398" s="22" t="s">
        <v>241</v>
      </c>
      <c r="C398" s="22" t="s">
        <v>516</v>
      </c>
      <c r="D398" s="22" t="s">
        <v>241</v>
      </c>
      <c r="E398" s="42" t="n">
        <f aca="false">G39</f>
        <v>13.8404661599048</v>
      </c>
      <c r="F398" s="42" t="s">
        <v>241</v>
      </c>
      <c r="G398" s="42" t="n">
        <f aca="false">H39</f>
        <v>0.1647</v>
      </c>
      <c r="H398" s="42" t="s">
        <v>241</v>
      </c>
      <c r="I398" s="42" t="n">
        <f aca="false">AN39</f>
        <v>2.03656293082255</v>
      </c>
      <c r="J398" s="42" t="s">
        <v>241</v>
      </c>
      <c r="K398" s="42" t="n">
        <f aca="false">P39</f>
        <v>3.40092485549133</v>
      </c>
      <c r="L398" s="42" t="s">
        <v>241</v>
      </c>
      <c r="M398" s="42" t="n">
        <f aca="false">Q39</f>
        <v>0.225</v>
      </c>
      <c r="N398" s="42" t="s">
        <v>241</v>
      </c>
      <c r="O398" s="42" t="n">
        <f aca="false">AS39</f>
        <v>0.482029661781745</v>
      </c>
      <c r="P398" s="42" t="s">
        <v>241</v>
      </c>
      <c r="Q398" s="42" t="n">
        <f aca="false">BC39*2.355</f>
        <v>1.975625043</v>
      </c>
      <c r="R398" s="42" t="str">
        <f aca="false">N398</f>
        <v>&amp;</v>
      </c>
      <c r="S398" s="45" t="n">
        <f aca="false">Sheet2!M39</f>
        <v>0.00468</v>
      </c>
      <c r="T398" s="42" t="str">
        <f aca="false">P398</f>
        <v>&amp;</v>
      </c>
      <c r="U398" s="42" t="n">
        <f aca="false">Sheet2!N39</f>
        <v>24.668561959349</v>
      </c>
      <c r="V398" s="22" t="s">
        <v>350</v>
      </c>
      <c r="BZ398" s="0" t="n">
        <v>2.23419219759188</v>
      </c>
      <c r="CA398" s="0" t="n">
        <v>39.4291887203351</v>
      </c>
      <c r="CB398" s="0" t="n">
        <v>39.0888685217564</v>
      </c>
      <c r="CC398" s="0" t="n">
        <v>-0.340320198578667</v>
      </c>
      <c r="CD398" s="20" t="n">
        <f aca="false">(CC398)^2</f>
        <v>0.115817837560623</v>
      </c>
      <c r="CG398" s="0" t="n">
        <v>2.23419219759188</v>
      </c>
      <c r="CH398" s="0" t="n">
        <v>39.981346629639</v>
      </c>
      <c r="CI398" s="0" t="n">
        <v>39.807392282766</v>
      </c>
      <c r="CJ398" s="0" t="n">
        <v>-0.173954346873025</v>
      </c>
      <c r="CK398" s="20" t="n">
        <f aca="false">(CJ398)^2</f>
        <v>0.0302601147960206</v>
      </c>
      <c r="CN398" s="0" t="n">
        <v>2.23419219759188</v>
      </c>
      <c r="CO398" s="0" t="n">
        <v>39.8095535998027</v>
      </c>
      <c r="CP398" s="0" t="n">
        <v>39.2678630647137</v>
      </c>
      <c r="CQ398" s="0" t="n">
        <v>-0.541690535089018</v>
      </c>
      <c r="CR398" s="20" t="n">
        <f aca="false">(CQ398)^2</f>
        <v>0.293428635805026</v>
      </c>
      <c r="CU398" s="0" t="n">
        <v>1.23299611039215</v>
      </c>
      <c r="CV398" s="0" t="n">
        <v>2.58648296408928</v>
      </c>
      <c r="CW398" s="0" t="n">
        <v>2.23419219759188</v>
      </c>
      <c r="CX398" s="0" t="n">
        <v>-0.352290766497398</v>
      </c>
      <c r="CY398" s="20" t="n">
        <f aca="false">(CX398)^2</f>
        <v>0.124108784159325</v>
      </c>
      <c r="DC398" s="0" t="e">
        <v>#VALUE!</v>
      </c>
      <c r="DD398" s="0" t="e">
        <v>#VALUE!</v>
      </c>
      <c r="DJ398" s="0" t="n">
        <v>0.512658540214565</v>
      </c>
      <c r="DK398" s="0" t="n">
        <v>2.3076491599736</v>
      </c>
      <c r="DQ398" s="0" t="n">
        <v>0.260268360049223</v>
      </c>
      <c r="DR398" s="0" t="n">
        <v>1.66602348683506</v>
      </c>
      <c r="DX398" s="0" t="n">
        <v>0.160175350773954</v>
      </c>
      <c r="DY398" s="0" t="n">
        <v>2.6445032304791</v>
      </c>
    </row>
    <row r="399" customFormat="false" ht="12.8" hidden="false" customHeight="false" outlineLevel="0" collapsed="false">
      <c r="A399" s="22" t="n">
        <v>38</v>
      </c>
      <c r="B399" s="22" t="s">
        <v>241</v>
      </c>
      <c r="C399" s="22" t="s">
        <v>517</v>
      </c>
      <c r="D399" s="22" t="s">
        <v>241</v>
      </c>
      <c r="E399" s="42" t="n">
        <f aca="false">G40</f>
        <v>20.4537256951704</v>
      </c>
      <c r="F399" s="42" t="s">
        <v>241</v>
      </c>
      <c r="G399" s="42" t="n">
        <f aca="false">H40</f>
        <v>0.0391</v>
      </c>
      <c r="H399" s="42" t="s">
        <v>241</v>
      </c>
      <c r="I399" s="42" t="n">
        <f aca="false">AN40</f>
        <v>3.22802879460861</v>
      </c>
      <c r="J399" s="42" t="s">
        <v>241</v>
      </c>
      <c r="K399" s="42" t="n">
        <f aca="false">P40</f>
        <v>3.28076983314258</v>
      </c>
      <c r="L399" s="42" t="s">
        <v>241</v>
      </c>
      <c r="M399" s="42" t="n">
        <f aca="false">Q40</f>
        <v>0.05</v>
      </c>
      <c r="N399" s="42" t="s">
        <v>241</v>
      </c>
      <c r="O399" s="42" t="n">
        <f aca="false">AS40</f>
        <v>0.514829520586333</v>
      </c>
      <c r="P399" s="42" t="s">
        <v>241</v>
      </c>
      <c r="Q399" s="42" t="n">
        <f aca="false">BC40*2.355</f>
        <v>1.3260946125</v>
      </c>
      <c r="R399" s="42" t="str">
        <f aca="false">N399</f>
        <v>&amp;</v>
      </c>
      <c r="S399" s="45" t="n">
        <f aca="false">Sheet2!M40</f>
        <v>0.00792</v>
      </c>
      <c r="T399" s="42" t="str">
        <f aca="false">P399</f>
        <v>&amp;</v>
      </c>
      <c r="U399" s="42" t="n">
        <f aca="false">Sheet2!N40</f>
        <v>37.7988945221911</v>
      </c>
      <c r="V399" s="22" t="s">
        <v>350</v>
      </c>
      <c r="BZ399" s="0" t="n">
        <v>2.51128671835605</v>
      </c>
      <c r="CA399" s="0" t="n">
        <v>39.6884216338778</v>
      </c>
      <c r="CB399" s="0" t="n">
        <v>39.3364926286811</v>
      </c>
      <c r="CC399" s="0" t="n">
        <v>-0.35192900519673</v>
      </c>
      <c r="CD399" s="20" t="n">
        <f aca="false">(CC399)^2</f>
        <v>0.12385402469876</v>
      </c>
      <c r="CG399" s="0" t="n">
        <v>2.51128671835605</v>
      </c>
      <c r="CH399" s="0" t="n">
        <v>40.1913588857536</v>
      </c>
      <c r="CI399" s="0" t="n">
        <v>39.6234285182525</v>
      </c>
      <c r="CJ399" s="0" t="n">
        <v>-0.567930367501127</v>
      </c>
      <c r="CK399" s="20" t="n">
        <f aca="false">(CJ399)^2</f>
        <v>0.322544902329965</v>
      </c>
      <c r="CN399" s="0" t="n">
        <v>2.51128671835605</v>
      </c>
      <c r="CO399" s="0" t="n">
        <v>40.0061394892658</v>
      </c>
      <c r="CP399" s="0" t="n">
        <v>39.6234285182525</v>
      </c>
      <c r="CQ399" s="0" t="n">
        <v>-0.382710971013246</v>
      </c>
      <c r="CR399" s="20" t="n">
        <f aca="false">(CQ399)^2</f>
        <v>0.146467687333902</v>
      </c>
      <c r="CU399" s="0" t="n">
        <v>1.3541084391474</v>
      </c>
      <c r="CV399" s="0" t="n">
        <v>2.6746814663595</v>
      </c>
      <c r="CW399" s="0" t="n">
        <v>2.51128671835605</v>
      </c>
      <c r="CX399" s="0" t="n">
        <v>-0.163394748003449</v>
      </c>
      <c r="CY399" s="20" t="n">
        <f aca="false">(CX399)^2</f>
        <v>0.0266978436751107</v>
      </c>
    </row>
    <row r="400" customFormat="false" ht="12.8" hidden="false" customHeight="false" outlineLevel="0" collapsed="false">
      <c r="A400" s="22" t="n">
        <v>39</v>
      </c>
      <c r="B400" s="22" t="s">
        <v>241</v>
      </c>
      <c r="C400" s="22" t="s">
        <v>518</v>
      </c>
      <c r="D400" s="22" t="s">
        <v>241</v>
      </c>
      <c r="E400" s="42" t="n">
        <f aca="false">G41</f>
        <v>4.80552076677316</v>
      </c>
      <c r="F400" s="42" t="s">
        <v>241</v>
      </c>
      <c r="G400" s="42" t="n">
        <f aca="false">H41</f>
        <v>0.1</v>
      </c>
      <c r="H400" s="42" t="s">
        <v>241</v>
      </c>
      <c r="I400" s="42" t="n">
        <f aca="false">AN41</f>
        <v>0.733985683669488</v>
      </c>
      <c r="J400" s="42" t="s">
        <v>241</v>
      </c>
      <c r="K400" s="42" t="n">
        <f aca="false">P41</f>
        <v>3.88634835752483</v>
      </c>
      <c r="L400" s="42" t="s">
        <v>241</v>
      </c>
      <c r="M400" s="42" t="n">
        <f aca="false">Q41</f>
        <v>0.05</v>
      </c>
      <c r="N400" s="42" t="s">
        <v>241</v>
      </c>
      <c r="O400" s="42" t="n">
        <f aca="false">AS41</f>
        <v>0.609858954908598</v>
      </c>
      <c r="P400" s="42" t="s">
        <v>241</v>
      </c>
      <c r="Q400" s="42" t="n">
        <f aca="false">BC41*2.355</f>
        <v>1.724472771</v>
      </c>
      <c r="R400" s="42" t="str">
        <f aca="false">N400</f>
        <v>&amp;</v>
      </c>
      <c r="S400" s="45" t="n">
        <f aca="false">Sheet2!M41</f>
        <v>0.00429</v>
      </c>
      <c r="T400" s="42" t="str">
        <f aca="false">P400</f>
        <v>&amp;</v>
      </c>
      <c r="U400" s="42" t="n">
        <f aca="false">Sheet2!N41</f>
        <v>22.3081852088368</v>
      </c>
      <c r="V400" s="22" t="s">
        <v>350</v>
      </c>
      <c r="BZ400" s="0" t="n">
        <v>2.98461060088215</v>
      </c>
      <c r="CA400" s="0" t="n">
        <v>40.1312348976632</v>
      </c>
      <c r="CB400" s="0" t="n">
        <v>40.3263420583806</v>
      </c>
      <c r="CC400" s="0" t="n">
        <v>0.195107160717448</v>
      </c>
      <c r="CD400" s="20" t="n">
        <f aca="false">(CC400)^2</f>
        <v>0.0380668041632242</v>
      </c>
      <c r="CG400" s="0" t="n">
        <v>2.98461060088215</v>
      </c>
      <c r="CH400" s="0" t="n">
        <v>40.5500950172661</v>
      </c>
      <c r="CI400" s="0" t="n">
        <v>40.3264007404092</v>
      </c>
      <c r="CJ400" s="0" t="n">
        <v>-0.223694276856868</v>
      </c>
      <c r="CK400" s="20" t="n">
        <f aca="false">(CJ400)^2</f>
        <v>0.0500391294985172</v>
      </c>
      <c r="CN400" s="0" t="n">
        <v>2.98461060088215</v>
      </c>
      <c r="CO400" s="0" t="n">
        <v>40.3419411362773</v>
      </c>
      <c r="CP400" s="0" t="n">
        <v>40.3264007404092</v>
      </c>
      <c r="CQ400" s="0" t="n">
        <v>-0.0155403958681219</v>
      </c>
      <c r="CR400" s="20" t="n">
        <f aca="false">(CQ400)^2</f>
        <v>0.000241503903737942</v>
      </c>
      <c r="CU400" s="0" t="n">
        <v>1.48572142648158</v>
      </c>
      <c r="CV400" s="0" t="n">
        <v>2.77052693875267</v>
      </c>
      <c r="CW400" s="0" t="n">
        <v>2.98461060088215</v>
      </c>
      <c r="CX400" s="0" t="n">
        <v>0.214083662129478</v>
      </c>
      <c r="CY400" s="20" t="n">
        <f aca="false">(CX400)^2</f>
        <v>0.0458318143907685</v>
      </c>
      <c r="DC400" s="0" t="s">
        <v>100</v>
      </c>
      <c r="DJ400" s="0" t="s">
        <v>100</v>
      </c>
      <c r="DQ400" s="0" t="s">
        <v>100</v>
      </c>
      <c r="DX400" s="0" t="s">
        <v>100</v>
      </c>
    </row>
    <row r="401" customFormat="false" ht="12.8" hidden="false" customHeight="false" outlineLevel="0" collapsed="false">
      <c r="BZ401" s="0" t="n">
        <v>2.65208067517048</v>
      </c>
      <c r="CA401" s="0" t="n">
        <v>39.820139964264</v>
      </c>
      <c r="CB401" s="0" t="n">
        <v>39.7238406799932</v>
      </c>
      <c r="CC401" s="0" t="n">
        <v>-0.0962992842708204</v>
      </c>
      <c r="CD401" s="20" t="n">
        <f aca="false">(CC401)^2</f>
        <v>0.00927355215107227</v>
      </c>
      <c r="CG401" s="0" t="n">
        <v>2.65208067517048</v>
      </c>
      <c r="CH401" s="0" t="n">
        <v>40.2980678038382</v>
      </c>
      <c r="CI401" s="0" t="n">
        <v>40.2529720067542</v>
      </c>
      <c r="CJ401" s="0" t="n">
        <v>-0.0450957970839809</v>
      </c>
      <c r="CK401" s="20" t="n">
        <f aca="false">(CJ401)^2</f>
        <v>0.00203363091463958</v>
      </c>
      <c r="CN401" s="0" t="n">
        <v>2.65208067517048</v>
      </c>
      <c r="CO401" s="0" t="n">
        <v>40.1060263623625</v>
      </c>
      <c r="CP401" s="0" t="n">
        <v>40.0756659371669</v>
      </c>
      <c r="CQ401" s="0" t="n">
        <v>-0.0303604251956315</v>
      </c>
      <c r="CR401" s="20" t="n">
        <f aca="false">(CQ401)^2</f>
        <v>0.000921755418059538</v>
      </c>
      <c r="CU401" s="0" t="n">
        <v>1.39967372148104</v>
      </c>
      <c r="CV401" s="0" t="n">
        <v>2.70786379964175</v>
      </c>
      <c r="CW401" s="0" t="n">
        <v>2.65208067517048</v>
      </c>
      <c r="CX401" s="0" t="n">
        <v>-0.0557831244712741</v>
      </c>
      <c r="CY401" s="20" t="n">
        <f aca="false">(CX401)^2</f>
        <v>0.00311175697577766</v>
      </c>
      <c r="DC401" s="0" t="s">
        <v>103</v>
      </c>
      <c r="DD401" s="0" t="e">
        <f aca="false">$DC$396</f>
        <v>#VALUE!</v>
      </c>
      <c r="DJ401" s="0" t="s">
        <v>103</v>
      </c>
      <c r="DK401" s="0" t="n">
        <f aca="false">$DJ$396</f>
        <v>0.181773974584533</v>
      </c>
      <c r="DQ401" s="0" t="s">
        <v>103</v>
      </c>
      <c r="DR401" s="0" t="n">
        <f aca="false">$DQ$396</f>
        <v>0.135113669546076</v>
      </c>
      <c r="DX401" s="0" t="s">
        <v>103</v>
      </c>
      <c r="DY401" s="0" t="n">
        <f aca="false">$DX$396</f>
        <v>0.0571100559773918</v>
      </c>
    </row>
    <row r="402" customFormat="false" ht="12.8" hidden="false" customHeight="false" outlineLevel="0" collapsed="false">
      <c r="A402" s="0" t="s">
        <v>519</v>
      </c>
      <c r="BZ402" s="0" t="n">
        <v>3.14327666168951</v>
      </c>
      <c r="CA402" s="0" t="n">
        <v>40.2796732901294</v>
      </c>
      <c r="CB402" s="0" t="n">
        <v>40.069553025812</v>
      </c>
      <c r="CC402" s="0" t="n">
        <v>-0.210120264317418</v>
      </c>
      <c r="CD402" s="20" t="n">
        <f aca="false">(CC402)^2</f>
        <v>0.0441505254768214</v>
      </c>
      <c r="CG402" s="0" t="n">
        <v>3.14327666168951</v>
      </c>
      <c r="CH402" s="0" t="n">
        <v>40.6703493525271</v>
      </c>
      <c r="CI402" s="0" t="n">
        <v>41.2641577153917</v>
      </c>
      <c r="CJ402" s="0" t="n">
        <v>0.593808362864593</v>
      </c>
      <c r="CK402" s="20" t="n">
        <f aca="false">(CJ402)^2</f>
        <v>0.352608371807928</v>
      </c>
      <c r="CN402" s="0" t="n">
        <v>3.14327666168951</v>
      </c>
      <c r="CO402" s="0" t="n">
        <v>40.4545074497699</v>
      </c>
      <c r="CP402" s="0" t="n">
        <v>40.7238661685937</v>
      </c>
      <c r="CQ402" s="0" t="n">
        <v>0.269358718823824</v>
      </c>
      <c r="CR402" s="20" t="n">
        <f aca="false">(CQ402)^2</f>
        <v>0.0725541194064119</v>
      </c>
      <c r="CU402" s="0" t="n">
        <v>1.3384564936046</v>
      </c>
      <c r="CV402" s="0" t="n">
        <v>2.6632831374802</v>
      </c>
      <c r="CW402" s="0" t="n">
        <v>3.14327666168951</v>
      </c>
      <c r="CX402" s="0" t="n">
        <v>0.479993524209309</v>
      </c>
      <c r="CY402" s="20" t="n">
        <f aca="false">(CX402)^2</f>
        <v>0.230393783282873</v>
      </c>
      <c r="DC402" s="0" t="s">
        <v>106</v>
      </c>
      <c r="DD402" s="0" t="e">
        <f aca="false">$DD$396</f>
        <v>#VALUE!</v>
      </c>
      <c r="DJ402" s="0" t="s">
        <v>106</v>
      </c>
      <c r="DK402" s="0" t="n">
        <f aca="false">$DK$396</f>
        <v>0.405995175901459</v>
      </c>
      <c r="DQ402" s="0" t="s">
        <v>106</v>
      </c>
      <c r="DR402" s="0" t="n">
        <f aca="false">$DR$396</f>
        <v>0.344966197809402</v>
      </c>
      <c r="DX402" s="0" t="s">
        <v>106</v>
      </c>
      <c r="DY402" s="0" t="n">
        <f aca="false">$DY$396</f>
        <v>0.43461832438516</v>
      </c>
    </row>
    <row r="403" customFormat="false" ht="12.8" hidden="false" customHeight="false" outlineLevel="0" collapsed="false">
      <c r="BZ403" s="0" t="n">
        <v>2.72075204192537</v>
      </c>
      <c r="CA403" s="0" t="n">
        <v>39.8843847513199</v>
      </c>
      <c r="CB403" s="0" t="n">
        <v>39.8138398098754</v>
      </c>
      <c r="CC403" s="0" t="n">
        <v>-0.0705449414444601</v>
      </c>
      <c r="CD403" s="20" t="n">
        <f aca="false">(CC403)^2</f>
        <v>0.00497658876340231</v>
      </c>
      <c r="CG403" s="0" t="n">
        <v>2.72075204192537</v>
      </c>
      <c r="CH403" s="0" t="n">
        <v>40.3501144073686</v>
      </c>
      <c r="CI403" s="0" t="n">
        <v>40.2861528339909</v>
      </c>
      <c r="CJ403" s="0" t="n">
        <v>-0.0639615733777106</v>
      </c>
      <c r="CK403" s="20" t="n">
        <f aca="false">(CJ403)^2</f>
        <v>0.00409108286895226</v>
      </c>
      <c r="CN403" s="0" t="n">
        <v>2.72075204192537</v>
      </c>
      <c r="CO403" s="0" t="n">
        <v>40.1547455563651</v>
      </c>
      <c r="CP403" s="0" t="n">
        <v>39.8999512285901</v>
      </c>
      <c r="CQ403" s="0" t="n">
        <v>-0.254794327774981</v>
      </c>
      <c r="CR403" s="20" t="n">
        <f aca="false">(CQ403)^2</f>
        <v>0.0649201494663044</v>
      </c>
      <c r="CU403" s="0" t="n">
        <v>1.25527250510331</v>
      </c>
      <c r="CV403" s="0" t="n">
        <v>2.60270546323282</v>
      </c>
      <c r="CW403" s="0" t="n">
        <v>2.72075204192537</v>
      </c>
      <c r="CX403" s="0" t="n">
        <v>0.118046578692548</v>
      </c>
      <c r="CY403" s="20" t="n">
        <f aca="false">(CX403)^2</f>
        <v>0.013934994741016</v>
      </c>
      <c r="DC403" s="0" t="s">
        <v>109</v>
      </c>
      <c r="DD403" s="0" t="n">
        <f aca="false">1</f>
        <v>1</v>
      </c>
      <c r="DJ403" s="0" t="s">
        <v>109</v>
      </c>
      <c r="DK403" s="0" t="n">
        <f aca="false">1</f>
        <v>1</v>
      </c>
      <c r="DQ403" s="0" t="s">
        <v>109</v>
      </c>
      <c r="DR403" s="0" t="n">
        <f aca="false">1</f>
        <v>1</v>
      </c>
      <c r="DX403" s="0" t="s">
        <v>109</v>
      </c>
      <c r="DY403" s="0" t="n">
        <f aca="false">1</f>
        <v>1</v>
      </c>
    </row>
    <row r="404" customFormat="false" ht="12.8" hidden="false" customHeight="false" outlineLevel="0" collapsed="false">
      <c r="A404" s="22"/>
      <c r="B404" s="22"/>
      <c r="C404" s="22" t="str">
        <f aca="false">C361</f>
        <v>galaxy</v>
      </c>
      <c r="D404" s="22"/>
      <c r="E404" s="22" t="s">
        <v>520</v>
      </c>
      <c r="F404" s="22"/>
      <c r="G404" s="22" t="s">
        <v>521</v>
      </c>
      <c r="H404" s="22"/>
      <c r="I404" s="22" t="s">
        <v>522</v>
      </c>
      <c r="J404" s="22"/>
      <c r="K404" s="22" t="s">
        <v>523</v>
      </c>
      <c r="L404" s="22"/>
      <c r="M404" s="22" t="s">
        <v>524</v>
      </c>
      <c r="N404" s="0" t="s">
        <v>350</v>
      </c>
      <c r="BZ404" s="0" t="n">
        <v>2.48769573000203</v>
      </c>
      <c r="CA404" s="0" t="n">
        <v>39.6663513286711</v>
      </c>
      <c r="CB404" s="0" t="n">
        <v>39.0981383321098</v>
      </c>
      <c r="CC404" s="0" t="n">
        <v>-0.568212996561343</v>
      </c>
      <c r="CD404" s="20" t="n">
        <f aca="false">(CC404)^2</f>
        <v>0.32286600946122</v>
      </c>
      <c r="CG404" s="0" t="n">
        <v>2.48769573000203</v>
      </c>
      <c r="CH404" s="0" t="n">
        <v>40.1734790782622</v>
      </c>
      <c r="CI404" s="0" t="n">
        <v>39.9333875133335</v>
      </c>
      <c r="CJ404" s="0" t="n">
        <v>-0.240091564928676</v>
      </c>
      <c r="CK404" s="20" t="n">
        <f aca="false">(CJ404)^2</f>
        <v>0.0576439595499006</v>
      </c>
      <c r="CN404" s="0" t="n">
        <v>2.48769573000203</v>
      </c>
      <c r="CO404" s="0" t="n">
        <v>39.989402761971</v>
      </c>
      <c r="CP404" s="0" t="n">
        <v>39.7399913960693</v>
      </c>
      <c r="CQ404" s="0" t="n">
        <v>-0.249411365901743</v>
      </c>
      <c r="CR404" s="20" t="n">
        <f aca="false">(CQ404)^2</f>
        <v>0.0622060294409731</v>
      </c>
      <c r="CU404" s="0" t="n">
        <v>1.22010808804006</v>
      </c>
      <c r="CV404" s="0" t="n">
        <v>2.57709742687468</v>
      </c>
      <c r="CW404" s="0" t="n">
        <v>2.48769573000203</v>
      </c>
      <c r="CX404" s="0" t="n">
        <v>-0.0894016968726468</v>
      </c>
      <c r="CY404" s="20" t="n">
        <f aca="false">(CX404)^2</f>
        <v>0.00799266340370862</v>
      </c>
      <c r="DC404" s="0" t="s">
        <v>112</v>
      </c>
      <c r="DD404" s="0" t="n">
        <f aca="false">16</f>
        <v>16</v>
      </c>
      <c r="DJ404" s="0" t="s">
        <v>112</v>
      </c>
      <c r="DK404" s="0" t="n">
        <f aca="false">16</f>
        <v>16</v>
      </c>
      <c r="DQ404" s="0" t="s">
        <v>112</v>
      </c>
      <c r="DR404" s="0" t="n">
        <f aca="false">16</f>
        <v>16</v>
      </c>
      <c r="DX404" s="0" t="s">
        <v>112</v>
      </c>
      <c r="DY404" s="0" t="n">
        <f aca="false">16</f>
        <v>16</v>
      </c>
    </row>
    <row r="405" customFormat="false" ht="12.8" hidden="false" customHeight="false" outlineLevel="0" collapsed="false">
      <c r="A405" s="22" t="n">
        <f aca="false">A362</f>
        <v>1</v>
      </c>
      <c r="B405" s="22" t="str">
        <f aca="false">B362</f>
        <v>&amp;</v>
      </c>
      <c r="C405" s="42" t="str">
        <f aca="false">C362</f>
        <v>Cam0840+1044</v>
      </c>
      <c r="D405" s="42" t="str">
        <f aca="false">D362</f>
        <v>&amp;</v>
      </c>
      <c r="E405" s="42" t="n">
        <f aca="false">BO3</f>
        <v>1.64345267648619</v>
      </c>
      <c r="F405" s="42" t="str">
        <f aca="false">F362</f>
        <v>&amp;</v>
      </c>
      <c r="G405" s="42" t="n">
        <f aca="false">BN3</f>
        <v>7.73</v>
      </c>
      <c r="H405" s="42" t="str">
        <f aca="false">H362</f>
        <v>&amp;</v>
      </c>
      <c r="I405" s="42" t="n">
        <f aca="false">BM3</f>
        <v>1.18752072083646</v>
      </c>
      <c r="J405" s="42" t="str">
        <f aca="false">J362</f>
        <v>&amp;</v>
      </c>
      <c r="K405" s="42" t="n">
        <f aca="false">BJ3</f>
        <v>2.62956092768934</v>
      </c>
      <c r="L405" s="42" t="str">
        <f aca="false">L362</f>
        <v>&amp;</v>
      </c>
      <c r="M405" s="42" t="n">
        <f aca="false">BL3</f>
        <v>2.05463340928398</v>
      </c>
      <c r="N405" s="0" t="s">
        <v>350</v>
      </c>
      <c r="BZ405" s="0" t="n">
        <v>2.80181789701222</v>
      </c>
      <c r="CA405" s="0" t="n">
        <v>39.9602250737667</v>
      </c>
      <c r="CB405" s="0" t="n">
        <v>40.6295612869068</v>
      </c>
      <c r="CC405" s="0" t="n">
        <v>0.669336213140134</v>
      </c>
      <c r="CD405" s="20" t="n">
        <f aca="false">(CC405)^2</f>
        <v>0.448010966220775</v>
      </c>
      <c r="CG405" s="0" t="n">
        <v>2.80181789701222</v>
      </c>
      <c r="CH405" s="0" t="n">
        <v>40.4115548973274</v>
      </c>
      <c r="CI405" s="0" t="n">
        <v>40.9807675767649</v>
      </c>
      <c r="CJ405" s="0" t="n">
        <v>0.569212679437491</v>
      </c>
      <c r="CK405" s="20" t="n">
        <f aca="false">(CJ405)^2</f>
        <v>0.324003074432408</v>
      </c>
      <c r="CN405" s="0" t="n">
        <v>2.80181789701222</v>
      </c>
      <c r="CO405" s="0" t="n">
        <v>40.2122580729727</v>
      </c>
      <c r="CP405" s="0" t="n">
        <v>40.9807675767649</v>
      </c>
      <c r="CQ405" s="0" t="n">
        <v>0.768509503792195</v>
      </c>
      <c r="CR405" s="20" t="n">
        <f aca="false">(CQ405)^2</f>
        <v>0.590606857418926</v>
      </c>
      <c r="CU405" s="0" t="n">
        <v>1.50514997831991</v>
      </c>
      <c r="CV405" s="0" t="n">
        <v>2.78467553279782</v>
      </c>
      <c r="CW405" s="0" t="n">
        <v>2.80181789701222</v>
      </c>
      <c r="CX405" s="0" t="n">
        <v>0.0171423642144037</v>
      </c>
      <c r="CY405" s="20" t="n">
        <f aca="false">(CX405)^2</f>
        <v>0.00029386065085927</v>
      </c>
      <c r="DC405" s="0" t="s">
        <v>115</v>
      </c>
      <c r="DD405" s="0" t="e">
        <f aca="false">1 - (1 - $DC$396)*($DD$404 - 1)/($DD$404 - $DD$403 - 1)</f>
        <v>#VALUE!</v>
      </c>
      <c r="DJ405" s="0" t="s">
        <v>115</v>
      </c>
      <c r="DK405" s="0" t="n">
        <f aca="false">1 - (1 - $DJ$396)*($DK$404 - 1)/($DK$404 - $DK$403 - 1)</f>
        <v>0.123329258483428</v>
      </c>
      <c r="DQ405" s="0" t="s">
        <v>115</v>
      </c>
      <c r="DR405" s="0" t="n">
        <f aca="false">1 - (1 - $DQ$396)*($DR$404 - 1)/($DR$404 - $DR$403 - 1)</f>
        <v>0.0733360745136525</v>
      </c>
      <c r="DX405" s="0" t="s">
        <v>115</v>
      </c>
      <c r="DY405" s="0" t="n">
        <f aca="false">1 - (1 - $DX$396)*($DY$404 - 1)/($DY$404 - $DY$403 - 1)</f>
        <v>-0.0102392257385087</v>
      </c>
    </row>
    <row r="406" customFormat="false" ht="12.8" hidden="false" customHeight="false" outlineLevel="0" collapsed="false">
      <c r="A406" s="22" t="n">
        <f aca="false">A363</f>
        <v>2</v>
      </c>
      <c r="B406" s="22" t="str">
        <f aca="false">B363</f>
        <v>&amp;</v>
      </c>
      <c r="C406" s="42" t="str">
        <f aca="false">C363</f>
        <v>CTS1011</v>
      </c>
      <c r="D406" s="42" t="str">
        <f aca="false">D363</f>
        <v>&amp;</v>
      </c>
      <c r="E406" s="42" t="n">
        <f aca="false">BO4</f>
        <v>1.96848294855394</v>
      </c>
      <c r="F406" s="42" t="str">
        <f aca="false">F363</f>
        <v>&amp;</v>
      </c>
      <c r="G406" s="42" t="n">
        <f aca="false">BN4</f>
        <v>8.18</v>
      </c>
      <c r="H406" s="42" t="str">
        <f aca="false">H363</f>
        <v>&amp;</v>
      </c>
      <c r="I406" s="42" t="n">
        <f aca="false">BM4</f>
        <v>1.32633586092875</v>
      </c>
      <c r="J406" s="42" t="str">
        <f aca="false">J363</f>
        <v>&amp;</v>
      </c>
      <c r="K406" s="42" t="n">
        <f aca="false">BJ4</f>
        <v>2.78221676211721</v>
      </c>
      <c r="L406" s="42" t="str">
        <f aca="false">L363</f>
        <v>&amp;</v>
      </c>
      <c r="M406" s="42" t="n">
        <f aca="false">BL4</f>
        <v>2.08700408042741</v>
      </c>
      <c r="N406" s="0" t="s">
        <v>350</v>
      </c>
      <c r="BZ406" s="0" t="n">
        <v>3.10471867515012</v>
      </c>
      <c r="CA406" s="0" t="n">
        <v>40.24360076454</v>
      </c>
      <c r="CB406" s="0" t="n">
        <v>40.2970404904863</v>
      </c>
      <c r="CC406" s="0" t="n">
        <v>0.0534397259462907</v>
      </c>
      <c r="CD406" s="20" t="n">
        <f aca="false">(CC406)^2</f>
        <v>0.00285580430921465</v>
      </c>
      <c r="CG406" s="0" t="n">
        <v>3.10471867515012</v>
      </c>
      <c r="CH406" s="0" t="n">
        <v>40.6411259318617</v>
      </c>
      <c r="CI406" s="0" t="n">
        <v>40.7309227353314</v>
      </c>
      <c r="CJ406" s="0" t="n">
        <v>0.0897968034697172</v>
      </c>
      <c r="CK406" s="20" t="n">
        <f aca="false">(CJ406)^2</f>
        <v>0.00806346591337901</v>
      </c>
      <c r="CN406" s="0" t="n">
        <v>3.10471867515012</v>
      </c>
      <c r="CO406" s="0" t="n">
        <v>40.4271523217838</v>
      </c>
      <c r="CP406" s="0" t="n">
        <v>40.7309227353314</v>
      </c>
      <c r="CQ406" s="0" t="n">
        <v>0.30377041354761</v>
      </c>
      <c r="CR406" s="20" t="n">
        <f aca="false">(CQ406)^2</f>
        <v>0.0922764641468863</v>
      </c>
      <c r="CU406" s="0" t="n">
        <v>1.45788189673399</v>
      </c>
      <c r="CV406" s="0" t="n">
        <v>2.75025315776868</v>
      </c>
      <c r="CW406" s="0" t="n">
        <v>3.10471867515012</v>
      </c>
      <c r="CX406" s="0" t="n">
        <v>0.354465517381436</v>
      </c>
      <c r="CY406" s="20" t="n">
        <f aca="false">(CX406)^2</f>
        <v>0.125645803012489</v>
      </c>
    </row>
    <row r="407" customFormat="false" ht="12.8" hidden="false" customHeight="false" outlineLevel="0" collapsed="false">
      <c r="A407" s="22" t="n">
        <f aca="false">A364</f>
        <v>3</v>
      </c>
      <c r="B407" s="22" t="str">
        <f aca="false">B364</f>
        <v>&amp;</v>
      </c>
      <c r="C407" s="42" t="str">
        <f aca="false">C364</f>
        <v>CTS1013</v>
      </c>
      <c r="D407" s="42" t="str">
        <f aca="false">D364</f>
        <v>&amp;</v>
      </c>
      <c r="E407" s="42" t="n">
        <f aca="false">BO5</f>
        <v>1.57978359661681</v>
      </c>
      <c r="F407" s="42" t="str">
        <f aca="false">F364</f>
        <v>&amp;</v>
      </c>
      <c r="G407" s="42" t="n">
        <f aca="false">BN5</f>
        <v>8.08</v>
      </c>
      <c r="H407" s="42" t="str">
        <f aca="false">H364</f>
        <v>&amp;</v>
      </c>
      <c r="I407" s="42" t="n">
        <f aca="false">BM5</f>
        <v>1.52762990087134</v>
      </c>
      <c r="J407" s="42" t="str">
        <f aca="false">J364</f>
        <v>&amp;</v>
      </c>
      <c r="K407" s="42" t="n">
        <f aca="false">BJ5</f>
        <v>2.87283479667699</v>
      </c>
      <c r="L407" s="42" t="str">
        <f aca="false">L364</f>
        <v>&amp;</v>
      </c>
      <c r="M407" s="42" t="n">
        <f aca="false">BL5</f>
        <v>2.3176102420111</v>
      </c>
      <c r="N407" s="0" t="s">
        <v>350</v>
      </c>
      <c r="BZ407" s="0" t="n">
        <v>2.70767614445813</v>
      </c>
      <c r="CA407" s="0" t="n">
        <v>39.8721517306586</v>
      </c>
      <c r="CB407" s="0" t="n">
        <v>39.5808250944804</v>
      </c>
      <c r="CC407" s="0" t="n">
        <v>-0.291326636178233</v>
      </c>
      <c r="CD407" s="20" t="n">
        <f aca="false">(CC407)^2</f>
        <v>0.0848712089469248</v>
      </c>
      <c r="CG407" s="0" t="n">
        <v>2.70767614445813</v>
      </c>
      <c r="CH407" s="0" t="n">
        <v>40.3402040752543</v>
      </c>
      <c r="CI407" s="0" t="n">
        <v>40.2880850465456</v>
      </c>
      <c r="CJ407" s="0" t="n">
        <v>-0.0521190287087379</v>
      </c>
      <c r="CK407" s="20" t="n">
        <f aca="false">(CJ407)^2</f>
        <v>0.00271639315354224</v>
      </c>
      <c r="CN407" s="0" t="n">
        <v>2.70767614445813</v>
      </c>
      <c r="CO407" s="0" t="n">
        <v>40.145468805143</v>
      </c>
      <c r="CP407" s="0" t="n">
        <v>39.4996349548837</v>
      </c>
      <c r="CQ407" s="0" t="n">
        <v>-0.645833850259315</v>
      </c>
      <c r="CR407" s="20" t="n">
        <f aca="false">(CQ407)^2</f>
        <v>0.417101362140771</v>
      </c>
      <c r="CU407" s="0" t="n">
        <v>1.39269695325967</v>
      </c>
      <c r="CV407" s="0" t="n">
        <v>2.70278305753948</v>
      </c>
      <c r="CW407" s="0" t="n">
        <v>2.70767614445813</v>
      </c>
      <c r="CX407" s="0" t="n">
        <v>0.00489308691865009</v>
      </c>
      <c r="CY407" s="20" t="n">
        <f aca="false">(CX407)^2</f>
        <v>2.39422995934646E-005</v>
      </c>
      <c r="DC407" s="0" t="s">
        <v>120</v>
      </c>
      <c r="DJ407" s="0" t="s">
        <v>120</v>
      </c>
      <c r="DQ407" s="0" t="s">
        <v>120</v>
      </c>
      <c r="DX407" s="0" t="s">
        <v>120</v>
      </c>
    </row>
    <row r="408" customFormat="false" ht="12.8" hidden="false" customHeight="false" outlineLevel="0" collapsed="false">
      <c r="A408" s="22" t="n">
        <f aca="false">A365</f>
        <v>4</v>
      </c>
      <c r="B408" s="22" t="str">
        <f aca="false">B365</f>
        <v>&amp;</v>
      </c>
      <c r="C408" s="42" t="str">
        <f aca="false">C365</f>
        <v>CTS1016</v>
      </c>
      <c r="D408" s="42" t="str">
        <f aca="false">D365</f>
        <v>&amp;</v>
      </c>
      <c r="E408" s="42" t="n">
        <f aca="false">BO6</f>
        <v>1.41497334797082</v>
      </c>
      <c r="F408" s="42" t="str">
        <f aca="false">F365</f>
        <v>&amp;</v>
      </c>
      <c r="G408" s="42" t="n">
        <f aca="false">BN6</f>
        <v>8.36</v>
      </c>
      <c r="H408" s="42" t="str">
        <f aca="false">H365</f>
        <v>&amp;</v>
      </c>
      <c r="I408" s="42" t="n">
        <f aca="false">BM6</f>
        <v>1.54530711646582</v>
      </c>
      <c r="J408" s="42" t="str">
        <f aca="false">J365</f>
        <v>&amp;</v>
      </c>
      <c r="K408" s="42" t="n">
        <f aca="false">BJ6</f>
        <v>2.8057379010057</v>
      </c>
      <c r="L408" s="42" t="str">
        <f aca="false">L365</f>
        <v>&amp;</v>
      </c>
      <c r="M408" s="42" t="n">
        <f aca="false">BL6</f>
        <v>2.39479758741265</v>
      </c>
      <c r="N408" s="0" t="s">
        <v>350</v>
      </c>
      <c r="BZ408" s="0" t="n">
        <v>2.82411303198074</v>
      </c>
      <c r="CA408" s="0" t="n">
        <v>39.9810830567386</v>
      </c>
      <c r="CB408" s="0" t="n">
        <v>40.3643638589132</v>
      </c>
      <c r="CC408" s="0" t="n">
        <v>0.383280802174589</v>
      </c>
      <c r="CD408" s="20" t="n">
        <f aca="false">(CC408)^2</f>
        <v>0.146904173315596</v>
      </c>
      <c r="CG408" s="0" t="n">
        <v>2.82411303198074</v>
      </c>
      <c r="CH408" s="0" t="n">
        <v>40.4284525666938</v>
      </c>
      <c r="CI408" s="0" t="n">
        <v>41.0286745143046</v>
      </c>
      <c r="CJ408" s="0" t="n">
        <v>0.60022194761077</v>
      </c>
      <c r="CK408" s="20" t="n">
        <f aca="false">(CJ408)^2</f>
        <v>0.360266386393666</v>
      </c>
      <c r="CN408" s="0" t="n">
        <v>2.82411303198074</v>
      </c>
      <c r="CO408" s="0" t="n">
        <v>40.2280754515567</v>
      </c>
      <c r="CP408" s="0" t="n">
        <v>40.3849932800756</v>
      </c>
      <c r="CQ408" s="0" t="n">
        <v>0.156917828518878</v>
      </c>
      <c r="CR408" s="20" t="n">
        <f aca="false">(CQ408)^2</f>
        <v>0.0246232049070801</v>
      </c>
      <c r="CU408" s="0" t="n">
        <v>1.50379068305718</v>
      </c>
      <c r="CV408" s="0" t="n">
        <v>2.7836856434319</v>
      </c>
      <c r="CW408" s="0" t="n">
        <v>2.82411303198074</v>
      </c>
      <c r="CX408" s="0" t="n">
        <v>0.0404273885488369</v>
      </c>
      <c r="CY408" s="20" t="n">
        <f aca="false">(CX408)^2</f>
        <v>0.00163437374487863</v>
      </c>
      <c r="DD408" s="0" t="s">
        <v>123</v>
      </c>
      <c r="DE408" s="0" t="s">
        <v>124</v>
      </c>
      <c r="DF408" s="0" t="s">
        <v>125</v>
      </c>
      <c r="DG408" s="0" t="s">
        <v>126</v>
      </c>
      <c r="DH408" s="0" t="s">
        <v>127</v>
      </c>
      <c r="DK408" s="0" t="s">
        <v>123</v>
      </c>
      <c r="DL408" s="0" t="s">
        <v>124</v>
      </c>
      <c r="DM408" s="0" t="s">
        <v>125</v>
      </c>
      <c r="DN408" s="0" t="s">
        <v>126</v>
      </c>
      <c r="DO408" s="0" t="s">
        <v>127</v>
      </c>
      <c r="DR408" s="0" t="s">
        <v>123</v>
      </c>
      <c r="DS408" s="0" t="s">
        <v>124</v>
      </c>
      <c r="DT408" s="0" t="s">
        <v>125</v>
      </c>
      <c r="DU408" s="0" t="s">
        <v>126</v>
      </c>
      <c r="DV408" s="0" t="s">
        <v>127</v>
      </c>
      <c r="DY408" s="0" t="s">
        <v>123</v>
      </c>
      <c r="DZ408" s="0" t="s">
        <v>124</v>
      </c>
      <c r="EA408" s="0" t="s">
        <v>125</v>
      </c>
      <c r="EB408" s="0" t="s">
        <v>126</v>
      </c>
      <c r="EC408" s="0" t="s">
        <v>127</v>
      </c>
    </row>
    <row r="409" customFormat="false" ht="12.8" hidden="false" customHeight="false" outlineLevel="0" collapsed="false">
      <c r="A409" s="22" t="n">
        <f aca="false">A366</f>
        <v>5</v>
      </c>
      <c r="B409" s="22" t="str">
        <f aca="false">B366</f>
        <v>&amp;</v>
      </c>
      <c r="C409" s="42" t="str">
        <f aca="false">C366</f>
        <v>CTS1017</v>
      </c>
      <c r="D409" s="42" t="str">
        <f aca="false">D366</f>
        <v>&amp;</v>
      </c>
      <c r="E409" s="42" t="n">
        <f aca="false">BO7</f>
        <v>2.20682587603185</v>
      </c>
      <c r="F409" s="42" t="str">
        <f aca="false">F366</f>
        <v>&amp;</v>
      </c>
      <c r="G409" s="42" t="n">
        <f aca="false">BN7</f>
        <v>7.98</v>
      </c>
      <c r="H409" s="42" t="str">
        <f aca="false">H366</f>
        <v>&amp;</v>
      </c>
      <c r="I409" s="42" t="n">
        <f aca="false">BM7</f>
        <v>1.44247976906445</v>
      </c>
      <c r="J409" s="42" t="str">
        <f aca="false">J366</f>
        <v>&amp;</v>
      </c>
      <c r="K409" s="42" t="n">
        <f aca="false">BJ7</f>
        <v>2.72333943354249</v>
      </c>
      <c r="L409" s="42" t="str">
        <f aca="false">L366</f>
        <v>&amp;</v>
      </c>
      <c r="M409" s="42" t="n">
        <f aca="false">BL7</f>
        <v>2.41617635379349</v>
      </c>
      <c r="N409" s="0" t="s">
        <v>350</v>
      </c>
      <c r="BZ409" s="0" t="n">
        <v>3.10408301855785</v>
      </c>
      <c r="CA409" s="0" t="n">
        <v>40.2430060825883</v>
      </c>
      <c r="CB409" s="0" t="n">
        <v>41.0032839602938</v>
      </c>
      <c r="CC409" s="0" t="n">
        <v>0.760277877705533</v>
      </c>
      <c r="CD409" s="20" t="n">
        <f aca="false">(CC409)^2</f>
        <v>0.57802245132843</v>
      </c>
      <c r="CG409" s="0" t="n">
        <v>3.10408301855785</v>
      </c>
      <c r="CH409" s="0" t="n">
        <v>40.640644162411</v>
      </c>
      <c r="CI409" s="0" t="n">
        <v>41.1844537060535</v>
      </c>
      <c r="CJ409" s="0" t="n">
        <v>0.543809543642503</v>
      </c>
      <c r="CK409" s="20" t="n">
        <f aca="false">(CJ409)^2</f>
        <v>0.295728819756667</v>
      </c>
      <c r="CN409" s="0" t="n">
        <v>3.10408301855785</v>
      </c>
      <c r="CO409" s="0" t="n">
        <v>40.4267013525036</v>
      </c>
      <c r="CP409" s="0" t="n">
        <v>41.1844537060535</v>
      </c>
      <c r="CQ409" s="0" t="n">
        <v>0.757752353549947</v>
      </c>
      <c r="CR409" s="20" t="n">
        <f aca="false">(CQ409)^2</f>
        <v>0.574188629310483</v>
      </c>
      <c r="CU409" s="0" t="n">
        <v>1.76937732607614</v>
      </c>
      <c r="CV409" s="0" t="n">
        <v>2.97709571471032</v>
      </c>
      <c r="CW409" s="0" t="n">
        <v>3.10408301855785</v>
      </c>
      <c r="CX409" s="0" t="n">
        <v>0.12698730384753</v>
      </c>
      <c r="CY409" s="20" t="n">
        <f aca="false">(CX409)^2</f>
        <v>0.0161257753384648</v>
      </c>
      <c r="DC409" s="0" t="s">
        <v>130</v>
      </c>
      <c r="DD409" s="0" t="n">
        <f aca="false">$DD$403</f>
        <v>1</v>
      </c>
      <c r="DE409" s="0" t="e">
        <f aca="false">$DC$398</f>
        <v>#VALUE!</v>
      </c>
      <c r="DF409" s="0" t="e">
        <f aca="false">$DC$398 / $DD$409</f>
        <v>#VALUE!</v>
      </c>
      <c r="DG409" s="0" t="e">
        <f aca="false">$DC$397</f>
        <v>#VALUE!</v>
      </c>
      <c r="DH409" s="0" t="e">
        <f aca="false">FDIST($DC$397 , $DD$409 , $DD$397)</f>
        <v>#VALUE!</v>
      </c>
      <c r="DJ409" s="0" t="s">
        <v>130</v>
      </c>
      <c r="DK409" s="0" t="n">
        <f aca="false">$DK$403</f>
        <v>1</v>
      </c>
      <c r="DL409" s="0" t="n">
        <f aca="false">$DJ$398</f>
        <v>0.512658540214565</v>
      </c>
      <c r="DM409" s="0" t="n">
        <f aca="false">$DJ$398 / $DK$409</f>
        <v>0.512658540214565</v>
      </c>
      <c r="DN409" s="0" t="n">
        <f aca="false">$DJ$397</f>
        <v>3.11018662953342</v>
      </c>
      <c r="DO409" s="0" t="n">
        <f aca="false">FDIST($DJ$397 , $DK$409 , $DK$397)</f>
        <v>0.0996055514137613</v>
      </c>
      <c r="DQ409" s="0" t="s">
        <v>130</v>
      </c>
      <c r="DR409" s="0" t="n">
        <f aca="false">$DR$403</f>
        <v>1</v>
      </c>
      <c r="DS409" s="0" t="n">
        <f aca="false">$DQ$398</f>
        <v>0.260268360049223</v>
      </c>
      <c r="DT409" s="0" t="n">
        <f aca="false">$DQ$398 / $DR$409</f>
        <v>0.260268360049223</v>
      </c>
      <c r="DU409" s="0" t="n">
        <f aca="false">$DQ$397</f>
        <v>2.18709824290122</v>
      </c>
      <c r="DV409" s="0" t="n">
        <f aca="false">FDIST($DQ$397 , $DR$409 , $DR$397)</f>
        <v>0.161316970821637</v>
      </c>
      <c r="DX409" s="0" t="s">
        <v>130</v>
      </c>
      <c r="DY409" s="0" t="n">
        <f aca="false">$DY$403</f>
        <v>1</v>
      </c>
      <c r="DZ409" s="0" t="n">
        <f aca="false">$DX$398</f>
        <v>0.160175350773954</v>
      </c>
      <c r="EA409" s="0" t="n">
        <f aca="false">$DX$398 / $DY$409</f>
        <v>0.160175350773954</v>
      </c>
      <c r="EB409" s="0" t="n">
        <f aca="false">$DX$397</f>
        <v>0.847968300809786</v>
      </c>
      <c r="EC409" s="0" t="n">
        <f aca="false">FDIST($DX$397 , $DY$409 , $DY$397)</f>
        <v>0.372723736136419</v>
      </c>
    </row>
    <row r="410" customFormat="false" ht="12.8" hidden="false" customHeight="false" outlineLevel="0" collapsed="false">
      <c r="A410" s="22" t="n">
        <f aca="false">A367</f>
        <v>6</v>
      </c>
      <c r="B410" s="22" t="str">
        <f aca="false">B367</f>
        <v>&amp;</v>
      </c>
      <c r="C410" s="42" t="str">
        <f aca="false">C367</f>
        <v>CTS1020</v>
      </c>
      <c r="D410" s="42" t="str">
        <f aca="false">D367</f>
        <v>&amp;</v>
      </c>
      <c r="E410" s="42" t="n">
        <f aca="false">BO8</f>
        <v>2.03742649794062</v>
      </c>
      <c r="F410" s="42" t="str">
        <f aca="false">F367</f>
        <v>&amp;</v>
      </c>
      <c r="G410" s="42" t="n">
        <f aca="false">BN8</f>
        <v>8.25</v>
      </c>
      <c r="H410" s="42" t="str">
        <f aca="false">H367</f>
        <v>&amp;</v>
      </c>
      <c r="I410" s="42" t="n">
        <f aca="false">BM8</f>
        <v>1.53781909507327</v>
      </c>
      <c r="J410" s="42" t="str">
        <f aca="false">J367</f>
        <v>&amp;</v>
      </c>
      <c r="K410" s="42" t="n">
        <f aca="false">BJ8</f>
        <v>2.52960348518892</v>
      </c>
      <c r="L410" s="42" t="str">
        <f aca="false">L367</f>
        <v>&amp;</v>
      </c>
      <c r="M410" s="42" t="n">
        <f aca="false">BL8</f>
        <v>2.17640387683549</v>
      </c>
      <c r="N410" s="0" t="s">
        <v>350</v>
      </c>
      <c r="BZ410" s="0" t="n">
        <v>2.56730132345877</v>
      </c>
      <c r="CA410" s="0" t="n">
        <v>39.7408255184501</v>
      </c>
      <c r="CB410" s="0" t="n">
        <v>39.4879266153321</v>
      </c>
      <c r="CC410" s="0" t="n">
        <v>-0.252898903117966</v>
      </c>
      <c r="CD410" s="20" t="n">
        <f aca="false">(CC410)^2</f>
        <v>0.0639578551982705</v>
      </c>
      <c r="CG410" s="0" t="n">
        <v>2.56730132345877</v>
      </c>
      <c r="CH410" s="0" t="n">
        <v>40.2338128237115</v>
      </c>
      <c r="CI410" s="0" t="n">
        <v>39.8774043417796</v>
      </c>
      <c r="CJ410" s="0" t="n">
        <v>-0.356408481931915</v>
      </c>
      <c r="CK410" s="20" t="n">
        <f aca="false">(CJ410)^2</f>
        <v>0.127027005993012</v>
      </c>
      <c r="CN410" s="0" t="n">
        <v>2.56730132345877</v>
      </c>
      <c r="CO410" s="0" t="n">
        <v>40.0458792897377</v>
      </c>
      <c r="CP410" s="0" t="n">
        <v>39.4378067534722</v>
      </c>
      <c r="CQ410" s="0" t="n">
        <v>-0.608072536265496</v>
      </c>
      <c r="CR410" s="20" t="n">
        <f aca="false">(CQ410)^2</f>
        <v>0.369752209360353</v>
      </c>
      <c r="CU410" s="0" t="n">
        <v>1.23044892137827</v>
      </c>
      <c r="CV410" s="0" t="n">
        <v>2.58462800631304</v>
      </c>
      <c r="CW410" s="0" t="n">
        <v>2.56730132345877</v>
      </c>
      <c r="CX410" s="0" t="n">
        <v>-0.0173266828542658</v>
      </c>
      <c r="CY410" s="20" t="n">
        <f aca="false">(CX410)^2</f>
        <v>0.000300213938732307</v>
      </c>
      <c r="DC410" s="0" t="s">
        <v>133</v>
      </c>
      <c r="DD410" s="0" t="e">
        <f aca="false">$DD$397</f>
        <v>#VALUE!</v>
      </c>
      <c r="DE410" s="0" t="e">
        <f aca="false">$DD$398</f>
        <v>#VALUE!</v>
      </c>
      <c r="DF410" s="0" t="e">
        <f aca="false">$DD$398 / $DD$397</f>
        <v>#VALUE!</v>
      </c>
      <c r="DJ410" s="0" t="s">
        <v>133</v>
      </c>
      <c r="DK410" s="0" t="n">
        <f aca="false">$DK$397</f>
        <v>14</v>
      </c>
      <c r="DL410" s="0" t="n">
        <f aca="false">$DK$398</f>
        <v>2.3076491599736</v>
      </c>
      <c r="DM410" s="0" t="n">
        <f aca="false">$DK$398 / $DK$397</f>
        <v>0.164832082855257</v>
      </c>
      <c r="DQ410" s="0" t="s">
        <v>133</v>
      </c>
      <c r="DR410" s="0" t="n">
        <f aca="false">$DR$397</f>
        <v>14</v>
      </c>
      <c r="DS410" s="0" t="n">
        <f aca="false">$DR$398</f>
        <v>1.66602348683506</v>
      </c>
      <c r="DT410" s="0" t="n">
        <f aca="false">$DR$398 / $DR$397</f>
        <v>0.119001677631076</v>
      </c>
      <c r="DX410" s="0" t="s">
        <v>133</v>
      </c>
      <c r="DY410" s="0" t="n">
        <f aca="false">$DY$397</f>
        <v>14</v>
      </c>
      <c r="DZ410" s="0" t="n">
        <f aca="false">$DY$398</f>
        <v>2.6445032304791</v>
      </c>
      <c r="EA410" s="0" t="n">
        <f aca="false">$DY$398 / $DY$397</f>
        <v>0.188893087891364</v>
      </c>
    </row>
    <row r="411" customFormat="false" ht="12.8" hidden="false" customHeight="false" outlineLevel="0" collapsed="false">
      <c r="A411" s="22" t="n">
        <f aca="false">A368</f>
        <v>7</v>
      </c>
      <c r="B411" s="22" t="str">
        <f aca="false">B368</f>
        <v>&amp;</v>
      </c>
      <c r="C411" s="42" t="str">
        <f aca="false">C368</f>
        <v>CTS1022</v>
      </c>
      <c r="D411" s="42" t="str">
        <f aca="false">D368</f>
        <v>&amp;</v>
      </c>
      <c r="E411" s="42" t="n">
        <f aca="false">BO9</f>
        <v>1.75587485567249</v>
      </c>
      <c r="F411" s="42" t="str">
        <f aca="false">F368</f>
        <v>&amp;</v>
      </c>
      <c r="G411" s="42" t="n">
        <f aca="false">BN9</f>
        <v>8.09</v>
      </c>
      <c r="H411" s="42" t="str">
        <f aca="false">H368</f>
        <v>&amp;</v>
      </c>
      <c r="I411" s="42" t="n">
        <f aca="false">BM9</f>
        <v>1.3541084391474</v>
      </c>
      <c r="J411" s="42" t="str">
        <f aca="false">J368</f>
        <v>&amp;</v>
      </c>
      <c r="K411" s="42" t="n">
        <f aca="false">BJ9</f>
        <v>2.40587460839648</v>
      </c>
      <c r="L411" s="42" t="str">
        <f aca="false">L368</f>
        <v>&amp;</v>
      </c>
      <c r="M411" s="42" t="n">
        <f aca="false">BL9</f>
        <v>2.06468635947822</v>
      </c>
      <c r="N411" s="0" t="s">
        <v>350</v>
      </c>
      <c r="BZ411" s="0" t="n">
        <v>2.59311533827612</v>
      </c>
      <c r="CA411" s="0" t="n">
        <v>39.7649755530768</v>
      </c>
      <c r="CB411" s="0" t="n">
        <v>39.8907352023789</v>
      </c>
      <c r="CC411" s="0" t="n">
        <v>0.125759649302083</v>
      </c>
      <c r="CD411" s="20" t="n">
        <f aca="false">(CC411)^2</f>
        <v>0.0158154893925828</v>
      </c>
      <c r="CG411" s="0" t="n">
        <v>2.59311533827612</v>
      </c>
      <c r="CH411" s="0" t="n">
        <v>40.2533774815626</v>
      </c>
      <c r="CI411" s="0" t="n">
        <v>40.3666338830954</v>
      </c>
      <c r="CJ411" s="0" t="n">
        <v>0.11325640153278</v>
      </c>
      <c r="CK411" s="20" t="n">
        <f aca="false">(CJ411)^2</f>
        <v>0.0128270124881543</v>
      </c>
      <c r="CN411" s="0" t="n">
        <v>2.59311533827612</v>
      </c>
      <c r="CO411" s="0" t="n">
        <v>40.0641931526372</v>
      </c>
      <c r="CP411" s="0" t="n">
        <v>40.0674853105121</v>
      </c>
      <c r="CQ411" s="0" t="n">
        <v>0.00329215787488835</v>
      </c>
      <c r="CR411" s="20" t="n">
        <f aca="false">(CQ411)^2</f>
        <v>1.08383034731894E-005</v>
      </c>
      <c r="CU411" s="0" t="n">
        <v>1.24303804868629</v>
      </c>
      <c r="CV411" s="0" t="n">
        <v>2.59379587703989</v>
      </c>
      <c r="CW411" s="0" t="n">
        <v>2.59311533827612</v>
      </c>
      <c r="CX411" s="0" t="n">
        <v>-0.000680538763770944</v>
      </c>
      <c r="CY411" s="20" t="n">
        <f aca="false">(CX411)^2</f>
        <v>4.63133008994884E-007</v>
      </c>
      <c r="DC411" s="0" t="s">
        <v>136</v>
      </c>
      <c r="DD411" s="0" t="e">
        <f aca="false">$DD$409 + $DD$397</f>
        <v>#VALUE!</v>
      </c>
      <c r="DE411" s="0" t="e">
        <f aca="false">$DC$398 + $DD$398</f>
        <v>#VALUE!</v>
      </c>
      <c r="DJ411" s="0" t="s">
        <v>136</v>
      </c>
      <c r="DK411" s="0" t="n">
        <f aca="false">$DK$409 + $DK$397</f>
        <v>15</v>
      </c>
      <c r="DL411" s="0" t="n">
        <f aca="false">$DJ$398 + $DK$398</f>
        <v>2.82030770018816</v>
      </c>
      <c r="DQ411" s="0" t="s">
        <v>136</v>
      </c>
      <c r="DR411" s="0" t="n">
        <f aca="false">$DR$409 + $DR$397</f>
        <v>15</v>
      </c>
      <c r="DS411" s="0" t="n">
        <f aca="false">$DQ$398 + $DR$398</f>
        <v>1.92629184688428</v>
      </c>
      <c r="DX411" s="0" t="s">
        <v>136</v>
      </c>
      <c r="DY411" s="0" t="n">
        <f aca="false">$DY$409 + $DY$397</f>
        <v>15</v>
      </c>
      <c r="DZ411" s="0" t="n">
        <f aca="false">$DX$398 + $DY$398</f>
        <v>2.80467858125305</v>
      </c>
    </row>
    <row r="412" customFormat="false" ht="12.8" hidden="false" customHeight="false" outlineLevel="0" collapsed="false">
      <c r="A412" s="22" t="n">
        <f aca="false">A369</f>
        <v>8</v>
      </c>
      <c r="B412" s="22" t="str">
        <f aca="false">B369</f>
        <v>&amp;</v>
      </c>
      <c r="C412" s="42" t="str">
        <f aca="false">C369</f>
        <v>CTS1034</v>
      </c>
      <c r="D412" s="42" t="str">
        <f aca="false">D369</f>
        <v>&amp;</v>
      </c>
      <c r="E412" s="42" t="n">
        <f aca="false">BO10</f>
        <v>1.30102999566398</v>
      </c>
      <c r="F412" s="42" t="str">
        <f aca="false">F369</f>
        <v>&amp;</v>
      </c>
      <c r="G412" s="42" t="n">
        <f aca="false">BN10</f>
        <v>7.96</v>
      </c>
      <c r="H412" s="42" t="str">
        <f aca="false">H369</f>
        <v>&amp;</v>
      </c>
      <c r="I412" s="42" t="n">
        <f aca="false">BM10</f>
        <v>1.42488163663107</v>
      </c>
      <c r="J412" s="42" t="str">
        <f aca="false">J369</f>
        <v>&amp;</v>
      </c>
      <c r="K412" s="42" t="n">
        <f aca="false">BJ10</f>
        <v>3.06295399039048</v>
      </c>
      <c r="L412" s="42" t="str">
        <f aca="false">L369</f>
        <v>&amp;</v>
      </c>
      <c r="M412" s="42" t="n">
        <f aca="false">BL10</f>
        <v>2.28534020026503</v>
      </c>
      <c r="N412" s="0" t="s">
        <v>350</v>
      </c>
      <c r="BZ412" s="0" t="n">
        <v>2.59318251388042</v>
      </c>
      <c r="CA412" s="0" t="n">
        <v>39.7650383985188</v>
      </c>
      <c r="CB412" s="0" t="n">
        <v>39.8855611883631</v>
      </c>
      <c r="CC412" s="0" t="n">
        <v>0.120522789844323</v>
      </c>
      <c r="CD412" s="20" t="n">
        <f aca="false">(CC412)^2</f>
        <v>0.0145257428718588</v>
      </c>
      <c r="CG412" s="0" t="n">
        <v>2.59318251388042</v>
      </c>
      <c r="CH412" s="0" t="n">
        <v>40.2534283945153</v>
      </c>
      <c r="CI412" s="0" t="n">
        <v>40.3210963526474</v>
      </c>
      <c r="CJ412" s="0" t="n">
        <v>0.0676679581321338</v>
      </c>
      <c r="CK412" s="20" t="n">
        <f aca="false">(CJ412)^2</f>
        <v>0.00457895255777221</v>
      </c>
      <c r="CN412" s="0" t="n">
        <v>2.59318251388042</v>
      </c>
      <c r="CO412" s="0" t="n">
        <v>40.0642408106562</v>
      </c>
      <c r="CP412" s="0" t="n">
        <v>40.3210963526474</v>
      </c>
      <c r="CQ412" s="0" t="n">
        <v>0.256855541991243</v>
      </c>
      <c r="CR412" s="20" t="n">
        <f aca="false">(CQ412)^2</f>
        <v>0.0659747694516151</v>
      </c>
      <c r="CU412" s="0" t="n">
        <v>1.3096301674259</v>
      </c>
      <c r="CV412" s="0" t="n">
        <v>2.64229073463365</v>
      </c>
      <c r="CW412" s="0" t="n">
        <v>2.59318251388042</v>
      </c>
      <c r="CX412" s="0" t="n">
        <v>-0.0491082207532294</v>
      </c>
      <c r="CY412" s="20" t="n">
        <f aca="false">(CX412)^2</f>
        <v>0.00241161734554791</v>
      </c>
    </row>
    <row r="413" customFormat="false" ht="12.8" hidden="false" customHeight="false" outlineLevel="0" collapsed="false">
      <c r="A413" s="22" t="n">
        <f aca="false">A370</f>
        <v>9</v>
      </c>
      <c r="B413" s="22" t="str">
        <f aca="false">B370</f>
        <v>&amp;</v>
      </c>
      <c r="C413" s="42" t="str">
        <f aca="false">C370</f>
        <v>CTS1035</v>
      </c>
      <c r="D413" s="42" t="str">
        <f aca="false">D370</f>
        <v>&amp;</v>
      </c>
      <c r="E413" s="42" t="n">
        <f aca="false">BO11</f>
        <v>1.79239168949825</v>
      </c>
      <c r="F413" s="42" t="str">
        <f aca="false">F370</f>
        <v>&amp;</v>
      </c>
      <c r="G413" s="42" t="n">
        <f aca="false">BN11</f>
        <v>8.01</v>
      </c>
      <c r="H413" s="42" t="str">
        <f aca="false">H370</f>
        <v>&amp;</v>
      </c>
      <c r="I413" s="42" t="n">
        <f aca="false">BM11</f>
        <v>1.43775056282039</v>
      </c>
      <c r="J413" s="42" t="str">
        <f aca="false">J370</f>
        <v>&amp;</v>
      </c>
      <c r="K413" s="42" t="n">
        <f aca="false">BJ11</f>
        <v>2.96671683363053</v>
      </c>
      <c r="L413" s="42" t="str">
        <f aca="false">L370</f>
        <v>&amp;</v>
      </c>
      <c r="M413" s="42" t="n">
        <f aca="false">BL11</f>
        <v>2.24404692251784</v>
      </c>
      <c r="N413" s="0" t="s">
        <v>350</v>
      </c>
      <c r="BZ413" s="0" t="n">
        <v>2.70206666441626</v>
      </c>
      <c r="CA413" s="0" t="n">
        <v>39.8669038396116</v>
      </c>
      <c r="CB413" s="0" t="n">
        <v>40.8602418490241</v>
      </c>
      <c r="CC413" s="0" t="n">
        <v>0.993338009412547</v>
      </c>
      <c r="CD413" s="20" t="n">
        <f aca="false">(CC413)^2</f>
        <v>0.986720400943681</v>
      </c>
      <c r="CG413" s="0" t="n">
        <v>2.70206666441626</v>
      </c>
      <c r="CH413" s="0" t="n">
        <v>40.3359526033884</v>
      </c>
      <c r="CI413" s="0" t="n">
        <v>41.2889669095893</v>
      </c>
      <c r="CJ413" s="0" t="n">
        <v>0.953014306200856</v>
      </c>
      <c r="CK413" s="20" t="n">
        <f aca="false">(CJ413)^2</f>
        <v>0.908236267823499</v>
      </c>
      <c r="CN413" s="0" t="n">
        <v>2.70206666441626</v>
      </c>
      <c r="CO413" s="0" t="n">
        <v>40.1414891356049</v>
      </c>
      <c r="CP413" s="0" t="n">
        <v>40.7432526092177</v>
      </c>
      <c r="CQ413" s="0" t="n">
        <v>0.601763473612763</v>
      </c>
      <c r="CR413" s="20" t="n">
        <f aca="false">(CQ413)^2</f>
        <v>0.362119278174499</v>
      </c>
      <c r="CU413" s="0" t="n">
        <v>1.54900326202579</v>
      </c>
      <c r="CV413" s="0" t="n">
        <v>2.81661112500582</v>
      </c>
      <c r="CW413" s="0" t="n">
        <v>2.70206666441626</v>
      </c>
      <c r="CX413" s="0" t="n">
        <v>-0.114544460589562</v>
      </c>
      <c r="CY413" s="20" t="n">
        <f aca="false">(CX413)^2</f>
        <v>0.0131204334517538</v>
      </c>
      <c r="DC413" s="0" t="s">
        <v>141</v>
      </c>
      <c r="DD413" s="0" t="n">
        <v>0.95</v>
      </c>
      <c r="DJ413" s="0" t="s">
        <v>141</v>
      </c>
      <c r="DK413" s="0" t="n">
        <v>0.95</v>
      </c>
      <c r="DQ413" s="0" t="s">
        <v>141</v>
      </c>
      <c r="DR413" s="0" t="n">
        <v>0.95</v>
      </c>
      <c r="DX413" s="0" t="s">
        <v>141</v>
      </c>
      <c r="DY413" s="0" t="n">
        <v>0.95</v>
      </c>
    </row>
    <row r="414" customFormat="false" ht="12.8" hidden="false" customHeight="false" outlineLevel="0" collapsed="false">
      <c r="A414" s="22" t="n">
        <f aca="false">A371</f>
        <v>10</v>
      </c>
      <c r="B414" s="22" t="str">
        <f aca="false">B371</f>
        <v>&amp;</v>
      </c>
      <c r="C414" s="42" t="str">
        <f aca="false">C371</f>
        <v>Mrk1271</v>
      </c>
      <c r="D414" s="42" t="str">
        <f aca="false">D371</f>
        <v>&amp;</v>
      </c>
      <c r="E414" s="42" t="n">
        <f aca="false">BO12</f>
        <v>1.98677173426624</v>
      </c>
      <c r="F414" s="42" t="str">
        <f aca="false">F371</f>
        <v>&amp;</v>
      </c>
      <c r="G414" s="42" t="n">
        <f aca="false">BN12</f>
        <v>7.99</v>
      </c>
      <c r="H414" s="42" t="str">
        <f aca="false">H371</f>
        <v>&amp;</v>
      </c>
      <c r="I414" s="42" t="n">
        <f aca="false">BM12</f>
        <v>1.31386722036915</v>
      </c>
      <c r="J414" s="42" t="str">
        <f aca="false">J371</f>
        <v>&amp;</v>
      </c>
      <c r="K414" s="42" t="n">
        <f aca="false">BJ12</f>
        <v>2.33023762449035</v>
      </c>
      <c r="L414" s="42" t="str">
        <f aca="false">L371</f>
        <v>&amp;</v>
      </c>
      <c r="M414" s="42" t="n">
        <f aca="false">BL12</f>
        <v>1.60008622473531</v>
      </c>
      <c r="N414" s="0" t="s">
        <v>350</v>
      </c>
      <c r="BZ414" s="0" t="n">
        <v>2.85513640282165</v>
      </c>
      <c r="CA414" s="0" t="n">
        <v>40.0101066505247</v>
      </c>
      <c r="CB414" s="0" t="n">
        <v>39.5307026003539</v>
      </c>
      <c r="CC414" s="0" t="n">
        <v>-0.479404050170793</v>
      </c>
      <c r="CD414" s="20" t="n">
        <f aca="false">(CC414)^2</f>
        <v>0.22982824332016</v>
      </c>
      <c r="CG414" s="0" t="n">
        <v>2.85513640282165</v>
      </c>
      <c r="CH414" s="0" t="n">
        <v>40.451965439069</v>
      </c>
      <c r="CI414" s="0" t="n">
        <v>40.3112205857885</v>
      </c>
      <c r="CJ414" s="0" t="n">
        <v>-0.140744853280474</v>
      </c>
      <c r="CK414" s="20" t="n">
        <f aca="false">(CJ414)^2</f>
        <v>0.019809113724942</v>
      </c>
      <c r="CN414" s="0" t="n">
        <v>2.85513640282165</v>
      </c>
      <c r="CO414" s="0" t="n">
        <v>40.2500851143032</v>
      </c>
      <c r="CP414" s="0" t="n">
        <v>39.8411325938</v>
      </c>
      <c r="CQ414" s="0" t="n">
        <v>-0.408952520503149</v>
      </c>
      <c r="CR414" s="20" t="n">
        <f aca="false">(CQ414)^2</f>
        <v>0.167242164025879</v>
      </c>
      <c r="CU414" s="0" t="n">
        <v>1.38021124171161</v>
      </c>
      <c r="CV414" s="0" t="n">
        <v>2.69369049801532</v>
      </c>
      <c r="CW414" s="0" t="n">
        <v>2.85513640282165</v>
      </c>
      <c r="CX414" s="0" t="n">
        <v>0.161445904806331</v>
      </c>
      <c r="CY414" s="20" t="n">
        <f aca="false">(CX414)^2</f>
        <v>0.026064780178735</v>
      </c>
    </row>
    <row r="415" customFormat="false" ht="12.8" hidden="false" customHeight="false" outlineLevel="0" collapsed="false">
      <c r="A415" s="22" t="n">
        <f aca="false">A372</f>
        <v>11</v>
      </c>
      <c r="B415" s="22" t="str">
        <f aca="false">B372</f>
        <v>&amp;</v>
      </c>
      <c r="C415" s="42" t="str">
        <f aca="false">C372</f>
        <v>IIZw40</v>
      </c>
      <c r="D415" s="42" t="str">
        <f aca="false">D372</f>
        <v>&amp;</v>
      </c>
      <c r="E415" s="42" t="n">
        <f aca="false">BO13</f>
        <v>2.26481782300954</v>
      </c>
      <c r="F415" s="42" t="str">
        <f aca="false">F372</f>
        <v>&amp;</v>
      </c>
      <c r="G415" s="42" t="n">
        <f aca="false">BN13</f>
        <v>8.07</v>
      </c>
      <c r="H415" s="42" t="str">
        <f aca="false">H372</f>
        <v>&amp;</v>
      </c>
      <c r="I415" s="42" t="n">
        <f aca="false">BM13</f>
        <v>1.51719589794997</v>
      </c>
      <c r="J415" s="42" t="str">
        <f aca="false">J372</f>
        <v>&amp;</v>
      </c>
      <c r="K415" s="42" t="n">
        <f aca="false">BJ13</f>
        <v>2.28501935429668</v>
      </c>
      <c r="L415" s="42" t="str">
        <f aca="false">L372</f>
        <v>&amp;</v>
      </c>
      <c r="M415" s="42" t="n">
        <f aca="false">BL13</f>
        <v>1.37561164684667</v>
      </c>
      <c r="N415" s="0" t="s">
        <v>350</v>
      </c>
      <c r="BZ415" s="0" t="n">
        <v>2.7281271270983</v>
      </c>
      <c r="CA415" s="0" t="n">
        <v>39.8912844359897</v>
      </c>
      <c r="CB415" s="0" t="n">
        <v>39.4259659076773</v>
      </c>
      <c r="CC415" s="0" t="n">
        <v>-0.465318528312366</v>
      </c>
      <c r="CD415" s="20" t="n">
        <f aca="false">(CC415)^2</f>
        <v>0.216521332790786</v>
      </c>
      <c r="CG415" s="0" t="n">
        <v>2.7281271270983</v>
      </c>
      <c r="CH415" s="0" t="n">
        <v>40.3557040461386</v>
      </c>
      <c r="CI415" s="0" t="n">
        <v>39.794334988839</v>
      </c>
      <c r="CJ415" s="0" t="n">
        <v>-0.561369057299565</v>
      </c>
      <c r="CK415" s="20" t="n">
        <f aca="false">(CJ415)^2</f>
        <v>0.315135218493402</v>
      </c>
      <c r="CN415" s="0" t="n">
        <v>2.7281271270983</v>
      </c>
      <c r="CO415" s="0" t="n">
        <v>40.1599778419931</v>
      </c>
      <c r="CP415" s="0" t="n">
        <v>39.794334988839</v>
      </c>
      <c r="CQ415" s="0" t="n">
        <v>-0.365642853154064</v>
      </c>
      <c r="CR415" s="20" t="n">
        <f aca="false">(CQ415)^2</f>
        <v>0.133694696062644</v>
      </c>
      <c r="CU415" s="0" t="n">
        <v>1.41161970596323</v>
      </c>
      <c r="CV415" s="0" t="n">
        <v>2.71656330984275</v>
      </c>
      <c r="CW415" s="0" t="n">
        <v>2.7281271270983</v>
      </c>
      <c r="CX415" s="0" t="n">
        <v>0.0115638172555514</v>
      </c>
      <c r="CY415" s="20" t="n">
        <f aca="false">(CX415)^2</f>
        <v>0.000133721869519789</v>
      </c>
      <c r="DD415" s="0" t="s">
        <v>146</v>
      </c>
      <c r="DE415" s="0" t="s">
        <v>106</v>
      </c>
      <c r="DF415" s="0" t="s">
        <v>147</v>
      </c>
      <c r="DG415" s="0" t="s">
        <v>148</v>
      </c>
      <c r="DH415" s="0" t="str">
        <f aca="false">_xlfn.CONCAT("Lower " , INT($DD$413 * 100) , "%")</f>
        <v>Lower 95%</v>
      </c>
      <c r="DI415" s="0" t="str">
        <f aca="false">_xlfn.CONCAT("Upper " , INT($DD$413 * 100) , "%")</f>
        <v>Upper 95%</v>
      </c>
      <c r="DK415" s="0" t="s">
        <v>146</v>
      </c>
      <c r="DL415" s="0" t="s">
        <v>106</v>
      </c>
      <c r="DM415" s="0" t="s">
        <v>147</v>
      </c>
      <c r="DN415" s="0" t="s">
        <v>148</v>
      </c>
      <c r="DO415" s="0" t="str">
        <f aca="false">_xlfn.CONCAT("Lower " , INT($DK$413 * 100) , "%")</f>
        <v>Lower 95%</v>
      </c>
      <c r="DP415" s="0" t="str">
        <f aca="false">_xlfn.CONCAT("Upper " , INT($DK$413 * 100) , "%")</f>
        <v>Upper 95%</v>
      </c>
      <c r="DR415" s="0" t="s">
        <v>146</v>
      </c>
      <c r="DS415" s="0" t="s">
        <v>106</v>
      </c>
      <c r="DT415" s="0" t="s">
        <v>147</v>
      </c>
      <c r="DU415" s="0" t="s">
        <v>148</v>
      </c>
      <c r="DV415" s="0" t="str">
        <f aca="false">_xlfn.CONCAT("Lower " , INT($DR$413 * 100) , "%")</f>
        <v>Lower 95%</v>
      </c>
      <c r="DW415" s="0" t="str">
        <f aca="false">_xlfn.CONCAT("Upper " , INT($DR$413 * 100) , "%")</f>
        <v>Upper 95%</v>
      </c>
      <c r="DY415" s="0" t="s">
        <v>146</v>
      </c>
      <c r="DZ415" s="0" t="s">
        <v>106</v>
      </c>
      <c r="EA415" s="0" t="s">
        <v>147</v>
      </c>
      <c r="EB415" s="0" t="s">
        <v>148</v>
      </c>
      <c r="EC415" s="0" t="str">
        <f aca="false">_xlfn.CONCAT("Lower " , INT($DY$413 * 100) , "%")</f>
        <v>Lower 95%</v>
      </c>
      <c r="ED415" s="0" t="str">
        <f aca="false">_xlfn.CONCAT("Upper " , INT($DY$413 * 100) , "%")</f>
        <v>Upper 95%</v>
      </c>
    </row>
    <row r="416" customFormat="false" ht="12.8" hidden="false" customHeight="false" outlineLevel="0" collapsed="false">
      <c r="A416" s="22" t="n">
        <f aca="false">A373</f>
        <v>12</v>
      </c>
      <c r="B416" s="22" t="str">
        <f aca="false">B373</f>
        <v>&amp;</v>
      </c>
      <c r="C416" s="42" t="str">
        <f aca="false">C373</f>
        <v>IIZW70</v>
      </c>
      <c r="D416" s="42" t="str">
        <f aca="false">D373</f>
        <v>&amp;</v>
      </c>
      <c r="E416" s="42" t="n">
        <f aca="false">BO14</f>
        <v>1.69019608002851</v>
      </c>
      <c r="F416" s="42" t="str">
        <f aca="false">F373</f>
        <v>&amp;</v>
      </c>
      <c r="G416" s="42" t="n">
        <f aca="false">BN14</f>
        <v>8.07</v>
      </c>
      <c r="H416" s="42" t="str">
        <f aca="false">H373</f>
        <v>&amp;</v>
      </c>
      <c r="I416" s="42" t="n">
        <f aca="false">BM14</f>
        <v>1.32221929473392</v>
      </c>
      <c r="J416" s="42" t="str">
        <f aca="false">J373</f>
        <v>&amp;</v>
      </c>
      <c r="K416" s="42" t="n">
        <f aca="false">BJ14</f>
        <v>2.18948247828467</v>
      </c>
      <c r="L416" s="42" t="str">
        <f aca="false">L373</f>
        <v>&amp;</v>
      </c>
      <c r="M416" s="42" t="n">
        <f aca="false">BL14</f>
        <v>1.68490801536986</v>
      </c>
      <c r="N416" s="0" t="s">
        <v>350</v>
      </c>
      <c r="BZ416" s="0" t="n">
        <v>2.60593617253213</v>
      </c>
      <c r="CA416" s="0" t="n">
        <v>39.7769699519883</v>
      </c>
      <c r="CB416" s="0" t="n">
        <v>39.9477947317714</v>
      </c>
      <c r="CC416" s="0" t="n">
        <v>0.170824779783089</v>
      </c>
      <c r="CD416" s="20" t="n">
        <f aca="false">(CC416)^2</f>
        <v>0.0291811053879409</v>
      </c>
      <c r="CG416" s="0" t="n">
        <v>2.60593617253213</v>
      </c>
      <c r="CH416" s="0" t="n">
        <v>40.2630944991346</v>
      </c>
      <c r="CI416" s="0" t="n">
        <v>40.1481123266225</v>
      </c>
      <c r="CJ416" s="0" t="n">
        <v>-0.114982172512136</v>
      </c>
      <c r="CK416" s="20" t="n">
        <f aca="false">(CJ416)^2</f>
        <v>0.0132208999956105</v>
      </c>
      <c r="CN416" s="0" t="n">
        <v>2.60593617253213</v>
      </c>
      <c r="CO416" s="0" t="n">
        <v>40.0732889481763</v>
      </c>
      <c r="CP416" s="0" t="n">
        <v>40.1481123266225</v>
      </c>
      <c r="CQ416" s="0" t="n">
        <v>0.0748233784461903</v>
      </c>
      <c r="CR416" s="20" t="n">
        <f aca="false">(CQ416)^2</f>
        <v>0.00559853796210181</v>
      </c>
      <c r="CU416" s="0" t="n">
        <v>1.45484486000851</v>
      </c>
      <c r="CV416" s="0" t="n">
        <v>2.74804147467019</v>
      </c>
      <c r="CW416" s="0" t="n">
        <v>2.60593617253213</v>
      </c>
      <c r="CX416" s="0" t="n">
        <v>-0.142105302138062</v>
      </c>
      <c r="CY416" s="20" t="n">
        <f aca="false">(CX416)^2</f>
        <v>0.0201939168957499</v>
      </c>
      <c r="DC416" s="0" t="str">
        <f aca="false">"Intercept"</f>
        <v>Intercept</v>
      </c>
      <c r="DD416" s="0" t="e">
        <f aca="false" t="array" ref="DD416:DD416">INDEX($DC$394:$DD$394, 1 , 418 - ROW())</f>
        <v>#VALUE!</v>
      </c>
      <c r="DE416" s="0" t="e">
        <f aca="false" t="array" ref="DE416:DE416">INDEX($DC$395:$DD$395, 1 , 418 - ROW())</f>
        <v>#VALUE!</v>
      </c>
      <c r="DF416" s="0" t="e">
        <f aca="false" t="array" ref="DF416:DF417">$DD$416:$DD$417 / $DE$416:$DE$417</f>
        <v>#VALUE!</v>
      </c>
      <c r="DG416" s="0" t="e">
        <f aca="false" t="array" ref="DG416:DG417">TDIST(ABS($DF$416:$DF$417) , $DD$397 , 2 )</f>
        <v>#VALUE!</v>
      </c>
      <c r="DH416" s="0" t="e">
        <f aca="false" t="array" ref="DH416:DH417">$DD$416:$DD$417 - $DE$416:$DE$417 * TINV(1 - $DD$413 , $DD$397)</f>
        <v>#VALUE!</v>
      </c>
      <c r="DI416" s="0" t="e">
        <f aca="false" t="array" ref="DI416:DI417">$DD$416:$DD$417 + $DE$416:$DE$417 * TINV(1 - $DD$413 , $DD$397)</f>
        <v>#VALUE!</v>
      </c>
      <c r="DJ416" s="0" t="str">
        <f aca="false">"Intercept"</f>
        <v>Intercept</v>
      </c>
      <c r="DK416" s="0" t="n">
        <f aca="false" t="array" ref="DK416:DK416">INDEX($DJ$394:$DK$394, 1 , 418 - ROW())</f>
        <v>37.6516089727899</v>
      </c>
      <c r="DL416" s="0" t="n">
        <f aca="false" t="array" ref="DL416:DL416">INDEX($DJ$395:$DK$395, 1 , 418 - ROW())</f>
        <v>1.31668334226803</v>
      </c>
      <c r="DM416" s="0" t="n">
        <f aca="false" t="array" ref="DM416:DM417">$DK$416:$DK$417 / $DL$416:$DL$417</f>
        <v>28.5957965473565</v>
      </c>
      <c r="DN416" s="0" t="n">
        <f aca="false" t="array" ref="DN416:DN417">TDIST(ABS($DM$416:$DM$417) , $DK$397 , 2 )</f>
        <v>8.07993246615168E-014</v>
      </c>
      <c r="DO416" s="0" t="n">
        <f aca="false" t="array" ref="DO416:DO417">$DK$416:$DK$417 - $DL$416:$DL$417 * TINV(1 - $DK$413 , $DK$397)</f>
        <v>34.8276040680903</v>
      </c>
      <c r="DP416" s="0" t="n">
        <f aca="false" t="array" ref="DP416:DP417">$DK$416:$DK$417 + $DL$416:$DL$417 * TINV(1 - $DK$413 , $DK$397)</f>
        <v>40.4756138774895</v>
      </c>
      <c r="DQ416" s="0" t="str">
        <f aca="false">"Intercept"</f>
        <v>Intercept</v>
      </c>
      <c r="DR416" s="0" t="n">
        <f aca="false" t="array" ref="DR416:DR416">INDEX($DQ$394:$DR$394, 1 , 418 - ROW())</f>
        <v>38.8101212876279</v>
      </c>
      <c r="DS416" s="0" t="n">
        <f aca="false" t="array" ref="DS416:DS416">INDEX($DQ$395:$DR$395, 1 , 418 - ROW())</f>
        <v>1.11876020519865</v>
      </c>
      <c r="DT416" s="0" t="n">
        <f aca="false" t="array" ref="DT416:DT417">$DR$416:$DR$417 / $DS$416:$DS$417</f>
        <v>34.6902947631542</v>
      </c>
      <c r="DU416" s="0" t="n">
        <f aca="false" t="array" ref="DU416:DU417">TDIST(ABS($DT$416:$DT$417) , $DR$397 , 2 )</f>
        <v>5.59945180138583E-015</v>
      </c>
      <c r="DV416" s="0" t="n">
        <f aca="false" t="array" ref="DV416:DV417">$DR$416:$DR$417 - $DS$416:$DS$417 * TINV(1 - $DR$413 , $DR$397)</f>
        <v>36.4106192925457</v>
      </c>
      <c r="DW416" s="0" t="n">
        <f aca="false" t="array" ref="DW416:DW417">$DR$416:$DR$417 + $DS$416:$DS$417 * TINV(1 - $DR$413 , $DR$397)</f>
        <v>41.2096232827102</v>
      </c>
      <c r="DX416" s="0" t="str">
        <f aca="false">"Intercept"</f>
        <v>Intercept</v>
      </c>
      <c r="DY416" s="0" t="n">
        <f aca="false" t="array" ref="DY416:DY416">INDEX($DX$394:$DY$394, 1 , 418 - ROW())</f>
        <v>38.904078459511</v>
      </c>
      <c r="DZ416" s="0" t="n">
        <f aca="false" t="array" ref="DZ416:DZ416">INDEX($DX$395:$DY$395, 1 , 418 - ROW())</f>
        <v>1.40951110242078</v>
      </c>
      <c r="EA416" s="0" t="n">
        <f aca="false" t="array" ref="EA416:EA417">$DY$416:$DY$417 / $DZ$416:$DZ$417</f>
        <v>27.6011153035226</v>
      </c>
      <c r="EB416" s="0" t="n">
        <f aca="false" t="array" ref="EB416:EB417">TDIST(ABS($EA$416:$EA$417) , $DY$397 , 2 )</f>
        <v>1.31567120269443E-013</v>
      </c>
      <c r="EC416" s="0" t="n">
        <f aca="false" t="array" ref="EC416:EC417">$DY$416:$DY$417 - $DZ$416:$DZ$417 * TINV(1 - $DY$413 , $DY$397)</f>
        <v>35.8809778105666</v>
      </c>
      <c r="ED416" s="0" t="n">
        <f aca="false" t="array" ref="ED416:ED417">$DY$416:$DY$417 + $DZ$416:$DZ$417 * TINV(1 - $DY$413 , $DY$397)</f>
        <v>41.9271791084555</v>
      </c>
    </row>
    <row r="417" customFormat="false" ht="12.8" hidden="false" customHeight="false" outlineLevel="0" collapsed="false">
      <c r="A417" s="22" t="n">
        <f aca="false">A374</f>
        <v>13</v>
      </c>
      <c r="B417" s="22" t="str">
        <f aca="false">B374</f>
        <v>&amp;</v>
      </c>
      <c r="C417" s="42" t="str">
        <f aca="false">C374</f>
        <v>Mrk1318</v>
      </c>
      <c r="D417" s="42" t="str">
        <f aca="false">D374</f>
        <v>&amp;</v>
      </c>
      <c r="E417" s="42" t="n">
        <f aca="false">BO15</f>
        <v>1.83250891270624</v>
      </c>
      <c r="F417" s="42" t="str">
        <f aca="false">F374</f>
        <v>&amp;</v>
      </c>
      <c r="G417" s="42" t="n">
        <f aca="false">BN15</f>
        <v>8.27</v>
      </c>
      <c r="H417" s="42" t="str">
        <f aca="false">H374</f>
        <v>&amp;</v>
      </c>
      <c r="I417" s="42" t="n">
        <f aca="false">BM15</f>
        <v>1.23299611039215</v>
      </c>
      <c r="J417" s="42" t="str">
        <f aca="false">J374</f>
        <v>&amp;</v>
      </c>
      <c r="K417" s="42" t="n">
        <f aca="false">BJ15</f>
        <v>3.01277417174865</v>
      </c>
      <c r="L417" s="42" t="str">
        <f aca="false">L374</f>
        <v>&amp;</v>
      </c>
      <c r="M417" s="42" t="n">
        <f aca="false">BL15</f>
        <v>1.85057428008802</v>
      </c>
      <c r="N417" s="0" t="s">
        <v>350</v>
      </c>
      <c r="BZ417" s="0" t="n">
        <v>2.81672091333267</v>
      </c>
      <c r="CA417" s="0" t="n">
        <v>39.9741674365773</v>
      </c>
      <c r="CB417" s="0" t="n">
        <v>39.3876198532141</v>
      </c>
      <c r="CC417" s="0" t="n">
        <v>-0.586547583363178</v>
      </c>
      <c r="CD417" s="20" t="n">
        <f aca="false">(CC417)^2</f>
        <v>0.344038067549184</v>
      </c>
      <c r="CG417" s="0" t="n">
        <v>2.81672091333267</v>
      </c>
      <c r="CH417" s="0" t="n">
        <v>40.4228500181105</v>
      </c>
      <c r="CI417" s="0" t="n">
        <v>39.9396196552323</v>
      </c>
      <c r="CJ417" s="0" t="n">
        <v>-0.483230362878224</v>
      </c>
      <c r="CK417" s="20" t="n">
        <f aca="false">(CJ417)^2</f>
        <v>0.23351158360742</v>
      </c>
      <c r="CN417" s="0" t="n">
        <v>2.81672091333267</v>
      </c>
      <c r="CO417" s="0" t="n">
        <v>40.2228310814572</v>
      </c>
      <c r="CP417" s="0" t="n">
        <v>39.6143001977675</v>
      </c>
      <c r="CQ417" s="0" t="n">
        <v>-0.608530883689667</v>
      </c>
      <c r="CR417" s="20" t="n">
        <f aca="false">(CQ417)^2</f>
        <v>0.370309836404127</v>
      </c>
      <c r="CU417" s="0" t="n">
        <v>1.24797326636181</v>
      </c>
      <c r="CV417" s="0" t="n">
        <v>2.5973898861043</v>
      </c>
      <c r="CW417" s="0" t="n">
        <v>2.81672091333267</v>
      </c>
      <c r="CX417" s="0" t="n">
        <v>0.219331027228367</v>
      </c>
      <c r="CY417" s="20" t="n">
        <f aca="false">(CX417)^2</f>
        <v>0.0481060995050509</v>
      </c>
      <c r="DC417" s="24" t="str">
        <f aca="false">$BI$137</f>
        <v>Log(Ref)</v>
      </c>
      <c r="DD417" s="0" t="n">
        <v>37.6531248363945</v>
      </c>
      <c r="DE417" s="0" t="n">
        <v>1.31668334226799</v>
      </c>
      <c r="DF417" s="0" t="n">
        <v>28.59694782159</v>
      </c>
      <c r="DG417" s="0" t="e">
        <v>#VALUE!</v>
      </c>
      <c r="DH417" s="0" t="e">
        <v>#VALUE!</v>
      </c>
      <c r="DI417" s="0" t="e">
        <v>#VALUE!</v>
      </c>
      <c r="DJ417" s="24" t="str">
        <f aca="false">$BI$137</f>
        <v>Log(Ref)</v>
      </c>
      <c r="DK417" s="0" t="n">
        <v>37.6820701524466</v>
      </c>
      <c r="DL417" s="0" t="n">
        <v>1.32395131980667</v>
      </c>
      <c r="DM417" s="0" t="n">
        <v>28.4618245313952</v>
      </c>
      <c r="DN417" s="0" t="n">
        <v>8.62000423662652E-014</v>
      </c>
      <c r="DO417" s="0" t="n">
        <v>34.842476986274</v>
      </c>
      <c r="DP417" s="0" t="n">
        <v>40.5216633186192</v>
      </c>
      <c r="DQ417" s="24" t="str">
        <f aca="false">$BI$137</f>
        <v>Log(Ref)</v>
      </c>
      <c r="DR417" s="0" t="n">
        <v>38.8101212876279</v>
      </c>
      <c r="DS417" s="0" t="n">
        <v>1.11876020519865</v>
      </c>
      <c r="DT417" s="0" t="n">
        <v>34.6902947631541</v>
      </c>
      <c r="DU417" s="0" t="n">
        <v>5.59945180138607E-015</v>
      </c>
      <c r="DV417" s="0" t="n">
        <v>36.4106192925456</v>
      </c>
      <c r="DW417" s="0" t="n">
        <v>41.2096232827102</v>
      </c>
      <c r="DX417" s="24" t="str">
        <f aca="false">$BI$137</f>
        <v>Log(Ref)</v>
      </c>
      <c r="DY417" s="0" t="n">
        <v>38.904078459511</v>
      </c>
      <c r="DZ417" s="0" t="n">
        <v>1.40951110242078</v>
      </c>
      <c r="EA417" s="0" t="n">
        <v>27.6011153035225</v>
      </c>
      <c r="EB417" s="0" t="n">
        <v>1.3156712026945E-013</v>
      </c>
      <c r="EC417" s="0" t="n">
        <v>35.8809778105666</v>
      </c>
      <c r="ED417" s="0" t="n">
        <v>41.9271791084554</v>
      </c>
    </row>
    <row r="418" customFormat="false" ht="12.8" hidden="false" customHeight="false" outlineLevel="0" collapsed="false">
      <c r="A418" s="22" t="n">
        <f aca="false">A375</f>
        <v>14</v>
      </c>
      <c r="B418" s="22" t="str">
        <f aca="false">B375</f>
        <v>&amp;</v>
      </c>
      <c r="C418" s="42" t="str">
        <f aca="false">C375</f>
        <v>Mrk36</v>
      </c>
      <c r="D418" s="42" t="str">
        <f aca="false">D375</f>
        <v>&amp;</v>
      </c>
      <c r="E418" s="42" t="n">
        <f aca="false">BO16</f>
        <v>1.79239168949825</v>
      </c>
      <c r="F418" s="42" t="str">
        <f aca="false">F375</f>
        <v>&amp;</v>
      </c>
      <c r="G418" s="42" t="n">
        <f aca="false">BN16</f>
        <v>7.89</v>
      </c>
      <c r="H418" s="42" t="str">
        <f aca="false">H375</f>
        <v>&amp;</v>
      </c>
      <c r="I418" s="42" t="n">
        <f aca="false">BM16</f>
        <v>1.23299611039215</v>
      </c>
      <c r="J418" s="42" t="str">
        <f aca="false">J375</f>
        <v>&amp;</v>
      </c>
      <c r="K418" s="42" t="n">
        <f aca="false">BJ16</f>
        <v>2.23419219759188</v>
      </c>
      <c r="L418" s="42" t="str">
        <f aca="false">L375</f>
        <v>&amp;</v>
      </c>
      <c r="M418" s="42" t="n">
        <f aca="false">BL16</f>
        <v>1.54507120196056</v>
      </c>
      <c r="N418" s="0" t="s">
        <v>350</v>
      </c>
      <c r="BZ418" s="0" t="n">
        <v>2.81967486601435</v>
      </c>
      <c r="CA418" s="0" t="n">
        <v>39.9769309764626</v>
      </c>
      <c r="CB418" s="0" t="n">
        <v>39.7992940202333</v>
      </c>
      <c r="CC418" s="0" t="n">
        <v>-0.177636956229314</v>
      </c>
      <c r="CD418" s="20" t="n">
        <f aca="false">(CC418)^2</f>
        <v>0.0315548882184152</v>
      </c>
      <c r="CG418" s="0" t="n">
        <v>2.81967486601435</v>
      </c>
      <c r="CH418" s="0" t="n">
        <v>40.4250888435677</v>
      </c>
      <c r="CI418" s="0" t="n">
        <v>40.5671950296227</v>
      </c>
      <c r="CJ418" s="0" t="n">
        <v>0.142106186054988</v>
      </c>
      <c r="CK418" s="20" t="n">
        <f aca="false">(CJ418)^2</f>
        <v>0.020194168115095</v>
      </c>
      <c r="CN418" s="0" t="n">
        <v>2.81967486601435</v>
      </c>
      <c r="CO418" s="0" t="n">
        <v>40.2249267757847</v>
      </c>
      <c r="CP418" s="0" t="n">
        <v>40.5671950296227</v>
      </c>
      <c r="CQ418" s="0" t="n">
        <v>0.342268253837993</v>
      </c>
      <c r="CR418" s="20" t="n">
        <f aca="false">(CQ418)^2</f>
        <v>0.117147557585309</v>
      </c>
      <c r="CU418" s="0" t="n">
        <v>1.3541084391474</v>
      </c>
      <c r="CV418" s="0" t="n">
        <v>2.6746814663595</v>
      </c>
      <c r="CW418" s="0" t="n">
        <v>2.81967486601435</v>
      </c>
      <c r="CX418" s="0" t="n">
        <v>0.144993399654851</v>
      </c>
      <c r="CY418" s="20" t="n">
        <f aca="false">(CX418)^2</f>
        <v>0.0210230859434713</v>
      </c>
    </row>
    <row r="419" customFormat="false" ht="12.8" hidden="false" customHeight="false" outlineLevel="0" collapsed="false">
      <c r="A419" s="22" t="n">
        <f aca="false">A376</f>
        <v>15</v>
      </c>
      <c r="B419" s="22" t="str">
        <f aca="false">B376</f>
        <v>&amp;</v>
      </c>
      <c r="C419" s="42" t="str">
        <f aca="false">C376</f>
        <v>(SC98)13016-2236</v>
      </c>
      <c r="D419" s="42" t="str">
        <f aca="false">D376</f>
        <v>&amp;</v>
      </c>
      <c r="E419" s="42" t="n">
        <f aca="false">BO17</f>
        <v>1.53147891704226</v>
      </c>
      <c r="F419" s="42" t="str">
        <f aca="false">F376</f>
        <v>&amp;</v>
      </c>
      <c r="G419" s="42" t="n">
        <f aca="false">BN17</f>
        <v>8.27</v>
      </c>
      <c r="H419" s="42" t="str">
        <f aca="false">H376</f>
        <v>&amp;</v>
      </c>
      <c r="I419" s="42" t="n">
        <f aca="false">BM17</f>
        <v>1.3541084391474</v>
      </c>
      <c r="J419" s="42" t="str">
        <f aca="false">J376</f>
        <v>&amp;</v>
      </c>
      <c r="K419" s="42" t="n">
        <f aca="false">BJ17</f>
        <v>2.51128671835605</v>
      </c>
      <c r="L419" s="42" t="str">
        <f aca="false">L376</f>
        <v>&amp;</v>
      </c>
      <c r="M419" s="42" t="n">
        <f aca="false">BL17</f>
        <v>1.96442405905461</v>
      </c>
      <c r="N419" s="0" t="s">
        <v>350</v>
      </c>
      <c r="BZ419" s="0" t="n">
        <v>2.98153856858654</v>
      </c>
      <c r="CA419" s="0" t="n">
        <v>40.128360889616</v>
      </c>
      <c r="CB419" s="0" t="n">
        <v>39.5414546476421</v>
      </c>
      <c r="CC419" s="0" t="n">
        <v>-0.586906241973935</v>
      </c>
      <c r="CD419" s="20" t="n">
        <f aca="false">(CC419)^2</f>
        <v>0.344458936867967</v>
      </c>
      <c r="CG419" s="0" t="n">
        <v>2.98153856858654</v>
      </c>
      <c r="CH419" s="0" t="n">
        <v>40.5477666982814</v>
      </c>
      <c r="CI419" s="0" t="n">
        <v>39.9994654634455</v>
      </c>
      <c r="CJ419" s="0" t="n">
        <v>-0.54830123483584</v>
      </c>
      <c r="CK419" s="20" t="n">
        <f aca="false">(CJ419)^2</f>
        <v>0.300634244122507</v>
      </c>
      <c r="CN419" s="0" t="n">
        <v>2.98153856858654</v>
      </c>
      <c r="CO419" s="0" t="n">
        <v>40.3397616698641</v>
      </c>
      <c r="CP419" s="0" t="n">
        <v>39.4317743737488</v>
      </c>
      <c r="CQ419" s="0" t="n">
        <v>-0.907987296115302</v>
      </c>
      <c r="CR419" s="20" t="n">
        <f aca="false">(CQ419)^2</f>
        <v>0.824440929906776</v>
      </c>
      <c r="CU419" s="0" t="n">
        <v>1.20682587603185</v>
      </c>
      <c r="CV419" s="0" t="n">
        <v>2.56742482609159</v>
      </c>
      <c r="CW419" s="0" t="n">
        <v>2.98153856858654</v>
      </c>
      <c r="CX419" s="0" t="n">
        <v>0.414113742494952</v>
      </c>
      <c r="CY419" s="20" t="n">
        <f aca="false">(CX419)^2</f>
        <v>0.171490191723175</v>
      </c>
      <c r="DC419" s="0" t="str">
        <f aca="false">$BI$137</f>
        <v>Log(Ref)</v>
      </c>
      <c r="DD419" s="0" t="s">
        <v>157</v>
      </c>
      <c r="DE419" s="0" t="n">
        <f aca="false">$BE$137</f>
        <v>0</v>
      </c>
      <c r="DF419" s="0" t="s">
        <v>133</v>
      </c>
      <c r="DJ419" s="0" t="str">
        <f aca="false">$BI$137</f>
        <v>Log(Ref)</v>
      </c>
      <c r="DK419" s="0" t="s">
        <v>157</v>
      </c>
      <c r="DL419" s="0" t="str">
        <f aca="false">$BF$137</f>
        <v>Log(LHβ) 2011</v>
      </c>
      <c r="DM419" s="0" t="s">
        <v>133</v>
      </c>
      <c r="DQ419" s="0" t="str">
        <f aca="false">$BI$137</f>
        <v>Log(Ref)</v>
      </c>
      <c r="DR419" s="0" t="s">
        <v>157</v>
      </c>
      <c r="DS419" s="0" t="str">
        <f aca="false">$BG$137</f>
        <v>Full Log(LHβ) 2007</v>
      </c>
      <c r="DT419" s="0" t="s">
        <v>133</v>
      </c>
      <c r="DX419" s="0" t="str">
        <f aca="false">$BI$137</f>
        <v>Log(Ref)</v>
      </c>
      <c r="DY419" s="0" t="s">
        <v>157</v>
      </c>
      <c r="DZ419" s="0" t="str">
        <f aca="false">$BH$137</f>
        <v>BK Log(LHβ) 2007</v>
      </c>
      <c r="EA419" s="0" t="s">
        <v>133</v>
      </c>
    </row>
    <row r="420" customFormat="false" ht="12.8" hidden="false" customHeight="false" outlineLevel="0" collapsed="false">
      <c r="A420" s="22" t="n">
        <f aca="false">A377</f>
        <v>16</v>
      </c>
      <c r="B420" s="22" t="str">
        <f aca="false">B377</f>
        <v>&amp;</v>
      </c>
      <c r="C420" s="42" t="str">
        <f aca="false">C377</f>
        <v>(SC98)13191-2212</v>
      </c>
      <c r="D420" s="42" t="str">
        <f aca="false">D377</f>
        <v>&amp;</v>
      </c>
      <c r="E420" s="42" t="n">
        <f aca="false">BO18</f>
        <v>1.34242268082221</v>
      </c>
      <c r="F420" s="42" t="str">
        <f aca="false">F377</f>
        <v>&amp;</v>
      </c>
      <c r="G420" s="42" t="n">
        <f aca="false">BN18</f>
        <v>8.49</v>
      </c>
      <c r="H420" s="42" t="str">
        <f aca="false">H377</f>
        <v>&amp;</v>
      </c>
      <c r="I420" s="42" t="n">
        <f aca="false">BM18</f>
        <v>1.48572142648158</v>
      </c>
      <c r="J420" s="42" t="str">
        <f aca="false">J377</f>
        <v>&amp;</v>
      </c>
      <c r="K420" s="42" t="n">
        <f aca="false">BJ18</f>
        <v>2.98461060088215</v>
      </c>
      <c r="L420" s="42" t="str">
        <f aca="false">L377</f>
        <v>&amp;</v>
      </c>
      <c r="M420" s="42" t="n">
        <f aca="false">BL18</f>
        <v>2.35784156259318</v>
      </c>
      <c r="N420" s="0" t="s">
        <v>350</v>
      </c>
      <c r="BZ420" s="0" t="n">
        <v>2.5381406092624</v>
      </c>
      <c r="CA420" s="0" t="n">
        <v>39.7135445138266</v>
      </c>
      <c r="CB420" s="0" t="n">
        <v>39.2951320767752</v>
      </c>
      <c r="CC420" s="0" t="n">
        <v>-0.418412437051373</v>
      </c>
      <c r="CD420" s="20" t="n">
        <f aca="false">(CC420)^2</f>
        <v>0.175068967479269</v>
      </c>
      <c r="CG420" s="0" t="n">
        <v>2.5381406092624</v>
      </c>
      <c r="CH420" s="0" t="n">
        <v>40.2117116743947</v>
      </c>
      <c r="CI420" s="0" t="n">
        <v>39.8338814731209</v>
      </c>
      <c r="CJ420" s="0" t="n">
        <v>-0.377830201273753</v>
      </c>
      <c r="CK420" s="20" t="n">
        <f aca="false">(CJ420)^2</f>
        <v>0.142755660994564</v>
      </c>
      <c r="CN420" s="0" t="n">
        <v>2.5381406092624</v>
      </c>
      <c r="CO420" s="0" t="n">
        <v>40.0251910966913</v>
      </c>
      <c r="CP420" s="0" t="n">
        <v>39.7495605874209</v>
      </c>
      <c r="CQ420" s="0" t="n">
        <v>-0.275630509270393</v>
      </c>
      <c r="CR420" s="20" t="n">
        <f aca="false">(CQ420)^2</f>
        <v>0.075972177640656</v>
      </c>
      <c r="CU420" s="0" t="n">
        <v>1.09691001300806</v>
      </c>
      <c r="CV420" s="0" t="n">
        <v>2.4873800065916</v>
      </c>
      <c r="CW420" s="0" t="n">
        <v>2.5381406092624</v>
      </c>
      <c r="CX420" s="0" t="n">
        <v>0.0507606026707981</v>
      </c>
      <c r="CY420" s="20" t="n">
        <f aca="false">(CX420)^2</f>
        <v>0.00257663878350263</v>
      </c>
      <c r="DC420" s="0" t="n">
        <f aca="false" t="array" ref="DC420:DC435">$BI$138:$BI$153</f>
        <v>2.87121125667452</v>
      </c>
      <c r="DD420" s="0" t="e">
        <f aca="false" t="array" ref="DD420:DD435">MMULT($DC$420:$DC$435 , $DD$417) + $DD$416</f>
        <v>#VALUE!</v>
      </c>
      <c r="DE420" s="0" t="n">
        <f aca="false" t="array" ref="DE420:DE435">$BE$138:$BE$153</f>
        <v>0</v>
      </c>
      <c r="DF420" s="0" t="e">
        <f aca="false" t="array" ref="DF420:DF435">$DE$420:$DE$435 - $DD$420:$DD$435</f>
        <v>#VALUE!</v>
      </c>
      <c r="DJ420" s="0" t="n">
        <f aca="false" t="array" ref="DJ420:DJ435">$BI$138:$BI$153</f>
        <v>2.87121125667452</v>
      </c>
      <c r="DK420" s="0" t="n">
        <f aca="false" t="array" ref="DK420:DK435">MMULT($DJ$420:$DJ$435 , $DK$417) + $DK$416</f>
        <v>145.844792969294</v>
      </c>
      <c r="DL420" s="0" t="n">
        <f aca="false" t="array" ref="DL420:DL435">$BF$138:$BF$153</f>
        <v>39.9963150223595</v>
      </c>
      <c r="DM420" s="0" t="n">
        <f aca="false" t="array" ref="DM420:DM435">$DL$420:$DL$435 - $DK$420:$DK$435</f>
        <v>-105.848477946934</v>
      </c>
      <c r="DQ420" s="0" t="n">
        <f aca="false" t="array" ref="DQ420:DQ435">$BI$138:$BI$153</f>
        <v>2.87121125667452</v>
      </c>
      <c r="DR420" s="0" t="n">
        <f aca="false" t="array" ref="DR420:DR435">MMULT($DQ$420:$DQ$435 , $DR$417) + $DR$416</f>
        <v>150.242178401569</v>
      </c>
      <c r="DS420" s="0" t="n">
        <f aca="false" t="array" ref="DS420:DS435">$BG$138:$BG$153</f>
        <v>40.4667860464016</v>
      </c>
      <c r="DT420" s="0" t="n">
        <f aca="false" t="array" ref="DT420:DT435">$DS$420:$DS$435 - $DR$420:$DR$435</f>
        <v>-109.775392355167</v>
      </c>
      <c r="DX420" s="0" t="n">
        <f aca="false" t="array" ref="DX420:DX435">$BI$138:$BI$153</f>
        <v>2.87121125667452</v>
      </c>
      <c r="DY420" s="0" t="n">
        <f aca="false" t="array" ref="DY420:DY435">MMULT($DX$420:$DX$435 , $DY$417) + $DY$416</f>
        <v>150.605906463008</v>
      </c>
      <c r="DZ420" s="0" t="n">
        <f aca="false" t="array" ref="DZ420:DZ435">$BH$138:$BH$153</f>
        <v>40.4667860464016</v>
      </c>
      <c r="EA420" s="0" t="n">
        <f aca="false" t="array" ref="EA420:EA435">$DZ$420:$DZ$435 - $DY$420:$DY$435</f>
        <v>-110.139120416606</v>
      </c>
    </row>
    <row r="421" customFormat="false" ht="12.8" hidden="false" customHeight="false" outlineLevel="0" collapsed="false">
      <c r="A421" s="22" t="n">
        <f aca="false">A378</f>
        <v>17</v>
      </c>
      <c r="B421" s="22" t="str">
        <f aca="false">B378</f>
        <v>&amp;</v>
      </c>
      <c r="C421" s="42" t="str">
        <f aca="false">C378</f>
        <v>(SC98)13228-2547</v>
      </c>
      <c r="D421" s="42" t="str">
        <f aca="false">D378</f>
        <v>&amp;</v>
      </c>
      <c r="E421" s="42" t="n">
        <f aca="false">BO19</f>
        <v>1.30102999566398</v>
      </c>
      <c r="F421" s="42" t="str">
        <f aca="false">F378</f>
        <v>&amp;</v>
      </c>
      <c r="G421" s="42" t="n">
        <f aca="false">BN19</f>
        <v>8.02</v>
      </c>
      <c r="H421" s="42" t="str">
        <f aca="false">H378</f>
        <v>&amp;</v>
      </c>
      <c r="I421" s="42" t="n">
        <f aca="false">BM19</f>
        <v>1.39967372148104</v>
      </c>
      <c r="J421" s="42" t="str">
        <f aca="false">J378</f>
        <v>&amp;</v>
      </c>
      <c r="K421" s="42" t="n">
        <f aca="false">BJ19</f>
        <v>2.65208067517048</v>
      </c>
      <c r="L421" s="42" t="str">
        <f aca="false">L378</f>
        <v>&amp;</v>
      </c>
      <c r="M421" s="42" t="n">
        <f aca="false">BL19</f>
        <v>2.04990126579397</v>
      </c>
      <c r="N421" s="0" t="s">
        <v>350</v>
      </c>
      <c r="BZ421" s="0" t="n">
        <v>2.37977395062333</v>
      </c>
      <c r="CA421" s="0" t="n">
        <v>39.5653862239628</v>
      </c>
      <c r="CB421" s="0" t="n">
        <v>39.0423920343584</v>
      </c>
      <c r="CC421" s="0" t="n">
        <v>-0.522994189604411</v>
      </c>
      <c r="CD421" s="20" t="n">
        <f aca="false">(CC421)^2</f>
        <v>0.273522922359975</v>
      </c>
      <c r="CG421" s="0" t="n">
        <v>2.37977395062333</v>
      </c>
      <c r="CH421" s="0" t="n">
        <v>40.0916842585425</v>
      </c>
      <c r="CI421" s="0" t="n">
        <v>39.4843141944881</v>
      </c>
      <c r="CJ421" s="0" t="n">
        <v>-0.607370064054372</v>
      </c>
      <c r="CK421" s="20" t="n">
        <f aca="false">(CJ421)^2</f>
        <v>0.368898394709412</v>
      </c>
      <c r="CN421" s="0" t="n">
        <v>2.37977395062333</v>
      </c>
      <c r="CO421" s="0" t="n">
        <v>39.9128371953439</v>
      </c>
      <c r="CP421" s="0" t="n">
        <v>39.4843141944881</v>
      </c>
      <c r="CQ421" s="0" t="n">
        <v>-0.428523000855769</v>
      </c>
      <c r="CR421" s="20" t="n">
        <f aca="false">(CQ421)^2</f>
        <v>0.183631962262433</v>
      </c>
      <c r="CU421" s="0" t="n">
        <v>1.28330122870355</v>
      </c>
      <c r="CV421" s="0" t="n">
        <v>2.6231170222169</v>
      </c>
      <c r="CW421" s="0" t="n">
        <v>2.37977395062333</v>
      </c>
      <c r="CX421" s="0" t="n">
        <v>-0.243343071593573</v>
      </c>
      <c r="CY421" s="20" t="n">
        <f aca="false">(CX421)^2</f>
        <v>0.0592158504925947</v>
      </c>
      <c r="DC421" s="0" t="n">
        <v>2.83671772153776</v>
      </c>
      <c r="DD421" s="0" t="e">
        <v>#VALUE!</v>
      </c>
      <c r="DE421" s="0" t="n">
        <v>0</v>
      </c>
      <c r="DF421" s="0" t="e">
        <v>#VALUE!</v>
      </c>
      <c r="DJ421" s="0" t="n">
        <v>2.83671772153776</v>
      </c>
      <c r="DK421" s="0" t="n">
        <v>144.545005158464</v>
      </c>
      <c r="DL421" s="0" t="n">
        <v>40.3308782653967</v>
      </c>
      <c r="DM421" s="0" t="n">
        <v>-104.214126893068</v>
      </c>
      <c r="DQ421" s="0" t="n">
        <v>2.83671772153776</v>
      </c>
      <c r="DR421" s="0" t="n">
        <v>148.903480119272</v>
      </c>
      <c r="DS421" s="0" t="n">
        <v>40.6750396842358</v>
      </c>
      <c r="DT421" s="0" t="n">
        <v>-108.228440435036</v>
      </c>
      <c r="DX421" s="0" t="n">
        <v>2.83671772153776</v>
      </c>
      <c r="DY421" s="0" t="n">
        <v>149.263967265701</v>
      </c>
      <c r="DZ421" s="0" t="n">
        <v>40.6750396842358</v>
      </c>
      <c r="EA421" s="0" t="n">
        <v>-108.588927581466</v>
      </c>
    </row>
    <row r="422" customFormat="false" ht="12.8" hidden="false" customHeight="false" outlineLevel="0" collapsed="false">
      <c r="A422" s="22" t="n">
        <f aca="false">A379</f>
        <v>18</v>
      </c>
      <c r="B422" s="22" t="str">
        <f aca="false">B379</f>
        <v>&amp;</v>
      </c>
      <c r="C422" s="42" t="str">
        <f aca="false">C379</f>
        <v>Tol0505-387</v>
      </c>
      <c r="D422" s="42" t="str">
        <f aca="false">D379</f>
        <v>&amp;</v>
      </c>
      <c r="E422" s="42" t="n">
        <f aca="false">BO20</f>
        <v>1</v>
      </c>
      <c r="F422" s="42" t="str">
        <f aca="false">F379</f>
        <v>&amp;</v>
      </c>
      <c r="G422" s="42" t="n">
        <f aca="false">BN20</f>
        <v>8.5</v>
      </c>
      <c r="H422" s="42" t="str">
        <f aca="false">H379</f>
        <v>&amp;</v>
      </c>
      <c r="I422" s="42" t="n">
        <f aca="false">BM20</f>
        <v>1.3384564936046</v>
      </c>
      <c r="J422" s="42" t="str">
        <f aca="false">J379</f>
        <v>&amp;</v>
      </c>
      <c r="K422" s="42" t="n">
        <f aca="false">BJ20</f>
        <v>3.14327666168951</v>
      </c>
      <c r="L422" s="42" t="str">
        <f aca="false">L379</f>
        <v>&amp;</v>
      </c>
      <c r="M422" s="42" t="n">
        <f aca="false">BL20</f>
        <v>2.20522175876517</v>
      </c>
      <c r="N422" s="0" t="s">
        <v>350</v>
      </c>
      <c r="BZ422" s="0" t="n">
        <v>2.77079593079515</v>
      </c>
      <c r="CA422" s="0" t="n">
        <v>39.9312027940619</v>
      </c>
      <c r="CB422" s="0" t="n">
        <v>39.7584397069598</v>
      </c>
      <c r="CC422" s="0" t="n">
        <v>-0.172763087102105</v>
      </c>
      <c r="CD422" s="20" t="n">
        <f aca="false">(CC422)^2</f>
        <v>0.0298470842650495</v>
      </c>
      <c r="CG422" s="0" t="n">
        <v>2.77079593079515</v>
      </c>
      <c r="CH422" s="0" t="n">
        <v>40.3880430895284</v>
      </c>
      <c r="CI422" s="0" t="n">
        <v>40.1263375099171</v>
      </c>
      <c r="CJ422" s="0" t="n">
        <v>-0.261705579611331</v>
      </c>
      <c r="CK422" s="20" t="n">
        <f aca="false">(CJ422)^2</f>
        <v>0.0684898103997025</v>
      </c>
      <c r="CN422" s="0" t="n">
        <v>2.77079593079515</v>
      </c>
      <c r="CO422" s="0" t="n">
        <v>40.1902494067426</v>
      </c>
      <c r="CP422" s="0" t="n">
        <v>39.9044887603007</v>
      </c>
      <c r="CQ422" s="0" t="n">
        <v>-0.285760646441943</v>
      </c>
      <c r="CR422" s="20" t="n">
        <f aca="false">(CQ422)^2</f>
        <v>0.0816591470549173</v>
      </c>
      <c r="CU422" s="0" t="n">
        <v>1.23552844690755</v>
      </c>
      <c r="CV422" s="0" t="n">
        <v>2.58832710572373</v>
      </c>
      <c r="CW422" s="0" t="n">
        <v>2.77079593079515</v>
      </c>
      <c r="CX422" s="0" t="n">
        <v>0.182468825071424</v>
      </c>
      <c r="CY422" s="20" t="n">
        <f aca="false">(CX422)^2</f>
        <v>0.0332948721229458</v>
      </c>
      <c r="DC422" s="0" t="n">
        <v>2.65881683983858</v>
      </c>
      <c r="DD422" s="0" t="e">
        <v>#VALUE!</v>
      </c>
      <c r="DE422" s="0" t="n">
        <v>0</v>
      </c>
      <c r="DF422" s="0" t="e">
        <v>#VALUE!</v>
      </c>
      <c r="DJ422" s="0" t="n">
        <v>2.65881683983858</v>
      </c>
      <c r="DK422" s="0" t="n">
        <v>137.841331654094</v>
      </c>
      <c r="DL422" s="0" t="n">
        <v>40.5363222856562</v>
      </c>
      <c r="DM422" s="0" t="n">
        <v>-97.3050093684374</v>
      </c>
      <c r="DQ422" s="0" t="n">
        <v>2.65881683983858</v>
      </c>
      <c r="DR422" s="0" t="n">
        <v>141.999125323351</v>
      </c>
      <c r="DS422" s="0" t="n">
        <v>40.8519069419647</v>
      </c>
      <c r="DT422" s="0" t="n">
        <v>-101.147218381386</v>
      </c>
      <c r="DX422" s="0" t="n">
        <v>2.65881683983858</v>
      </c>
      <c r="DY422" s="0" t="n">
        <v>142.34289740606</v>
      </c>
      <c r="DZ422" s="0" t="n">
        <v>40.8519069419647</v>
      </c>
      <c r="EA422" s="0" t="n">
        <v>-101.490990464096</v>
      </c>
    </row>
    <row r="423" customFormat="false" ht="12.8" hidden="false" customHeight="false" outlineLevel="0" collapsed="false">
      <c r="A423" s="22" t="n">
        <f aca="false">A380</f>
        <v>19</v>
      </c>
      <c r="B423" s="22" t="str">
        <f aca="false">B380</f>
        <v>&amp;</v>
      </c>
      <c r="C423" s="42" t="str">
        <f aca="false">C380</f>
        <v>Tol0528-383</v>
      </c>
      <c r="D423" s="42" t="str">
        <f aca="false">D380</f>
        <v>&amp;</v>
      </c>
      <c r="E423" s="42" t="n">
        <f aca="false">BO21</f>
        <v>1.32221929473392</v>
      </c>
      <c r="F423" s="42" t="str">
        <f aca="false">F380</f>
        <v>&amp;</v>
      </c>
      <c r="G423" s="42" t="n">
        <f aca="false">BN21</f>
        <v>7.96</v>
      </c>
      <c r="H423" s="42" t="str">
        <f aca="false">H380</f>
        <v>&amp;</v>
      </c>
      <c r="I423" s="42" t="n">
        <f aca="false">BM21</f>
        <v>1.25527250510331</v>
      </c>
      <c r="J423" s="42" t="str">
        <f aca="false">J380</f>
        <v>&amp;</v>
      </c>
      <c r="K423" s="42" t="n">
        <f aca="false">BJ21</f>
        <v>2.72075204192537</v>
      </c>
      <c r="L423" s="42" t="str">
        <f aca="false">L380</f>
        <v>&amp;</v>
      </c>
      <c r="M423" s="42" t="n">
        <f aca="false">BL21</f>
        <v>1.96796675188098</v>
      </c>
      <c r="N423" s="0" t="s">
        <v>350</v>
      </c>
      <c r="BZ423" s="0" t="n">
        <v>1.8572240799594</v>
      </c>
      <c r="CA423" s="0" t="n">
        <v>39.0765200960075</v>
      </c>
      <c r="CB423" s="0" t="n">
        <v>39.0217644408478</v>
      </c>
      <c r="CC423" s="0" t="n">
        <v>-0.0547556551597452</v>
      </c>
      <c r="CD423" s="20" t="n">
        <f aca="false">(CC423)^2</f>
        <v>0.00299818177197293</v>
      </c>
      <c r="CG423" s="0" t="n">
        <v>1.8572240799594</v>
      </c>
      <c r="CH423" s="0" t="n">
        <v>39.6956393386795</v>
      </c>
      <c r="CI423" s="0" t="n">
        <v>39.7989606416723</v>
      </c>
      <c r="CJ423" s="0" t="n">
        <v>0.103321302992846</v>
      </c>
      <c r="CK423" s="20" t="n">
        <f aca="false">(CJ423)^2</f>
        <v>0.0106752916521395</v>
      </c>
      <c r="CN423" s="0" t="n">
        <v>1.8572240799594</v>
      </c>
      <c r="CO423" s="0" t="n">
        <v>39.5421119611171</v>
      </c>
      <c r="CP423" s="0" t="n">
        <v>39.4018526150208</v>
      </c>
      <c r="CQ423" s="0" t="n">
        <v>-0.140259346096258</v>
      </c>
      <c r="CR423" s="20" t="n">
        <f aca="false">(CQ423)^2</f>
        <v>0.0196726841673498</v>
      </c>
      <c r="CU423" s="0" t="n">
        <v>1.22788670461367</v>
      </c>
      <c r="CV423" s="0" t="n">
        <v>2.5827621047698</v>
      </c>
      <c r="CW423" s="0" t="n">
        <v>1.8572240799594</v>
      </c>
      <c r="CX423" s="0" t="n">
        <v>-0.7255380248104</v>
      </c>
      <c r="CY423" s="20" t="n">
        <f aca="false">(CX423)^2</f>
        <v>0.526405425445776</v>
      </c>
      <c r="DC423" s="0" t="n">
        <v>2.39301947013859</v>
      </c>
      <c r="DD423" s="0" t="e">
        <v>#VALUE!</v>
      </c>
      <c r="DE423" s="0" t="n">
        <v>0</v>
      </c>
      <c r="DF423" s="0" t="e">
        <v>#VALUE!</v>
      </c>
      <c r="DJ423" s="0" t="n">
        <v>2.39301947013859</v>
      </c>
      <c r="DK423" s="0" t="n">
        <v>127.825536522723</v>
      </c>
      <c r="DL423" s="0" t="n">
        <v>39.7119114592515</v>
      </c>
      <c r="DM423" s="0" t="n">
        <v>-88.1136250634713</v>
      </c>
      <c r="DQ423" s="0" t="n">
        <v>2.39301947013859</v>
      </c>
      <c r="DR423" s="0" t="n">
        <v>131.683497167362</v>
      </c>
      <c r="DS423" s="0" t="n">
        <v>40.3675165950432</v>
      </c>
      <c r="DT423" s="0" t="n">
        <v>-91.3159805723184</v>
      </c>
      <c r="DX423" s="0" t="n">
        <v>2.39301947013859</v>
      </c>
      <c r="DY423" s="0" t="n">
        <v>132.00229568092</v>
      </c>
      <c r="DZ423" s="0" t="n">
        <v>40.3675165950432</v>
      </c>
      <c r="EA423" s="0" t="n">
        <v>-91.634779085877</v>
      </c>
    </row>
    <row r="424" customFormat="false" ht="12.8" hidden="false" customHeight="false" outlineLevel="0" collapsed="false">
      <c r="A424" s="22" t="n">
        <f aca="false">A381</f>
        <v>20</v>
      </c>
      <c r="B424" s="22" t="str">
        <f aca="false">B381</f>
        <v>&amp;</v>
      </c>
      <c r="C424" s="42" t="str">
        <f aca="false">C381</f>
        <v>Tol0610-387</v>
      </c>
      <c r="D424" s="42" t="str">
        <f aca="false">D381</f>
        <v>&amp;</v>
      </c>
      <c r="E424" s="42" t="n">
        <f aca="false">BO22</f>
        <v>0.602059991327962</v>
      </c>
      <c r="F424" s="42" t="str">
        <f aca="false">F381</f>
        <v>&amp;</v>
      </c>
      <c r="G424" s="42" t="n">
        <f aca="false">BN22</f>
        <v>8.56</v>
      </c>
      <c r="H424" s="42" t="str">
        <f aca="false">H381</f>
        <v>&amp;</v>
      </c>
      <c r="I424" s="42" t="n">
        <f aca="false">BM22</f>
        <v>1.22010808804006</v>
      </c>
      <c r="J424" s="42" t="str">
        <f aca="false">J381</f>
        <v>&amp;</v>
      </c>
      <c r="K424" s="42" t="n">
        <f aca="false">BJ22</f>
        <v>2.48769573000203</v>
      </c>
      <c r="L424" s="42" t="str">
        <f aca="false">L381</f>
        <v>&amp;</v>
      </c>
      <c r="M424" s="42" t="n">
        <f aca="false">BL22</f>
        <v>1.83307698166838</v>
      </c>
      <c r="N424" s="0" t="s">
        <v>350</v>
      </c>
      <c r="CD424" s="0" t="n">
        <f aca="false">SQRT(SUM(CD385:CD423)/39)</f>
        <v>0.407475766510562</v>
      </c>
      <c r="CK424" s="0" t="n">
        <f aca="false">SQRT(SUM(CK385:CK423)/39)</f>
        <v>0.40719237556969</v>
      </c>
      <c r="CR424" s="0" t="n">
        <f aca="false">SQRT(SUM(CR385:CR423)/39)</f>
        <v>0.447792645369926</v>
      </c>
      <c r="CY424" s="0" t="n">
        <f aca="false">SQRT(SUM(CY385:CY423)/39)</f>
        <v>0.259067114703249</v>
      </c>
      <c r="DC424" s="0" t="n">
        <v>2.33598198537144</v>
      </c>
      <c r="DD424" s="0" t="e">
        <v>#VALUE!</v>
      </c>
      <c r="DE424" s="0" t="n">
        <v>0</v>
      </c>
      <c r="DF424" s="0" t="e">
        <v>#VALUE!</v>
      </c>
      <c r="DJ424" s="0" t="n">
        <v>2.33598198537144</v>
      </c>
      <c r="DK424" s="0" t="n">
        <v>125.676246020408</v>
      </c>
      <c r="DL424" s="0" t="n">
        <v>39.8158956218551</v>
      </c>
      <c r="DM424" s="0" t="n">
        <v>-85.8603503985529</v>
      </c>
      <c r="DQ424" s="0" t="n">
        <v>2.33598198537144</v>
      </c>
      <c r="DR424" s="0" t="n">
        <v>129.469865465607</v>
      </c>
      <c r="DS424" s="0" t="n">
        <v>40.2813702480347</v>
      </c>
      <c r="DT424" s="0" t="n">
        <v>-89.1884952175726</v>
      </c>
      <c r="DX424" s="0" t="n">
        <v>2.33598198537144</v>
      </c>
      <c r="DY424" s="0" t="n">
        <v>129.783304898406</v>
      </c>
      <c r="DZ424" s="0" t="n">
        <v>40.2813702480347</v>
      </c>
      <c r="EA424" s="0" t="n">
        <v>-89.5019346503711</v>
      </c>
    </row>
    <row r="425" customFormat="false" ht="12.8" hidden="false" customHeight="false" outlineLevel="0" collapsed="false">
      <c r="A425" s="22" t="n">
        <f aca="false">A382</f>
        <v>21</v>
      </c>
      <c r="B425" s="22" t="str">
        <f aca="false">B382</f>
        <v>&amp;</v>
      </c>
      <c r="C425" s="42" t="str">
        <f aca="false">C382</f>
        <v>Tol0633-415</v>
      </c>
      <c r="D425" s="42" t="str">
        <f aca="false">D382</f>
        <v>&amp;</v>
      </c>
      <c r="E425" s="42" t="n">
        <f aca="false">BO23</f>
        <v>1.91907809237607</v>
      </c>
      <c r="F425" s="42" t="str">
        <f aca="false">F382</f>
        <v>&amp;</v>
      </c>
      <c r="G425" s="42" t="n">
        <f aca="false">BN23</f>
        <v>8.14</v>
      </c>
      <c r="H425" s="42" t="str">
        <f aca="false">H382</f>
        <v>&amp;</v>
      </c>
      <c r="I425" s="42" t="n">
        <f aca="false">BM23</f>
        <v>1.50514997831991</v>
      </c>
      <c r="J425" s="42" t="str">
        <f aca="false">J382</f>
        <v>&amp;</v>
      </c>
      <c r="K425" s="42" t="n">
        <f aca="false">BJ23</f>
        <v>2.80181789701222</v>
      </c>
      <c r="L425" s="42" t="str">
        <f aca="false">L382</f>
        <v>&amp;</v>
      </c>
      <c r="M425" s="42" t="n">
        <f aca="false">BL23</f>
        <v>2.24498078176473</v>
      </c>
      <c r="N425" s="0" t="s">
        <v>350</v>
      </c>
      <c r="BS425" s="14"/>
      <c r="BZ425" s="14" t="s">
        <v>525</v>
      </c>
      <c r="CC425" s="13"/>
      <c r="CG425" s="14" t="s">
        <v>526</v>
      </c>
      <c r="CJ425" s="13"/>
      <c r="CK425" s="13"/>
      <c r="CN425" s="14" t="s">
        <v>527</v>
      </c>
      <c r="CU425" s="14" t="s">
        <v>528</v>
      </c>
      <c r="DC425" s="0" t="n">
        <v>3.06174587184761</v>
      </c>
      <c r="DD425" s="0" t="e">
        <v>#VALUE!</v>
      </c>
      <c r="DE425" s="0" t="n">
        <v>0</v>
      </c>
      <c r="DF425" s="0" t="e">
        <v>#VALUE!</v>
      </c>
      <c r="DJ425" s="0" t="n">
        <v>3.06174587184761</v>
      </c>
      <c r="DK425" s="0" t="n">
        <v>153.024531704715</v>
      </c>
      <c r="DL425" s="0" t="n">
        <v>39.9770046637507</v>
      </c>
      <c r="DM425" s="0" t="n">
        <v>-113.047527040965</v>
      </c>
      <c r="DQ425" s="0" t="n">
        <v>3.06174587184761</v>
      </c>
      <c r="DR425" s="0" t="n">
        <v>157.636849925928</v>
      </c>
      <c r="DS425" s="0" t="n">
        <v>40.5618565782759</v>
      </c>
      <c r="DT425" s="0" t="n">
        <v>-117.074993347652</v>
      </c>
      <c r="DX425" s="0" t="n">
        <v>3.06174587184761</v>
      </c>
      <c r="DY425" s="0" t="n">
        <v>158.018480080954</v>
      </c>
      <c r="DZ425" s="0" t="n">
        <v>40.2717584423895</v>
      </c>
      <c r="EA425" s="0" t="n">
        <v>-117.746721638565</v>
      </c>
    </row>
    <row r="426" customFormat="false" ht="12.8" hidden="false" customHeight="false" outlineLevel="0" collapsed="false">
      <c r="A426" s="22" t="n">
        <f aca="false">A383</f>
        <v>22</v>
      </c>
      <c r="B426" s="22" t="str">
        <f aca="false">B383</f>
        <v>&amp;</v>
      </c>
      <c r="C426" s="42" t="str">
        <f aca="false">C383</f>
        <v>Tol0645-376</v>
      </c>
      <c r="D426" s="42" t="str">
        <f aca="false">D383</f>
        <v>&amp;</v>
      </c>
      <c r="E426" s="42" t="n">
        <f aca="false">BO24</f>
        <v>1.44715803134222</v>
      </c>
      <c r="F426" s="42" t="str">
        <f aca="false">F383</f>
        <v>&amp;</v>
      </c>
      <c r="G426" s="42" t="n">
        <f aca="false">BN24</f>
        <v>7.77</v>
      </c>
      <c r="H426" s="42" t="str">
        <f aca="false">H383</f>
        <v>&amp;</v>
      </c>
      <c r="I426" s="42" t="n">
        <f aca="false">BM24</f>
        <v>1.45788189673399</v>
      </c>
      <c r="J426" s="42" t="str">
        <f aca="false">J383</f>
        <v>&amp;</v>
      </c>
      <c r="K426" s="42" t="n">
        <f aca="false">BJ24</f>
        <v>3.10471867515012</v>
      </c>
      <c r="L426" s="42" t="str">
        <f aca="false">L383</f>
        <v>&amp;</v>
      </c>
      <c r="M426" s="42" t="n">
        <f aca="false">BL24</f>
        <v>2.15959850059392</v>
      </c>
      <c r="N426" s="0" t="s">
        <v>350</v>
      </c>
      <c r="BZ426" s="0" t="s">
        <v>78</v>
      </c>
      <c r="CA426" s="0" t="s">
        <v>79</v>
      </c>
      <c r="CG426" s="0" t="s">
        <v>78</v>
      </c>
      <c r="CH426" s="0" t="s">
        <v>79</v>
      </c>
      <c r="CN426" s="0" t="s">
        <v>78</v>
      </c>
      <c r="CO426" s="0" t="s">
        <v>79</v>
      </c>
      <c r="CU426" s="0" t="s">
        <v>78</v>
      </c>
      <c r="CV426" s="0" t="s">
        <v>79</v>
      </c>
      <c r="DC426" s="0" t="n">
        <v>2.3701921055245</v>
      </c>
      <c r="DD426" s="0" t="e">
        <v>#VALUE!</v>
      </c>
      <c r="DE426" s="0" t="n">
        <v>0</v>
      </c>
      <c r="DF426" s="0" t="e">
        <v>#VALUE!</v>
      </c>
      <c r="DJ426" s="0" t="n">
        <v>2.3701921055245</v>
      </c>
      <c r="DK426" s="0" t="n">
        <v>126.965354167939</v>
      </c>
      <c r="DL426" s="0" t="n">
        <v>39.0888685217564</v>
      </c>
      <c r="DM426" s="0" t="n">
        <v>-87.8764856461828</v>
      </c>
      <c r="DQ426" s="0" t="n">
        <v>2.3701921055245</v>
      </c>
      <c r="DR426" s="0" t="n">
        <v>130.797564378012</v>
      </c>
      <c r="DS426" s="0" t="n">
        <v>39.807392282766</v>
      </c>
      <c r="DT426" s="0" t="n">
        <v>-90.9901720952459</v>
      </c>
      <c r="DX426" s="0" t="n">
        <v>2.3701921055245</v>
      </c>
      <c r="DY426" s="0" t="n">
        <v>131.11421809695</v>
      </c>
      <c r="DZ426" s="0" t="n">
        <v>39.2678630647137</v>
      </c>
      <c r="EA426" s="0" t="n">
        <v>-91.846355032236</v>
      </c>
    </row>
    <row r="427" customFormat="false" ht="12.8" hidden="false" customHeight="false" outlineLevel="0" collapsed="false">
      <c r="A427" s="22" t="n">
        <f aca="false">A384</f>
        <v>23</v>
      </c>
      <c r="B427" s="22" t="str">
        <f aca="false">B384</f>
        <v>&amp;</v>
      </c>
      <c r="C427" s="42" t="str">
        <f aca="false">C384</f>
        <v>Tol0957-278</v>
      </c>
      <c r="D427" s="42" t="str">
        <f aca="false">D384</f>
        <v>&amp;</v>
      </c>
      <c r="E427" s="42" t="n">
        <f aca="false">BO25</f>
        <v>1.55630250076729</v>
      </c>
      <c r="F427" s="42" t="str">
        <f aca="false">F384</f>
        <v>&amp;</v>
      </c>
      <c r="G427" s="42" t="n">
        <f aca="false">BN25</f>
        <v>8.02</v>
      </c>
      <c r="H427" s="42" t="str">
        <f aca="false">H384</f>
        <v>&amp;</v>
      </c>
      <c r="I427" s="42" t="n">
        <f aca="false">BM25</f>
        <v>1.39269695325967</v>
      </c>
      <c r="J427" s="42" t="str">
        <f aca="false">J384</f>
        <v>&amp;</v>
      </c>
      <c r="K427" s="42" t="n">
        <f aca="false">BJ25</f>
        <v>2.70767614445813</v>
      </c>
      <c r="L427" s="42" t="str">
        <f aca="false">L384</f>
        <v>&amp;</v>
      </c>
      <c r="M427" s="42" t="n">
        <f aca="false">BL25</f>
        <v>1.62445521813276</v>
      </c>
      <c r="N427" s="0" t="s">
        <v>350</v>
      </c>
      <c r="DC427" s="0" t="n">
        <v>3.01564094745514</v>
      </c>
      <c r="DD427" s="0" t="e">
        <v>#VALUE!</v>
      </c>
      <c r="DE427" s="0" t="n">
        <v>0</v>
      </c>
      <c r="DF427" s="0" t="e">
        <v>#VALUE!</v>
      </c>
      <c r="DJ427" s="0" t="n">
        <v>3.01564094745514</v>
      </c>
      <c r="DK427" s="0" t="n">
        <v>151.287202709385</v>
      </c>
      <c r="DL427" s="0" t="n">
        <v>40.3263420583806</v>
      </c>
      <c r="DM427" s="0" t="n">
        <v>-110.960860651004</v>
      </c>
      <c r="DQ427" s="0" t="n">
        <v>3.01564094745514</v>
      </c>
      <c r="DR427" s="0" t="n">
        <v>155.847512218299</v>
      </c>
      <c r="DS427" s="0" t="n">
        <v>40.3264007404092</v>
      </c>
      <c r="DT427" s="0" t="n">
        <v>-115.52111147789</v>
      </c>
      <c r="DX427" s="0" t="n">
        <v>3.01564094745514</v>
      </c>
      <c r="DY427" s="0" t="n">
        <v>156.22481048502</v>
      </c>
      <c r="DZ427" s="0" t="n">
        <v>40.3264007404092</v>
      </c>
      <c r="EA427" s="0" t="n">
        <v>-115.898409744611</v>
      </c>
    </row>
    <row r="428" customFormat="false" ht="12.8" hidden="false" customHeight="false" outlineLevel="0" collapsed="false">
      <c r="A428" s="22" t="n">
        <f aca="false">A385</f>
        <v>24</v>
      </c>
      <c r="B428" s="22" t="str">
        <f aca="false">B385</f>
        <v>&amp;</v>
      </c>
      <c r="C428" s="42" t="str">
        <f aca="false">C385</f>
        <v>Tol1004-296</v>
      </c>
      <c r="D428" s="42" t="str">
        <f aca="false">D385</f>
        <v>&amp;</v>
      </c>
      <c r="E428" s="42" t="n">
        <f aca="false">BO26</f>
        <v>1.79239168949825</v>
      </c>
      <c r="F428" s="42" t="str">
        <f aca="false">F385</f>
        <v>&amp;</v>
      </c>
      <c r="G428" s="42" t="n">
        <f aca="false">BN26</f>
        <v>8.28</v>
      </c>
      <c r="H428" s="42" t="str">
        <f aca="false">H385</f>
        <v>&amp;</v>
      </c>
      <c r="I428" s="42" t="n">
        <f aca="false">BM26</f>
        <v>1.50379068305718</v>
      </c>
      <c r="J428" s="42" t="str">
        <f aca="false">J385</f>
        <v>&amp;</v>
      </c>
      <c r="K428" s="42" t="n">
        <f aca="false">BJ26</f>
        <v>2.82411303198074</v>
      </c>
      <c r="L428" s="42" t="str">
        <f aca="false">L385</f>
        <v>&amp;</v>
      </c>
      <c r="M428" s="42" t="n">
        <f aca="false">BL26</f>
        <v>1.8596134656703</v>
      </c>
      <c r="N428" s="0" t="s">
        <v>350</v>
      </c>
      <c r="BZ428" s="0" t="s">
        <v>84</v>
      </c>
      <c r="CG428" s="0" t="s">
        <v>84</v>
      </c>
      <c r="CN428" s="0" t="s">
        <v>84</v>
      </c>
      <c r="CU428" s="0" t="s">
        <v>84</v>
      </c>
      <c r="DC428" s="0" t="n">
        <v>2.78979408705346</v>
      </c>
      <c r="DD428" s="0" t="e">
        <v>#VALUE!</v>
      </c>
      <c r="DE428" s="0" t="n">
        <v>0</v>
      </c>
      <c r="DF428" s="0" t="e">
        <v>#VALUE!</v>
      </c>
      <c r="DJ428" s="0" t="n">
        <v>2.78979408705346</v>
      </c>
      <c r="DK428" s="0" t="n">
        <v>142.776825472019</v>
      </c>
      <c r="DL428" s="0" t="n">
        <v>39.8138398098754</v>
      </c>
      <c r="DM428" s="0" t="n">
        <v>-102.962985662144</v>
      </c>
      <c r="DQ428" s="0" t="n">
        <v>2.78979408705346</v>
      </c>
      <c r="DR428" s="0" t="n">
        <v>147.08236817368</v>
      </c>
      <c r="DS428" s="0" t="n">
        <v>40.2861528339909</v>
      </c>
      <c r="DT428" s="0" t="n">
        <v>-106.796215339689</v>
      </c>
      <c r="DX428" s="0" t="n">
        <v>2.78979408705346</v>
      </c>
      <c r="DY428" s="0" t="n">
        <v>147.438446508119</v>
      </c>
      <c r="DZ428" s="0" t="n">
        <v>39.8999512285901</v>
      </c>
      <c r="EA428" s="0" t="n">
        <v>-107.538495279529</v>
      </c>
    </row>
    <row r="429" customFormat="false" ht="12.8" hidden="false" customHeight="false" outlineLevel="0" collapsed="false">
      <c r="A429" s="22" t="n">
        <f aca="false">A386</f>
        <v>25</v>
      </c>
      <c r="B429" s="22" t="str">
        <f aca="false">B386</f>
        <v>&amp;</v>
      </c>
      <c r="C429" s="42" t="str">
        <f aca="false">C386</f>
        <v>Tol1025-285</v>
      </c>
      <c r="D429" s="42" t="str">
        <f aca="false">D386</f>
        <v>&amp;</v>
      </c>
      <c r="E429" s="42" t="n">
        <f aca="false">BO27</f>
        <v>0.954242509439325</v>
      </c>
      <c r="F429" s="42" t="str">
        <f aca="false">F386</f>
        <v>&amp;</v>
      </c>
      <c r="G429" s="42" t="n">
        <f aca="false">BN27</f>
        <v>8.71</v>
      </c>
      <c r="H429" s="42" t="str">
        <f aca="false">H386</f>
        <v>&amp;</v>
      </c>
      <c r="I429" s="42" t="n">
        <f aca="false">BM27</f>
        <v>1.76937732607614</v>
      </c>
      <c r="J429" s="42" t="str">
        <f aca="false">J386</f>
        <v>&amp;</v>
      </c>
      <c r="K429" s="42" t="n">
        <f aca="false">BJ27</f>
        <v>3.10408301855785</v>
      </c>
      <c r="L429" s="42" t="str">
        <f aca="false">L386</f>
        <v>&amp;</v>
      </c>
      <c r="M429" s="42" t="n">
        <f aca="false">BL27</f>
        <v>2.46994216668405</v>
      </c>
      <c r="N429" s="0" t="s">
        <v>350</v>
      </c>
      <c r="BZ429" s="0" t="n">
        <f aca="false" t="array" ref="BZ429:CA433">LINEST($BF$3:$BF$41 , $BI$53:$BI$91 , 1 , 1)</f>
        <v>1.1992092723776</v>
      </c>
      <c r="CA429" s="0" t="n">
        <v>37.4722437423564</v>
      </c>
      <c r="CG429" s="0" t="n">
        <f aca="false" t="array" ref="CG429:CH433">LINEST($BG$3:$BG$41 , $BI$53:$BI$91 , 1 , 1)</f>
        <v>0.831104775191189</v>
      </c>
      <c r="CH429" s="0" t="n">
        <v>38.6743839713158</v>
      </c>
      <c r="CN429" s="0" t="n">
        <f aca="false" t="array" ref="CN429:CO433">LINEST($BH$3:$BH$41 , $BI$53:$BI$91 , 1 , 1)</f>
        <v>1.10775660010363</v>
      </c>
      <c r="CO429" s="0" t="n">
        <v>37.9322220163849</v>
      </c>
      <c r="CU429" s="0" t="n">
        <f aca="false" t="array" ref="CU429:CV433">LINEST($BI$53:$BI$91 , $BG$53:$BG$91 , 1 , 1)</f>
        <v>1.21147947536406</v>
      </c>
      <c r="CV429" s="0" t="n">
        <v>0.326672748004514</v>
      </c>
      <c r="DC429" s="0" t="n">
        <v>2.69731789498893</v>
      </c>
      <c r="DD429" s="0" t="e">
        <v>#VALUE!</v>
      </c>
      <c r="DE429" s="0" t="n">
        <v>0</v>
      </c>
      <c r="DF429" s="0" t="e">
        <v>#VALUE!</v>
      </c>
      <c r="DJ429" s="0" t="n">
        <v>2.69731789498893</v>
      </c>
      <c r="DK429" s="0" t="n">
        <v>139.292131115212</v>
      </c>
      <c r="DL429" s="0" t="n">
        <v>39.5808250944804</v>
      </c>
      <c r="DM429" s="0" t="n">
        <v>-99.7113060207319</v>
      </c>
      <c r="DQ429" s="0" t="n">
        <v>2.69731789498893</v>
      </c>
      <c r="DR429" s="0" t="n">
        <v>143.493355943437</v>
      </c>
      <c r="DS429" s="0" t="n">
        <v>40.2880850465456</v>
      </c>
      <c r="DT429" s="0" t="n">
        <v>-103.205270896892</v>
      </c>
      <c r="DX429" s="0" t="n">
        <v>2.69731789498893</v>
      </c>
      <c r="DY429" s="0" t="n">
        <v>143.840745476403</v>
      </c>
      <c r="DZ429" s="0" t="n">
        <v>39.4996349548837</v>
      </c>
      <c r="EA429" s="0" t="n">
        <v>-104.34111052152</v>
      </c>
    </row>
    <row r="430" customFormat="false" ht="12.8" hidden="false" customHeight="false" outlineLevel="0" collapsed="false">
      <c r="A430" s="22" t="n">
        <f aca="false">A387</f>
        <v>26</v>
      </c>
      <c r="B430" s="22" t="str">
        <f aca="false">B387</f>
        <v>&amp;</v>
      </c>
      <c r="C430" s="42" t="str">
        <f aca="false">C387</f>
        <v>Tol1147-283</v>
      </c>
      <c r="D430" s="42" t="str">
        <f aca="false">D387</f>
        <v>&amp;</v>
      </c>
      <c r="E430" s="42" t="n">
        <f aca="false">BO28</f>
        <v>1.60205999132796</v>
      </c>
      <c r="F430" s="42" t="str">
        <f aca="false">F387</f>
        <v>&amp;</v>
      </c>
      <c r="G430" s="42" t="n">
        <f aca="false">BN28</f>
        <v>7.88</v>
      </c>
      <c r="H430" s="42" t="str">
        <f aca="false">H387</f>
        <v>&amp;</v>
      </c>
      <c r="I430" s="42" t="n">
        <f aca="false">BM28</f>
        <v>1.23044892137827</v>
      </c>
      <c r="J430" s="42" t="str">
        <f aca="false">J387</f>
        <v>&amp;</v>
      </c>
      <c r="K430" s="42" t="n">
        <f aca="false">BJ28</f>
        <v>2.56730132345877</v>
      </c>
      <c r="L430" s="42" t="str">
        <f aca="false">L387</f>
        <v>&amp;</v>
      </c>
      <c r="M430" s="42" t="n">
        <f aca="false">BL28</f>
        <v>1.82381405372363</v>
      </c>
      <c r="N430" s="0" t="s">
        <v>350</v>
      </c>
      <c r="BZ430" s="0" t="n">
        <v>0.21175132544547</v>
      </c>
      <c r="CA430" s="0" t="n">
        <v>0.423875875631941</v>
      </c>
      <c r="CG430" s="0" t="n">
        <v>0.238082876868777</v>
      </c>
      <c r="CH430" s="0" t="n">
        <v>0.476585389458225</v>
      </c>
      <c r="CN430" s="0" t="n">
        <v>0.229565022218769</v>
      </c>
      <c r="CO430" s="0" t="n">
        <v>0.459534666915251</v>
      </c>
      <c r="CU430" s="0" t="n">
        <v>0.273188467012815</v>
      </c>
      <c r="CV430" s="0" t="n">
        <v>0.375247853141957</v>
      </c>
      <c r="DC430" s="0" t="n">
        <v>2.87869411208692</v>
      </c>
      <c r="DD430" s="0" t="e">
        <v>#VALUE!</v>
      </c>
      <c r="DE430" s="0" t="n">
        <v>0</v>
      </c>
      <c r="DF430" s="0" t="e">
        <v>#VALUE!</v>
      </c>
      <c r="DJ430" s="0" t="n">
        <v>2.87869411208692</v>
      </c>
      <c r="DK430" s="0" t="n">
        <v>146.126762451884</v>
      </c>
      <c r="DL430" s="0" t="n">
        <v>40.3643638589132</v>
      </c>
      <c r="DM430" s="0" t="n">
        <v>-105.762398592971</v>
      </c>
      <c r="DQ430" s="0" t="n">
        <v>2.87869411208692</v>
      </c>
      <c r="DR430" s="0" t="n">
        <v>150.532588927702</v>
      </c>
      <c r="DS430" s="0" t="n">
        <v>41.0286745143046</v>
      </c>
      <c r="DT430" s="0" t="n">
        <v>-109.503914413397</v>
      </c>
      <c r="DX430" s="0" t="n">
        <v>2.87869411208692</v>
      </c>
      <c r="DY430" s="0" t="n">
        <v>150.897020057073</v>
      </c>
      <c r="DZ430" s="0" t="n">
        <v>40.3849932800756</v>
      </c>
      <c r="EA430" s="0" t="n">
        <v>-110.512026776997</v>
      </c>
    </row>
    <row r="431" customFormat="false" ht="12.8" hidden="false" customHeight="false" outlineLevel="0" collapsed="false">
      <c r="A431" s="22" t="n">
        <f aca="false">A388</f>
        <v>27</v>
      </c>
      <c r="B431" s="22" t="str">
        <f aca="false">B388</f>
        <v>&amp;</v>
      </c>
      <c r="C431" s="42" t="str">
        <f aca="false">C388</f>
        <v>Tol1223-359</v>
      </c>
      <c r="D431" s="42" t="str">
        <f aca="false">D388</f>
        <v>&amp;</v>
      </c>
      <c r="E431" s="42" t="n">
        <f aca="false">BO29</f>
        <v>2.11058971029925</v>
      </c>
      <c r="F431" s="42" t="str">
        <f aca="false">F388</f>
        <v>&amp;</v>
      </c>
      <c r="G431" s="42" t="n">
        <f aca="false">BN29</f>
        <v>7.54</v>
      </c>
      <c r="H431" s="42" t="str">
        <f aca="false">H388</f>
        <v>&amp;</v>
      </c>
      <c r="I431" s="42" t="n">
        <f aca="false">BM29</f>
        <v>1.24303804868629</v>
      </c>
      <c r="J431" s="42" t="str">
        <f aca="false">J388</f>
        <v>&amp;</v>
      </c>
      <c r="K431" s="42" t="n">
        <f aca="false">BJ29</f>
        <v>2.59311533827612</v>
      </c>
      <c r="L431" s="42" t="str">
        <f aca="false">L388</f>
        <v>&amp;</v>
      </c>
      <c r="M431" s="42" t="n">
        <f aca="false">BL29</f>
        <v>1.94462288151652</v>
      </c>
      <c r="N431" s="0" t="s">
        <v>350</v>
      </c>
      <c r="BZ431" s="0" t="n">
        <v>0.464333744010967</v>
      </c>
      <c r="CA431" s="0" t="n">
        <v>0.362736178226451</v>
      </c>
      <c r="CG431" s="0" t="n">
        <v>0.247750875866749</v>
      </c>
      <c r="CH431" s="0" t="n">
        <v>0.407842891537313</v>
      </c>
      <c r="CN431" s="0" t="n">
        <v>0.386249206660367</v>
      </c>
      <c r="CO431" s="0" t="n">
        <v>0.393251558822242</v>
      </c>
      <c r="CU431" s="0" t="n">
        <v>0.347046635976687</v>
      </c>
      <c r="CV431" s="0" t="n">
        <v>0.227564731686637</v>
      </c>
      <c r="DC431" s="0" t="n">
        <v>2.61580568669518</v>
      </c>
      <c r="DD431" s="0" t="e">
        <v>#VALUE!</v>
      </c>
      <c r="DE431" s="0" t="n">
        <v>0</v>
      </c>
      <c r="DF431" s="0" t="e">
        <v>#VALUE!</v>
      </c>
      <c r="DJ431" s="0" t="n">
        <v>2.61580568669518</v>
      </c>
      <c r="DK431" s="0" t="n">
        <v>136.220582364006</v>
      </c>
      <c r="DL431" s="0" t="n">
        <v>39.8907352023789</v>
      </c>
      <c r="DM431" s="0" t="n">
        <v>-96.3298471616275</v>
      </c>
      <c r="DQ431" s="0" t="n">
        <v>2.61580568669518</v>
      </c>
      <c r="DR431" s="0" t="n">
        <v>140.329857253135</v>
      </c>
      <c r="DS431" s="0" t="n">
        <v>40.3666338830954</v>
      </c>
      <c r="DT431" s="0" t="n">
        <v>-99.9632233700392</v>
      </c>
      <c r="DX431" s="0" t="n">
        <v>2.61580568669518</v>
      </c>
      <c r="DY431" s="0" t="n">
        <v>140.669588129535</v>
      </c>
      <c r="DZ431" s="0" t="n">
        <v>40.0674853105121</v>
      </c>
      <c r="EA431" s="0" t="n">
        <v>-100.602102819023</v>
      </c>
    </row>
    <row r="432" customFormat="false" ht="12.8" hidden="false" customHeight="false" outlineLevel="0" collapsed="false">
      <c r="A432" s="22" t="n">
        <f aca="false">A389</f>
        <v>28</v>
      </c>
      <c r="B432" s="22" t="str">
        <f aca="false">B389</f>
        <v>&amp;</v>
      </c>
      <c r="C432" s="42" t="str">
        <f aca="false">C389</f>
        <v>Tol1345-326</v>
      </c>
      <c r="D432" s="42" t="str">
        <f aca="false">D389</f>
        <v>&amp;</v>
      </c>
      <c r="E432" s="42" t="n">
        <f aca="false">BO30</f>
        <v>1.70757017609794</v>
      </c>
      <c r="F432" s="42" t="str">
        <f aca="false">F389</f>
        <v>&amp;</v>
      </c>
      <c r="G432" s="42" t="n">
        <f aca="false">BN30</f>
        <v>8.26</v>
      </c>
      <c r="H432" s="42" t="str">
        <f aca="false">H389</f>
        <v>&amp;</v>
      </c>
      <c r="I432" s="42" t="n">
        <f aca="false">BM30</f>
        <v>1.3096301674259</v>
      </c>
      <c r="J432" s="42" t="str">
        <f aca="false">J389</f>
        <v>&amp;</v>
      </c>
      <c r="K432" s="42" t="n">
        <f aca="false">BJ30</f>
        <v>2.59318251388042</v>
      </c>
      <c r="L432" s="42" t="str">
        <f aca="false">L389</f>
        <v>&amp;</v>
      </c>
      <c r="M432" s="42" t="n">
        <f aca="false">BL30</f>
        <v>1.91210243315721</v>
      </c>
      <c r="N432" s="0" t="s">
        <v>350</v>
      </c>
      <c r="BZ432" s="0" t="n">
        <v>32.0728594275267</v>
      </c>
      <c r="CA432" s="0" t="n">
        <v>37</v>
      </c>
      <c r="CG432" s="0" t="n">
        <v>12.1858332738264</v>
      </c>
      <c r="CH432" s="0" t="n">
        <v>37</v>
      </c>
      <c r="CN432" s="0" t="n">
        <v>23.2850544578037</v>
      </c>
      <c r="CO432" s="0" t="n">
        <v>37</v>
      </c>
      <c r="CU432" s="0" t="n">
        <v>19.6656089678695</v>
      </c>
      <c r="CV432" s="0" t="n">
        <v>37</v>
      </c>
      <c r="DC432" s="0" t="n">
        <v>2.67493557431311</v>
      </c>
      <c r="DD432" s="0" t="e">
        <v>#VALUE!</v>
      </c>
      <c r="DE432" s="0" t="n">
        <v>0</v>
      </c>
      <c r="DF432" s="0" t="e">
        <v>#VALUE!</v>
      </c>
      <c r="DJ432" s="0" t="n">
        <v>2.67493557431311</v>
      </c>
      <c r="DK432" s="0" t="n">
        <v>138.448718937332</v>
      </c>
      <c r="DL432" s="0" t="n">
        <v>39.8855611883631</v>
      </c>
      <c r="DM432" s="0" t="n">
        <v>-98.5631577489684</v>
      </c>
      <c r="DQ432" s="0" t="n">
        <v>2.67493557431311</v>
      </c>
      <c r="DR432" s="0" t="n">
        <v>142.62469536331</v>
      </c>
      <c r="DS432" s="0" t="n">
        <v>40.3210963526474</v>
      </c>
      <c r="DT432" s="0" t="n">
        <v>-102.303599010663</v>
      </c>
      <c r="DX432" s="0" t="n">
        <v>2.67493557431311</v>
      </c>
      <c r="DY432" s="0" t="n">
        <v>142.969981916725</v>
      </c>
      <c r="DZ432" s="0" t="n">
        <v>40.3210963526474</v>
      </c>
      <c r="EA432" s="0" t="n">
        <v>-102.648885564078</v>
      </c>
    </row>
    <row r="433" customFormat="false" ht="12.8" hidden="false" customHeight="false" outlineLevel="0" collapsed="false">
      <c r="A433" s="22" t="n">
        <f aca="false">A390</f>
        <v>29</v>
      </c>
      <c r="B433" s="22" t="str">
        <f aca="false">B390</f>
        <v>&amp;</v>
      </c>
      <c r="C433" s="42" t="str">
        <f aca="false">C390</f>
        <v>Tol1924-416</v>
      </c>
      <c r="D433" s="42" t="str">
        <f aca="false">D390</f>
        <v>&amp;</v>
      </c>
      <c r="E433" s="42" t="n">
        <f aca="false">BO31</f>
        <v>2</v>
      </c>
      <c r="F433" s="42" t="str">
        <f aca="false">F390</f>
        <v>&amp;</v>
      </c>
      <c r="G433" s="42" t="n">
        <f aca="false">BN31</f>
        <v>8.01</v>
      </c>
      <c r="H433" s="42" t="str">
        <f aca="false">H390</f>
        <v>&amp;</v>
      </c>
      <c r="I433" s="42" t="n">
        <f aca="false">BM31</f>
        <v>1.54900326202579</v>
      </c>
      <c r="J433" s="42" t="str">
        <f aca="false">J390</f>
        <v>&amp;</v>
      </c>
      <c r="K433" s="42" t="n">
        <f aca="false">BJ31</f>
        <v>2.70206666441626</v>
      </c>
      <c r="L433" s="42" t="str">
        <f aca="false">L390</f>
        <v>&amp;</v>
      </c>
      <c r="M433" s="42" t="n">
        <f aca="false">BL31</f>
        <v>2.04195187164556</v>
      </c>
      <c r="N433" s="0" t="s">
        <v>350</v>
      </c>
      <c r="BZ433" s="0" t="n">
        <v>4.22006778369368</v>
      </c>
      <c r="CA433" s="0" t="n">
        <v>4.86836879479028</v>
      </c>
      <c r="CG433" s="0" t="n">
        <v>2.02694062089171</v>
      </c>
      <c r="CH433" s="0" t="n">
        <v>6.15442549456812</v>
      </c>
      <c r="CN433" s="0" t="n">
        <v>3.60095889232237</v>
      </c>
      <c r="CO433" s="0" t="n">
        <v>5.72193117509656</v>
      </c>
      <c r="CU433" s="0" t="n">
        <v>1.0183974661029</v>
      </c>
      <c r="CV433" s="0" t="n">
        <v>1.9160711629816</v>
      </c>
      <c r="DC433" s="0" t="n">
        <v>2.79128793549291</v>
      </c>
      <c r="DD433" s="0" t="e">
        <v>#VALUE!</v>
      </c>
      <c r="DE433" s="0" t="n">
        <v>0</v>
      </c>
      <c r="DF433" s="0" t="e">
        <v>#VALUE!</v>
      </c>
      <c r="DJ433" s="0" t="n">
        <v>2.79128793549291</v>
      </c>
      <c r="DK433" s="0" t="n">
        <v>142.833116773712</v>
      </c>
      <c r="DL433" s="0" t="n">
        <v>40.8602418490241</v>
      </c>
      <c r="DM433" s="0" t="n">
        <v>-101.972874924687</v>
      </c>
      <c r="DQ433" s="0" t="n">
        <v>2.79128793549291</v>
      </c>
      <c r="DR433" s="0" t="n">
        <v>147.1403446128</v>
      </c>
      <c r="DS433" s="0" t="n">
        <v>41.2889669095893</v>
      </c>
      <c r="DT433" s="0" t="n">
        <v>-105.851377703211</v>
      </c>
      <c r="DX433" s="0" t="n">
        <v>2.79128793549291</v>
      </c>
      <c r="DY433" s="0" t="n">
        <v>147.496563305014</v>
      </c>
      <c r="DZ433" s="0" t="n">
        <v>40.7432526092177</v>
      </c>
      <c r="EA433" s="0" t="n">
        <v>-106.753310695796</v>
      </c>
    </row>
    <row r="434" customFormat="false" ht="12.8" hidden="false" customHeight="false" outlineLevel="0" collapsed="false">
      <c r="A434" s="22" t="n">
        <f aca="false">A391</f>
        <v>30</v>
      </c>
      <c r="B434" s="22" t="str">
        <f aca="false">B391</f>
        <v>&amp;</v>
      </c>
      <c r="C434" s="42" t="str">
        <f aca="false">C391</f>
        <v>Tol1937-423</v>
      </c>
      <c r="D434" s="42" t="str">
        <f aca="false">D391</f>
        <v>&amp;</v>
      </c>
      <c r="E434" s="42" t="n">
        <f aca="false">BO32</f>
        <v>0.698970004336019</v>
      </c>
      <c r="F434" s="42" t="str">
        <f aca="false">F391</f>
        <v>&amp;</v>
      </c>
      <c r="G434" s="42" t="n">
        <f aca="false">BN32</f>
        <v>8.48</v>
      </c>
      <c r="H434" s="42" t="str">
        <f aca="false">H391</f>
        <v>&amp;</v>
      </c>
      <c r="I434" s="42" t="n">
        <f aca="false">BM32</f>
        <v>1.38021124171161</v>
      </c>
      <c r="J434" s="42" t="str">
        <f aca="false">J391</f>
        <v>&amp;</v>
      </c>
      <c r="K434" s="42" t="n">
        <f aca="false">BJ32</f>
        <v>2.85513640282165</v>
      </c>
      <c r="L434" s="42" t="str">
        <f aca="false">L391</f>
        <v>&amp;</v>
      </c>
      <c r="M434" s="42" t="n">
        <f aca="false">BL32</f>
        <v>2.02175318417612</v>
      </c>
      <c r="N434" s="0" t="s">
        <v>350</v>
      </c>
      <c r="DC434" s="0" t="n">
        <v>2.92471211300218</v>
      </c>
      <c r="DD434" s="0" t="e">
        <v>#VALUE!</v>
      </c>
      <c r="DE434" s="0" t="n">
        <v>0</v>
      </c>
      <c r="DF434" s="0" t="e">
        <v>#VALUE!</v>
      </c>
      <c r="DJ434" s="0" t="n">
        <v>2.92471211300218</v>
      </c>
      <c r="DK434" s="0" t="n">
        <v>147.860815990648</v>
      </c>
      <c r="DL434" s="0" t="n">
        <v>39.5307026003539</v>
      </c>
      <c r="DM434" s="0" t="n">
        <v>-108.330113390294</v>
      </c>
      <c r="DQ434" s="0" t="n">
        <v>2.92471211300218</v>
      </c>
      <c r="DR434" s="0" t="n">
        <v>152.318553124637</v>
      </c>
      <c r="DS434" s="0" t="n">
        <v>40.3112205857885</v>
      </c>
      <c r="DT434" s="0" t="n">
        <v>-112.007332538849</v>
      </c>
      <c r="DX434" s="0" t="n">
        <v>2.92471211300218</v>
      </c>
      <c r="DY434" s="0" t="n">
        <v>152.68730797523</v>
      </c>
      <c r="DZ434" s="0" t="n">
        <v>39.8411325938</v>
      </c>
      <c r="EA434" s="0" t="n">
        <v>-112.84617538143</v>
      </c>
    </row>
    <row r="435" customFormat="false" ht="12.8" hidden="false" customHeight="false" outlineLevel="0" collapsed="false">
      <c r="A435" s="22" t="n">
        <f aca="false">A392</f>
        <v>31</v>
      </c>
      <c r="B435" s="22" t="str">
        <f aca="false">B392</f>
        <v>&amp;</v>
      </c>
      <c r="C435" s="42" t="str">
        <f aca="false">C392</f>
        <v>Tol2019-405</v>
      </c>
      <c r="D435" s="42" t="str">
        <f aca="false">D392</f>
        <v>&amp;</v>
      </c>
      <c r="E435" s="42" t="n">
        <f aca="false">BO33</f>
        <v>1.04139268515823</v>
      </c>
      <c r="F435" s="42" t="str">
        <f aca="false">F392</f>
        <v>&amp;</v>
      </c>
      <c r="G435" s="42" t="n">
        <f aca="false">BN33</f>
        <v>7.99</v>
      </c>
      <c r="H435" s="42" t="str">
        <f aca="false">H392</f>
        <v>&amp;</v>
      </c>
      <c r="I435" s="42" t="n">
        <f aca="false">BM33</f>
        <v>1.41161970596323</v>
      </c>
      <c r="J435" s="42" t="str">
        <f aca="false">J392</f>
        <v>&amp;</v>
      </c>
      <c r="K435" s="42" t="n">
        <f aca="false">BJ33</f>
        <v>2.7281271270983</v>
      </c>
      <c r="L435" s="42" t="str">
        <f aca="false">L392</f>
        <v>&amp;</v>
      </c>
      <c r="M435" s="42" t="n">
        <f aca="false">BL33</f>
        <v>2.07570236963626</v>
      </c>
      <c r="N435" s="0" t="s">
        <v>350</v>
      </c>
      <c r="BZ435" s="0" t="s">
        <v>100</v>
      </c>
      <c r="CG435" s="0" t="s">
        <v>100</v>
      </c>
      <c r="CN435" s="0" t="s">
        <v>100</v>
      </c>
      <c r="CU435" s="0" t="s">
        <v>100</v>
      </c>
      <c r="DC435" s="0" t="n">
        <v>2.78105642519169</v>
      </c>
      <c r="DD435" s="0" t="e">
        <v>#VALUE!</v>
      </c>
      <c r="DE435" s="0" t="n">
        <v>0</v>
      </c>
      <c r="DF435" s="0" t="e">
        <v>#VALUE!</v>
      </c>
      <c r="DJ435" s="0" t="n">
        <v>2.78105642519169</v>
      </c>
      <c r="DK435" s="0" t="n">
        <v>142.447572284776</v>
      </c>
      <c r="DL435" s="0" t="n">
        <v>39.7584397069598</v>
      </c>
      <c r="DM435" s="0" t="n">
        <v>-102.689132577816</v>
      </c>
      <c r="DQ435" s="0" t="n">
        <v>2.78105642519169</v>
      </c>
      <c r="DR435" s="0" t="n">
        <v>146.743258457054</v>
      </c>
      <c r="DS435" s="0" t="n">
        <v>40.1263375099171</v>
      </c>
      <c r="DT435" s="0" t="n">
        <v>-106.616920947137</v>
      </c>
      <c r="DX435" s="0" t="n">
        <v>2.78105642519169</v>
      </c>
      <c r="DY435" s="0" t="n">
        <v>147.098515825496</v>
      </c>
      <c r="DZ435" s="0" t="n">
        <v>39.9044887603007</v>
      </c>
      <c r="EA435" s="0" t="n">
        <v>-107.194027065195</v>
      </c>
    </row>
    <row r="436" customFormat="false" ht="12.8" hidden="false" customHeight="false" outlineLevel="0" collapsed="false">
      <c r="A436" s="22" t="n">
        <f aca="false">A393</f>
        <v>32</v>
      </c>
      <c r="B436" s="22" t="str">
        <f aca="false">B393</f>
        <v>&amp;</v>
      </c>
      <c r="C436" s="42" t="str">
        <f aca="false">C393</f>
        <v>Tol2041-394</v>
      </c>
      <c r="D436" s="42" t="str">
        <f aca="false">D393</f>
        <v>&amp;</v>
      </c>
      <c r="E436" s="42" t="s">
        <v>165</v>
      </c>
      <c r="F436" s="42" t="str">
        <f aca="false">F393</f>
        <v>&amp;</v>
      </c>
      <c r="G436" s="42" t="s">
        <v>165</v>
      </c>
      <c r="H436" s="42" t="str">
        <f aca="false">H393</f>
        <v>&amp;</v>
      </c>
      <c r="I436" s="42" t="n">
        <f aca="false">BM34</f>
        <v>1.45484486000851</v>
      </c>
      <c r="J436" s="42" t="str">
        <f aca="false">J393</f>
        <v>&amp;</v>
      </c>
      <c r="K436" s="42" t="n">
        <f aca="false">BJ34</f>
        <v>2.60593617253213</v>
      </c>
      <c r="L436" s="42" t="str">
        <f aca="false">L393</f>
        <v>&amp;</v>
      </c>
      <c r="M436" s="42" t="n">
        <f aca="false">BL34</f>
        <v>2.30379853246947</v>
      </c>
      <c r="N436" s="0" t="s">
        <v>350</v>
      </c>
      <c r="BZ436" s="0" t="s">
        <v>103</v>
      </c>
      <c r="CA436" s="0" t="n">
        <f aca="false">$BZ$431</f>
        <v>0.464333744010967</v>
      </c>
      <c r="CG436" s="0" t="s">
        <v>103</v>
      </c>
      <c r="CH436" s="0" t="n">
        <f aca="false">$CG$431</f>
        <v>0.247750875866749</v>
      </c>
      <c r="CN436" s="0" t="s">
        <v>103</v>
      </c>
      <c r="CO436" s="0" t="n">
        <f aca="false">$CN$431</f>
        <v>0.386249206660367</v>
      </c>
      <c r="CU436" s="0" t="s">
        <v>103</v>
      </c>
      <c r="CV436" s="0" t="n">
        <f aca="false">$CU$431</f>
        <v>0.347046635976687</v>
      </c>
    </row>
    <row r="437" customFormat="false" ht="12.8" hidden="false" customHeight="false" outlineLevel="0" collapsed="false">
      <c r="A437" s="22" t="n">
        <f aca="false">A394</f>
        <v>33</v>
      </c>
      <c r="B437" s="22" t="str">
        <f aca="false">B394</f>
        <v>&amp;</v>
      </c>
      <c r="C437" s="42" t="str">
        <f aca="false">C394</f>
        <v>UM439</v>
      </c>
      <c r="D437" s="42" t="str">
        <f aca="false">D394</f>
        <v>&amp;</v>
      </c>
      <c r="E437" s="42" t="n">
        <f aca="false">BO35</f>
        <v>1.69019608002851</v>
      </c>
      <c r="F437" s="42" t="str">
        <f aca="false">F394</f>
        <v>&amp;</v>
      </c>
      <c r="G437" s="42" t="n">
        <f aca="false">BN35</f>
        <v>8.01</v>
      </c>
      <c r="H437" s="42" t="str">
        <f aca="false">H394</f>
        <v>&amp;</v>
      </c>
      <c r="I437" s="42" t="n">
        <f aca="false">BM35</f>
        <v>1.24797326636181</v>
      </c>
      <c r="J437" s="42" t="str">
        <f aca="false">J394</f>
        <v>&amp;</v>
      </c>
      <c r="K437" s="42" t="n">
        <f aca="false">BJ35</f>
        <v>2.81672091333267</v>
      </c>
      <c r="L437" s="42" t="str">
        <f aca="false">L394</f>
        <v>&amp;</v>
      </c>
      <c r="M437" s="42" t="n">
        <f aca="false">BL35</f>
        <v>1.58373370004733</v>
      </c>
      <c r="N437" s="0" t="s">
        <v>350</v>
      </c>
      <c r="BZ437" s="0" t="s">
        <v>106</v>
      </c>
      <c r="CA437" s="0" t="n">
        <f aca="false">$CA$431</f>
        <v>0.362736178226451</v>
      </c>
      <c r="CG437" s="0" t="s">
        <v>106</v>
      </c>
      <c r="CH437" s="0" t="n">
        <f aca="false">$CH$431</f>
        <v>0.407842891537313</v>
      </c>
      <c r="CN437" s="0" t="s">
        <v>106</v>
      </c>
      <c r="CO437" s="0" t="n">
        <f aca="false">$CO$431</f>
        <v>0.393251558822242</v>
      </c>
      <c r="CU437" s="0" t="s">
        <v>106</v>
      </c>
      <c r="CV437" s="0" t="n">
        <f aca="false">$CV$431</f>
        <v>0.227564731686637</v>
      </c>
      <c r="DC437" s="14" t="s">
        <v>529</v>
      </c>
      <c r="DJ437" s="14" t="s">
        <v>530</v>
      </c>
      <c r="DQ437" s="14" t="s">
        <v>531</v>
      </c>
      <c r="DX437" s="14" t="s">
        <v>532</v>
      </c>
    </row>
    <row r="438" customFormat="false" ht="12.8" hidden="false" customHeight="false" outlineLevel="0" collapsed="false">
      <c r="A438" s="22" t="n">
        <f aca="false">A395</f>
        <v>34</v>
      </c>
      <c r="B438" s="22" t="str">
        <f aca="false">B395</f>
        <v>&amp;</v>
      </c>
      <c r="C438" s="42" t="str">
        <f aca="false">C395</f>
        <v>UM455</v>
      </c>
      <c r="D438" s="42" t="str">
        <f aca="false">D395</f>
        <v>&amp;</v>
      </c>
      <c r="E438" s="42" t="n">
        <f aca="false">BO36</f>
        <v>1.46239799789896</v>
      </c>
      <c r="F438" s="42" t="str">
        <f aca="false">F395</f>
        <v>&amp;</v>
      </c>
      <c r="G438" s="42" t="n">
        <f aca="false">BN36</f>
        <v>7.74</v>
      </c>
      <c r="H438" s="42" t="str">
        <f aca="false">H395</f>
        <v>&amp;</v>
      </c>
      <c r="I438" s="42" t="n">
        <f aca="false">BM36</f>
        <v>1.3541084391474</v>
      </c>
      <c r="J438" s="42" t="str">
        <f aca="false">J395</f>
        <v>&amp;</v>
      </c>
      <c r="K438" s="42" t="n">
        <f aca="false">BJ36</f>
        <v>2.81967486601435</v>
      </c>
      <c r="L438" s="42" t="str">
        <f aca="false">L395</f>
        <v>&amp;</v>
      </c>
      <c r="M438" s="42" t="n">
        <f aca="false">BL36</f>
        <v>2.07441923117618</v>
      </c>
      <c r="N438" s="0" t="s">
        <v>350</v>
      </c>
      <c r="BZ438" s="0" t="s">
        <v>109</v>
      </c>
      <c r="CA438" s="0" t="n">
        <f aca="false">1</f>
        <v>1</v>
      </c>
      <c r="CG438" s="0" t="s">
        <v>109</v>
      </c>
      <c r="CH438" s="0" t="n">
        <f aca="false">1</f>
        <v>1</v>
      </c>
      <c r="CN438" s="0" t="s">
        <v>109</v>
      </c>
      <c r="CO438" s="0" t="n">
        <f aca="false">1</f>
        <v>1</v>
      </c>
      <c r="CU438" s="0" t="s">
        <v>109</v>
      </c>
      <c r="CV438" s="0" t="n">
        <f aca="false">1</f>
        <v>1</v>
      </c>
      <c r="DC438" s="0" t="s">
        <v>78</v>
      </c>
      <c r="DD438" s="0" t="s">
        <v>79</v>
      </c>
      <c r="DJ438" s="0" t="s">
        <v>78</v>
      </c>
      <c r="DK438" s="0" t="s">
        <v>79</v>
      </c>
      <c r="DQ438" s="0" t="s">
        <v>78</v>
      </c>
      <c r="DR438" s="0" t="s">
        <v>79</v>
      </c>
      <c r="DX438" s="0" t="s">
        <v>78</v>
      </c>
      <c r="DY438" s="0" t="s">
        <v>79</v>
      </c>
    </row>
    <row r="439" customFormat="false" ht="12.8" hidden="false" customHeight="false" outlineLevel="0" collapsed="false">
      <c r="A439" s="22" t="n">
        <f aca="false">A396</f>
        <v>35</v>
      </c>
      <c r="B439" s="22" t="str">
        <f aca="false">B396</f>
        <v>&amp;</v>
      </c>
      <c r="C439" s="42" t="str">
        <f aca="false">C396</f>
        <v>UM456</v>
      </c>
      <c r="D439" s="42" t="str">
        <f aca="false">D396</f>
        <v>&amp;</v>
      </c>
      <c r="E439" s="42" t="n">
        <f aca="false">BO37</f>
        <v>1.64345267648619</v>
      </c>
      <c r="F439" s="42" t="str">
        <f aca="false">F396</f>
        <v>&amp;</v>
      </c>
      <c r="G439" s="42" t="n">
        <f aca="false">BN37</f>
        <v>7.95</v>
      </c>
      <c r="H439" s="42" t="str">
        <f aca="false">H396</f>
        <v>&amp;</v>
      </c>
      <c r="I439" s="42" t="n">
        <f aca="false">BM37</f>
        <v>1.20682587603185</v>
      </c>
      <c r="J439" s="42" t="str">
        <f aca="false">J396</f>
        <v>&amp;</v>
      </c>
      <c r="K439" s="42" t="n">
        <f aca="false">BJ37</f>
        <v>2.98153856858654</v>
      </c>
      <c r="L439" s="42" t="str">
        <f aca="false">L396</f>
        <v>&amp;</v>
      </c>
      <c r="M439" s="42" t="n">
        <f aca="false">BL37</f>
        <v>1.91822534255641</v>
      </c>
      <c r="N439" s="0" t="s">
        <v>350</v>
      </c>
      <c r="BZ439" s="0" t="s">
        <v>112</v>
      </c>
      <c r="CA439" s="0" t="n">
        <f aca="false">39</f>
        <v>39</v>
      </c>
      <c r="CG439" s="0" t="s">
        <v>112</v>
      </c>
      <c r="CH439" s="0" t="n">
        <f aca="false">39</f>
        <v>39</v>
      </c>
      <c r="CN439" s="0" t="s">
        <v>112</v>
      </c>
      <c r="CO439" s="0" t="n">
        <f aca="false">39</f>
        <v>39</v>
      </c>
      <c r="CU439" s="0" t="s">
        <v>112</v>
      </c>
      <c r="CV439" s="0" t="n">
        <f aca="false">39</f>
        <v>39</v>
      </c>
    </row>
    <row r="440" customFormat="false" ht="12.8" hidden="false" customHeight="false" outlineLevel="0" collapsed="false">
      <c r="A440" s="22" t="n">
        <f aca="false">A397</f>
        <v>36</v>
      </c>
      <c r="B440" s="22" t="str">
        <f aca="false">B397</f>
        <v>&amp;</v>
      </c>
      <c r="C440" s="42" t="str">
        <f aca="false">C397</f>
        <v>UM461</v>
      </c>
      <c r="D440" s="42" t="str">
        <f aca="false">D397</f>
        <v>&amp;</v>
      </c>
      <c r="E440" s="42" t="n">
        <f aca="false">BO38</f>
        <v>2.19033169817029</v>
      </c>
      <c r="F440" s="42" t="str">
        <f aca="false">F397</f>
        <v>&amp;</v>
      </c>
      <c r="G440" s="42" t="n">
        <f aca="false">BN38</f>
        <v>7.77</v>
      </c>
      <c r="H440" s="42" t="str">
        <f aca="false">H397</f>
        <v>&amp;</v>
      </c>
      <c r="I440" s="42" t="n">
        <f aca="false">BM38</f>
        <v>1.09691001300806</v>
      </c>
      <c r="J440" s="42" t="str">
        <f aca="false">J397</f>
        <v>&amp;</v>
      </c>
      <c r="K440" s="42" t="n">
        <f aca="false">BJ38</f>
        <v>2.5381406092624</v>
      </c>
      <c r="L440" s="42" t="str">
        <f aca="false">L397</f>
        <v>&amp;</v>
      </c>
      <c r="M440" s="42" t="n">
        <f aca="false">BL38</f>
        <v>1.53606284006086</v>
      </c>
      <c r="N440" s="0" t="s">
        <v>350</v>
      </c>
      <c r="BZ440" s="0" t="s">
        <v>115</v>
      </c>
      <c r="CA440" s="0" t="n">
        <f aca="false">1 - (1 - $BZ$431)*($CA$439 - 1)/($CA$439 - $CA$438 - 1)</f>
        <v>0.449856277632885</v>
      </c>
      <c r="CG440" s="0" t="s">
        <v>115</v>
      </c>
      <c r="CH440" s="0" t="n">
        <f aca="false">1 - (1 - $CG$431)*($CH$439 - 1)/($CH$439 - $CH$438 - 1)</f>
        <v>0.227419818457742</v>
      </c>
      <c r="CN440" s="0" t="s">
        <v>115</v>
      </c>
      <c r="CO440" s="0" t="n">
        <f aca="false">1 - (1 - $CN$431)*($CO$439 - 1)/($CO$439 - $CO$438 - 1)</f>
        <v>0.369661347380917</v>
      </c>
      <c r="CU440" s="0" t="s">
        <v>115</v>
      </c>
      <c r="CV440" s="0" t="n">
        <f aca="false">1 - (1 - $CU$431)*($CV$439 - 1)/($CV$439 - $CV$438 - 1)</f>
        <v>0.329399247759841</v>
      </c>
      <c r="DC440" s="0" t="s">
        <v>84</v>
      </c>
      <c r="DJ440" s="0" t="s">
        <v>84</v>
      </c>
      <c r="DQ440" s="0" t="s">
        <v>84</v>
      </c>
      <c r="DX440" s="0" t="s">
        <v>84</v>
      </c>
    </row>
    <row r="441" customFormat="false" ht="12.8" hidden="false" customHeight="false" outlineLevel="0" collapsed="false">
      <c r="A441" s="22" t="n">
        <f aca="false">A398</f>
        <v>37</v>
      </c>
      <c r="B441" s="22" t="str">
        <f aca="false">B398</f>
        <v>&amp;</v>
      </c>
      <c r="C441" s="42" t="str">
        <f aca="false">C398</f>
        <v>UM463</v>
      </c>
      <c r="D441" s="42" t="str">
        <f aca="false">D398</f>
        <v>&amp;</v>
      </c>
      <c r="E441" s="42" t="n">
        <f aca="false">BO39</f>
        <v>1.86923171973098</v>
      </c>
      <c r="F441" s="42" t="str">
        <f aca="false">F398</f>
        <v>&amp;</v>
      </c>
      <c r="G441" s="42" t="n">
        <f aca="false">BN39</f>
        <v>7.92</v>
      </c>
      <c r="H441" s="42" t="str">
        <f aca="false">H398</f>
        <v>&amp;</v>
      </c>
      <c r="I441" s="42" t="n">
        <f aca="false">BM39</f>
        <v>1.28330122870355</v>
      </c>
      <c r="J441" s="42" t="str">
        <f aca="false">J398</f>
        <v>&amp;</v>
      </c>
      <c r="K441" s="42" t="n">
        <f aca="false">BJ39</f>
        <v>2.37977395062333</v>
      </c>
      <c r="L441" s="42" t="str">
        <f aca="false">L398</f>
        <v>&amp;</v>
      </c>
      <c r="M441" s="42" t="n">
        <f aca="false">BL39</f>
        <v>1.58559671011752</v>
      </c>
      <c r="N441" s="0" t="s">
        <v>350</v>
      </c>
      <c r="DC441" s="0" t="e">
        <f aca="false" t="array" ref="DC441:DD445">LINEST($BE$138:$BE$153 , $BK$138:$BK$153 , 1 , 1)</f>
        <v>#VALUE!</v>
      </c>
      <c r="DD441" s="0" t="e">
        <v>#VALUE!</v>
      </c>
      <c r="DJ441" s="0" t="n">
        <f aca="false" t="array" ref="DJ441:DK445">LINEST($BF$138:$BF$153 , $BK$138:$BK$153 , 1 , 1)</f>
        <v>0.752189790830251</v>
      </c>
      <c r="DK441" s="0" t="n">
        <v>38.4766638983449</v>
      </c>
      <c r="DQ441" s="0" t="n">
        <f aca="false" t="array" ref="DQ441:DR445">LINEST($BG$138:$BG$153 , $BK$138:$BK$153 , 1 , 1)</f>
        <v>0.407642180230424</v>
      </c>
      <c r="DR441" s="0" t="n">
        <v>39.6521682803336</v>
      </c>
      <c r="DX441" s="0" t="n">
        <f aca="false" t="array" ref="DX441:DY445">LINEST($BH$138:$BH$153 , $BK$138:$BK$153 , 1 , 1)</f>
        <v>0.655387540522652</v>
      </c>
      <c r="DY441" s="0" t="n">
        <v>38.8998327562049</v>
      </c>
    </row>
    <row r="442" customFormat="false" ht="12.8" hidden="false" customHeight="false" outlineLevel="0" collapsed="false">
      <c r="A442" s="22" t="n">
        <f aca="false">A399</f>
        <v>38</v>
      </c>
      <c r="B442" s="22" t="str">
        <f aca="false">B399</f>
        <v>&amp;</v>
      </c>
      <c r="C442" s="42" t="str">
        <f aca="false">C399</f>
        <v>UM483</v>
      </c>
      <c r="D442" s="42" t="str">
        <f aca="false">D399</f>
        <v>&amp;</v>
      </c>
      <c r="E442" s="42" t="n">
        <f aca="false">BO40</f>
        <v>1.27875360095283</v>
      </c>
      <c r="F442" s="42" t="str">
        <f aca="false">F399</f>
        <v>&amp;</v>
      </c>
      <c r="G442" s="42" t="n">
        <f aca="false">BN40</f>
        <v>7.85</v>
      </c>
      <c r="H442" s="42" t="str">
        <f aca="false">H399</f>
        <v>&amp;</v>
      </c>
      <c r="I442" s="42" t="n">
        <f aca="false">BM40</f>
        <v>1.23552844690755</v>
      </c>
      <c r="J442" s="42" t="str">
        <f aca="false">J399</f>
        <v>&amp;</v>
      </c>
      <c r="K442" s="42" t="n">
        <f aca="false">BJ40</f>
        <v>2.77079593079515</v>
      </c>
      <c r="L442" s="42" t="str">
        <f aca="false">L399</f>
        <v>&amp;</v>
      </c>
      <c r="M442" s="42" t="n">
        <f aca="false">BL40</f>
        <v>1.92192076742725</v>
      </c>
      <c r="N442" s="0" t="s">
        <v>350</v>
      </c>
      <c r="BZ442" s="0" t="s">
        <v>120</v>
      </c>
      <c r="CG442" s="0" t="s">
        <v>120</v>
      </c>
      <c r="CN442" s="0" t="s">
        <v>120</v>
      </c>
      <c r="CU442" s="0" t="s">
        <v>120</v>
      </c>
      <c r="DC442" s="0" t="e">
        <v>#VALUE!</v>
      </c>
      <c r="DD442" s="0" t="e">
        <v>#VALUE!</v>
      </c>
      <c r="DJ442" s="0" t="n">
        <v>0.305300818403998</v>
      </c>
      <c r="DK442" s="0" t="n">
        <v>0.612024083910637</v>
      </c>
      <c r="DQ442" s="0" t="n">
        <v>0.281772069615728</v>
      </c>
      <c r="DR442" s="0" t="n">
        <v>0.564856961994675</v>
      </c>
      <c r="DX442" s="0" t="n">
        <v>0.31968847745184</v>
      </c>
      <c r="DY442" s="0" t="n">
        <v>0.640866436493923</v>
      </c>
    </row>
    <row r="443" customFormat="false" ht="12.8" hidden="false" customHeight="false" outlineLevel="0" collapsed="false">
      <c r="A443" s="22" t="n">
        <f aca="false">A400</f>
        <v>39</v>
      </c>
      <c r="B443" s="22" t="str">
        <f aca="false">B400</f>
        <v>&amp;</v>
      </c>
      <c r="C443" s="42" t="str">
        <f aca="false">C400</f>
        <v>UM559</v>
      </c>
      <c r="D443" s="42" t="str">
        <f aca="false">D400</f>
        <v>&amp;</v>
      </c>
      <c r="E443" s="42" t="n">
        <f aca="false">BO41</f>
        <v>2.72835378202123</v>
      </c>
      <c r="F443" s="42" t="str">
        <f aca="false">F400</f>
        <v>&amp;</v>
      </c>
      <c r="G443" s="42" t="n">
        <f aca="false">BN41</f>
        <v>7.72</v>
      </c>
      <c r="H443" s="42" t="str">
        <f aca="false">H400</f>
        <v>&amp;</v>
      </c>
      <c r="I443" s="42" t="n">
        <f aca="false">BM41</f>
        <v>1.22788670461367</v>
      </c>
      <c r="J443" s="42" t="str">
        <f aca="false">J400</f>
        <v>&amp;</v>
      </c>
      <c r="K443" s="42" t="n">
        <f aca="false">BJ41</f>
        <v>1.8572240799594</v>
      </c>
      <c r="L443" s="42" t="str">
        <f aca="false">L400</f>
        <v>&amp;</v>
      </c>
      <c r="M443" s="42" t="n">
        <f aca="false">BL41</f>
        <v>1.75461831766389</v>
      </c>
      <c r="N443" s="0" t="s">
        <v>350</v>
      </c>
      <c r="CA443" s="0" t="s">
        <v>123</v>
      </c>
      <c r="CB443" s="0" t="s">
        <v>124</v>
      </c>
      <c r="CC443" s="0" t="s">
        <v>125</v>
      </c>
      <c r="CD443" s="0" t="s">
        <v>126</v>
      </c>
      <c r="CE443" s="0" t="s">
        <v>127</v>
      </c>
      <c r="CH443" s="0" t="s">
        <v>123</v>
      </c>
      <c r="CI443" s="0" t="s">
        <v>124</v>
      </c>
      <c r="CJ443" s="0" t="s">
        <v>125</v>
      </c>
      <c r="CK443" s="0" t="s">
        <v>126</v>
      </c>
      <c r="CL443" s="0" t="s">
        <v>127</v>
      </c>
      <c r="CO443" s="0" t="s">
        <v>123</v>
      </c>
      <c r="CP443" s="0" t="s">
        <v>124</v>
      </c>
      <c r="CQ443" s="0" t="s">
        <v>125</v>
      </c>
      <c r="CR443" s="0" t="s">
        <v>126</v>
      </c>
      <c r="CS443" s="0" t="s">
        <v>127</v>
      </c>
      <c r="CV443" s="0" t="s">
        <v>123</v>
      </c>
      <c r="CW443" s="0" t="s">
        <v>124</v>
      </c>
      <c r="CX443" s="0" t="s">
        <v>125</v>
      </c>
      <c r="CY443" s="0" t="s">
        <v>126</v>
      </c>
      <c r="CZ443" s="0" t="s">
        <v>127</v>
      </c>
      <c r="DC443" s="0" t="e">
        <v>#VALUE!</v>
      </c>
      <c r="DD443" s="0" t="e">
        <v>#VALUE!</v>
      </c>
      <c r="DJ443" s="0" t="n">
        <v>0.302446429872334</v>
      </c>
      <c r="DK443" s="0" t="n">
        <v>0.374863375599774</v>
      </c>
      <c r="DQ443" s="0" t="n">
        <v>0.130054753781888</v>
      </c>
      <c r="DR443" s="0" t="n">
        <v>0.345973619455267</v>
      </c>
      <c r="DX443" s="0" t="n">
        <v>0.230889057016292</v>
      </c>
      <c r="DY443" s="0" t="n">
        <v>0.392529251721061</v>
      </c>
    </row>
    <row r="444" customFormat="false" ht="12.8" hidden="false" customHeight="false" outlineLevel="0" collapsed="false"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BZ444" s="0" t="s">
        <v>130</v>
      </c>
      <c r="CA444" s="0" t="n">
        <f aca="false">$CA$438</f>
        <v>1</v>
      </c>
      <c r="CB444" s="0" t="n">
        <f aca="false">$BZ$433</f>
        <v>4.22006778369368</v>
      </c>
      <c r="CC444" s="0" t="n">
        <f aca="false">$BZ$433 / $CA$444</f>
        <v>4.22006778369368</v>
      </c>
      <c r="CD444" s="0" t="n">
        <f aca="false">$BZ$432</f>
        <v>32.0728594275267</v>
      </c>
      <c r="CE444" s="0" t="n">
        <f aca="false">FDIST($BZ$432 , $CA$444 , $CA$432)</f>
        <v>1.79466185957082E-006</v>
      </c>
      <c r="CG444" s="0" t="s">
        <v>130</v>
      </c>
      <c r="CH444" s="0" t="n">
        <f aca="false">$CH$438</f>
        <v>1</v>
      </c>
      <c r="CI444" s="0" t="n">
        <f aca="false">$CG$433</f>
        <v>2.02694062089171</v>
      </c>
      <c r="CJ444" s="0" t="n">
        <f aca="false">$CG$433 / $CH$444</f>
        <v>2.02694062089171</v>
      </c>
      <c r="CK444" s="0" t="n">
        <f aca="false">$CG$432</f>
        <v>12.1858332738264</v>
      </c>
      <c r="CL444" s="0" t="n">
        <f aca="false">FDIST($CG$432 , $CH$444 , $CH$432)</f>
        <v>0.00126326301199838</v>
      </c>
      <c r="CN444" s="0" t="s">
        <v>130</v>
      </c>
      <c r="CO444" s="0" t="n">
        <f aca="false">$CO$438</f>
        <v>1</v>
      </c>
      <c r="CP444" s="0" t="n">
        <f aca="false">$CN$433</f>
        <v>3.60095889232237</v>
      </c>
      <c r="CQ444" s="0" t="n">
        <f aca="false">$CN$433 / $CO$444</f>
        <v>3.60095889232237</v>
      </c>
      <c r="CR444" s="0" t="n">
        <f aca="false">$CN$432</f>
        <v>23.2850544578037</v>
      </c>
      <c r="CS444" s="0" t="n">
        <f aca="false">FDIST($CN$432 , $CO$444 , $CO$432)</f>
        <v>2.41590392460166E-005</v>
      </c>
      <c r="CU444" s="0" t="s">
        <v>130</v>
      </c>
      <c r="CV444" s="0" t="n">
        <f aca="false">$CV$438</f>
        <v>1</v>
      </c>
      <c r="CW444" s="0" t="n">
        <f aca="false">$CU$433</f>
        <v>1.0183974661029</v>
      </c>
      <c r="CX444" s="0" t="n">
        <f aca="false">$CU$433 / $CV$444</f>
        <v>1.0183974661029</v>
      </c>
      <c r="CY444" s="0" t="n">
        <f aca="false">$CU$432</f>
        <v>19.6656089678695</v>
      </c>
      <c r="CZ444" s="0" t="n">
        <f aca="false">FDIST($CU$432 , $CV$444 , $CV$432)</f>
        <v>7.96273330298222E-005</v>
      </c>
      <c r="DC444" s="0" t="e">
        <v>#VALUE!</v>
      </c>
      <c r="DD444" s="0" t="e">
        <v>#VALUE!</v>
      </c>
      <c r="DJ444" s="0" t="n">
        <v>6.0701431395982</v>
      </c>
      <c r="DK444" s="0" t="n">
        <v>14</v>
      </c>
      <c r="DQ444" s="0" t="n">
        <v>2.09296683999573</v>
      </c>
      <c r="DR444" s="0" t="n">
        <v>14</v>
      </c>
      <c r="DX444" s="0" t="n">
        <v>4.20283553070779</v>
      </c>
      <c r="DY444" s="0" t="n">
        <v>14</v>
      </c>
    </row>
    <row r="445" customFormat="false" ht="12.8" hidden="false" customHeight="false" outlineLevel="0" collapsed="false">
      <c r="BZ445" s="0" t="s">
        <v>133</v>
      </c>
      <c r="CA445" s="0" t="n">
        <f aca="false">$CA$432</f>
        <v>37</v>
      </c>
      <c r="CB445" s="0" t="n">
        <f aca="false">$CA$433</f>
        <v>4.86836879479028</v>
      </c>
      <c r="CC445" s="0" t="n">
        <f aca="false">$CA$433 / $CA$432</f>
        <v>0.131577534994332</v>
      </c>
      <c r="CG445" s="0" t="s">
        <v>133</v>
      </c>
      <c r="CH445" s="0" t="n">
        <f aca="false">$CH$432</f>
        <v>37</v>
      </c>
      <c r="CI445" s="0" t="n">
        <f aca="false">$CH$433</f>
        <v>6.15442549456812</v>
      </c>
      <c r="CJ445" s="0" t="n">
        <f aca="false">$CH$433 / $CH$432</f>
        <v>0.166335824177517</v>
      </c>
      <c r="CN445" s="0" t="s">
        <v>133</v>
      </c>
      <c r="CO445" s="0" t="n">
        <f aca="false">$CO$432</f>
        <v>37</v>
      </c>
      <c r="CP445" s="0" t="n">
        <f aca="false">$CO$433</f>
        <v>5.72193117509656</v>
      </c>
      <c r="CQ445" s="0" t="n">
        <f aca="false">$CO$433 / $CO$432</f>
        <v>0.154646788516123</v>
      </c>
      <c r="CU445" s="0" t="s">
        <v>133</v>
      </c>
      <c r="CV445" s="0" t="n">
        <f aca="false">$CV$432</f>
        <v>37</v>
      </c>
      <c r="CW445" s="0" t="n">
        <f aca="false">$CV$433</f>
        <v>1.9160711629816</v>
      </c>
      <c r="CX445" s="0" t="n">
        <f aca="false">$CV$433 / $CV$432</f>
        <v>0.0517857071076109</v>
      </c>
      <c r="DC445" s="0" t="e">
        <v>#VALUE!</v>
      </c>
      <c r="DD445" s="0" t="e">
        <v>#VALUE!</v>
      </c>
      <c r="DJ445" s="0" t="n">
        <v>0.852991995063363</v>
      </c>
      <c r="DK445" s="0" t="n">
        <v>1.9673157051248</v>
      </c>
      <c r="DQ445" s="0" t="n">
        <v>0.250523411858594</v>
      </c>
      <c r="DR445" s="0" t="n">
        <v>1.67576843502569</v>
      </c>
      <c r="DX445" s="0" t="n">
        <v>0.647569592859311</v>
      </c>
      <c r="DY445" s="0" t="n">
        <v>2.15710898839374</v>
      </c>
    </row>
    <row r="446" customFormat="false" ht="12.8" hidden="false" customHeight="false" outlineLevel="0" collapsed="false">
      <c r="BZ446" s="0" t="s">
        <v>136</v>
      </c>
      <c r="CA446" s="0" t="n">
        <f aca="false">$CA$444 + $CA$432</f>
        <v>38</v>
      </c>
      <c r="CB446" s="0" t="n">
        <f aca="false">$BZ$433 + $CA$433</f>
        <v>9.08843657848397</v>
      </c>
      <c r="CG446" s="0" t="s">
        <v>136</v>
      </c>
      <c r="CH446" s="0" t="n">
        <f aca="false">$CH$444 + $CH$432</f>
        <v>38</v>
      </c>
      <c r="CI446" s="0" t="n">
        <f aca="false">$CG$433 + $CH$433</f>
        <v>8.18136611545983</v>
      </c>
      <c r="CN446" s="0" t="s">
        <v>136</v>
      </c>
      <c r="CO446" s="0" t="n">
        <f aca="false">$CO$444 + $CO$432</f>
        <v>38</v>
      </c>
      <c r="CP446" s="0" t="n">
        <f aca="false">$CN$433 + $CO$433</f>
        <v>9.32289006741893</v>
      </c>
      <c r="CU446" s="0" t="s">
        <v>136</v>
      </c>
      <c r="CV446" s="0" t="n">
        <f aca="false">$CV$444 + $CV$432</f>
        <v>38</v>
      </c>
      <c r="CW446" s="0" t="n">
        <f aca="false">$CU$433 + $CV$433</f>
        <v>2.9344686290845</v>
      </c>
    </row>
    <row r="447" customFormat="false" ht="12.8" hidden="false" customHeight="false" outlineLevel="0" collapsed="false">
      <c r="DC447" s="0" t="s">
        <v>100</v>
      </c>
      <c r="DJ447" s="0" t="s">
        <v>100</v>
      </c>
      <c r="DQ447" s="0" t="s">
        <v>100</v>
      </c>
      <c r="DX447" s="0" t="s">
        <v>100</v>
      </c>
    </row>
    <row r="448" customFormat="false" ht="12.8" hidden="false" customHeight="false" outlineLevel="0" collapsed="false">
      <c r="BZ448" s="0" t="s">
        <v>141</v>
      </c>
      <c r="CA448" s="0" t="n">
        <v>0.95</v>
      </c>
      <c r="CG448" s="0" t="s">
        <v>141</v>
      </c>
      <c r="CH448" s="0" t="n">
        <v>0.95</v>
      </c>
      <c r="CN448" s="0" t="s">
        <v>141</v>
      </c>
      <c r="CO448" s="0" t="n">
        <v>0.95</v>
      </c>
      <c r="CU448" s="0" t="s">
        <v>141</v>
      </c>
      <c r="CV448" s="0" t="n">
        <v>0.95</v>
      </c>
      <c r="DC448" s="0" t="s">
        <v>103</v>
      </c>
      <c r="DD448" s="0" t="e">
        <f aca="false">$DC$443</f>
        <v>#VALUE!</v>
      </c>
      <c r="DJ448" s="0" t="s">
        <v>103</v>
      </c>
      <c r="DK448" s="0" t="n">
        <f aca="false">$DJ$443</f>
        <v>0.302446429872334</v>
      </c>
      <c r="DQ448" s="0" t="s">
        <v>103</v>
      </c>
      <c r="DR448" s="0" t="n">
        <f aca="false">$DQ$443</f>
        <v>0.130054753781888</v>
      </c>
      <c r="DX448" s="0" t="s">
        <v>103</v>
      </c>
      <c r="DY448" s="0" t="n">
        <f aca="false">$DX$443</f>
        <v>0.230889057016292</v>
      </c>
    </row>
    <row r="449" customFormat="false" ht="12.8" hidden="false" customHeight="false" outlineLevel="0" collapsed="false">
      <c r="DC449" s="0" t="s">
        <v>106</v>
      </c>
      <c r="DD449" s="0" t="e">
        <f aca="false">$DD$443</f>
        <v>#VALUE!</v>
      </c>
      <c r="DJ449" s="0" t="s">
        <v>106</v>
      </c>
      <c r="DK449" s="0" t="n">
        <f aca="false">$DK$443</f>
        <v>0.374863375599774</v>
      </c>
      <c r="DQ449" s="0" t="s">
        <v>106</v>
      </c>
      <c r="DR449" s="0" t="n">
        <f aca="false">$DR$443</f>
        <v>0.345973619455267</v>
      </c>
      <c r="DX449" s="0" t="s">
        <v>106</v>
      </c>
      <c r="DY449" s="0" t="n">
        <f aca="false">$DY$443</f>
        <v>0.392529251721061</v>
      </c>
    </row>
    <row r="450" customFormat="false" ht="12.8" hidden="false" customHeight="false" outlineLevel="0" collapsed="false">
      <c r="CA450" s="0" t="s">
        <v>146</v>
      </c>
      <c r="CB450" s="0" t="s">
        <v>106</v>
      </c>
      <c r="CC450" s="0" t="s">
        <v>147</v>
      </c>
      <c r="CD450" s="0" t="s">
        <v>148</v>
      </c>
      <c r="CE450" s="0" t="str">
        <f aca="false">_xlfn.CONCAT("Lower " , INT($CA$448 * 100) , "%")</f>
        <v>Lower 95%</v>
      </c>
      <c r="CF450" s="0" t="str">
        <f aca="false">_xlfn.CONCAT("Upper " , INT($CA$448 * 100) , "%")</f>
        <v>Upper 95%</v>
      </c>
      <c r="CH450" s="0" t="s">
        <v>146</v>
      </c>
      <c r="CI450" s="0" t="s">
        <v>106</v>
      </c>
      <c r="CJ450" s="0" t="s">
        <v>147</v>
      </c>
      <c r="CK450" s="0" t="s">
        <v>148</v>
      </c>
      <c r="CL450" s="0" t="str">
        <f aca="false">_xlfn.CONCAT("Lower " , INT($CH$448 * 100) , "%")</f>
        <v>Lower 95%</v>
      </c>
      <c r="CM450" s="0" t="str">
        <f aca="false">_xlfn.CONCAT("Upper " , INT($CH$448 * 100) , "%")</f>
        <v>Upper 95%</v>
      </c>
      <c r="CO450" s="0" t="s">
        <v>146</v>
      </c>
      <c r="CP450" s="0" t="s">
        <v>106</v>
      </c>
      <c r="CQ450" s="0" t="s">
        <v>147</v>
      </c>
      <c r="CR450" s="0" t="s">
        <v>148</v>
      </c>
      <c r="CS450" s="0" t="str">
        <f aca="false">_xlfn.CONCAT("Lower " , INT($CO$448 * 100) , "%")</f>
        <v>Lower 95%</v>
      </c>
      <c r="CT450" s="0" t="str">
        <f aca="false">_xlfn.CONCAT("Upper " , INT($CO$448 * 100) , "%")</f>
        <v>Upper 95%</v>
      </c>
      <c r="CV450" s="0" t="s">
        <v>146</v>
      </c>
      <c r="CW450" s="0" t="s">
        <v>106</v>
      </c>
      <c r="CX450" s="0" t="s">
        <v>147</v>
      </c>
      <c r="CY450" s="0" t="s">
        <v>148</v>
      </c>
      <c r="CZ450" s="0" t="str">
        <f aca="false">_xlfn.CONCAT("Lower " , INT($CV$448 * 100) , "%")</f>
        <v>Lower 95%</v>
      </c>
      <c r="DA450" s="0" t="str">
        <f aca="false">_xlfn.CONCAT("Upper " , INT($CV$448 * 100) , "%")</f>
        <v>Upper 95%</v>
      </c>
      <c r="DC450" s="0" t="s">
        <v>109</v>
      </c>
      <c r="DD450" s="0" t="n">
        <f aca="false">1</f>
        <v>1</v>
      </c>
      <c r="DJ450" s="0" t="s">
        <v>109</v>
      </c>
      <c r="DK450" s="0" t="n">
        <f aca="false">1</f>
        <v>1</v>
      </c>
      <c r="DQ450" s="0" t="s">
        <v>109</v>
      </c>
      <c r="DR450" s="0" t="n">
        <f aca="false">1</f>
        <v>1</v>
      </c>
      <c r="DX450" s="0" t="s">
        <v>109</v>
      </c>
      <c r="DY450" s="0" t="n">
        <f aca="false">1</f>
        <v>1</v>
      </c>
    </row>
    <row r="451" customFormat="false" ht="12.8" hidden="false" customHeight="false" outlineLevel="0" collapsed="false">
      <c r="BZ451" s="0" t="str">
        <f aca="false">"Intercept"</f>
        <v>Intercept</v>
      </c>
      <c r="CA451" s="0" t="n">
        <f aca="false" t="array" ref="CA451:CA452">INDEX($BZ$429:$CA$429, 1 , 453 - ROW())</f>
        <v>37.4722437423564</v>
      </c>
      <c r="CB451" s="0" t="n">
        <f aca="false" t="array" ref="CB451:CB452">INDEX($BZ$430:$CA$430, 1 , 453 - ROW())</f>
        <v>0.423875875631941</v>
      </c>
      <c r="CC451" s="0" t="n">
        <f aca="false" t="array" ref="CC451:CC452">$CA$451:$CA$452 / $CB$451:$CB$452</f>
        <v>88.4038132306785</v>
      </c>
      <c r="CD451" s="0" t="n">
        <f aca="false" t="array" ref="CD451:CD452">TDIST(ABS($CC$451:$CC$452) , $CA$432 , 2 )</f>
        <v>1.17553329320125E-044</v>
      </c>
      <c r="CE451" s="0" t="n">
        <f aca="false" t="array" ref="CE451:CE452">$CA$451:$CA$452 - $CB$451:$CB$452 * TINV(1 - $CA$448 , $CA$432)</f>
        <v>36.6133896378911</v>
      </c>
      <c r="CF451" s="0" t="n">
        <f aca="false" t="array" ref="CF451:CF452">$CA$451:$CA$452 + $CB$451:$CB$452 * TINV(1 - $CA$448 , $CA$432)</f>
        <v>38.3310978468217</v>
      </c>
      <c r="CG451" s="0" t="str">
        <f aca="false">"Intercept"</f>
        <v>Intercept</v>
      </c>
      <c r="CH451" s="0" t="n">
        <f aca="false" t="array" ref="CH451:CH452">INDEX($CG$429:$CH$429, 1 , 453 - ROW())</f>
        <v>38.6743839713158</v>
      </c>
      <c r="CI451" s="0" t="n">
        <f aca="false" t="array" ref="CI451:CI452">INDEX($CG$430:$CH$430, 1 , 453 - ROW())</f>
        <v>0.476585389458225</v>
      </c>
      <c r="CJ451" s="0" t="n">
        <f aca="false" t="array" ref="CJ451:CJ452">$CH$451:$CH$452 / $CI$451:$CI$452</f>
        <v>81.1489081007712</v>
      </c>
      <c r="CK451" s="0" t="n">
        <f aca="false" t="array" ref="CK451:CK452">TDIST(ABS($CJ$451:$CJ$452) , $CH$432 , 2 )</f>
        <v>2.7498887053345E-043</v>
      </c>
      <c r="CL451" s="0" t="n">
        <f aca="false" t="array" ref="CL451:CL452">$CH$451:$CH$452 - $CI$451:$CI$452 * TINV(1 - $CH$448 , $CH$432)</f>
        <v>37.7087302472057</v>
      </c>
      <c r="CM451" s="0" t="n">
        <f aca="false" t="array" ref="CM451:CM452">$CH$451:$CH$452 + $CI$451:$CI$452 * TINV(1 - $CH$448 , $CH$432)</f>
        <v>39.6400376954258</v>
      </c>
      <c r="CN451" s="0" t="str">
        <f aca="false">"Intercept"</f>
        <v>Intercept</v>
      </c>
      <c r="CO451" s="0" t="n">
        <f aca="false" t="array" ref="CO451:CO452">INDEX($CN$429:$CO$429, 1 , 453 - ROW())</f>
        <v>37.9322220163849</v>
      </c>
      <c r="CP451" s="0" t="n">
        <f aca="false" t="array" ref="CP451:CP452">INDEX($CN$430:$CO$430, 1 , 453 - ROW())</f>
        <v>0.459534666915251</v>
      </c>
      <c r="CQ451" s="0" t="n">
        <f aca="false" t="array" ref="CQ451:CQ452">$CO$451:$CO$452 / $CP$451:$CP$452</f>
        <v>82.544854060772</v>
      </c>
      <c r="CR451" s="0" t="n">
        <f aca="false" t="array" ref="CR451:CR452">TDIST(ABS($CQ$451:$CQ$452) , $CO$432 , 2 )</f>
        <v>1.4679497525513E-043</v>
      </c>
      <c r="CS451" s="0" t="n">
        <f aca="false" t="array" ref="CS451:CS452">$CO$451:$CO$452 - $CP$451:$CP$452 * TINV(1 - $CO$448 , $CO$432)</f>
        <v>37.0011163377806</v>
      </c>
      <c r="CT451" s="0" t="n">
        <f aca="false" t="array" ref="CT451:CT452">$CO$451:$CO$452 + $CP$451:$CP$452 * TINV(1 - $CO$448 , $CO$432)</f>
        <v>38.8633276949892</v>
      </c>
      <c r="CU451" s="0" t="str">
        <f aca="false">"Intercept"</f>
        <v>Intercept</v>
      </c>
      <c r="CV451" s="0" t="n">
        <f aca="false" t="array" ref="CV451:CV452">INDEX($CU$429:$CV$429, 1 , 453 - ROW())</f>
        <v>0.326672748004514</v>
      </c>
      <c r="CW451" s="0" t="n">
        <f aca="false" t="array" ref="CW451:CW452">INDEX($CU$430:$CV$430, 1 , 453 - ROW())</f>
        <v>0.375247853141957</v>
      </c>
      <c r="CX451" s="0" t="n">
        <f aca="false" t="array" ref="CX451:CX452">$CV$451:$CV$452 / $CW$451:$CW$452</f>
        <v>0.870551943919937</v>
      </c>
      <c r="CY451" s="0" t="n">
        <f aca="false" t="array" ref="CY451:CY452">TDIST(ABS($CX$451:$CX$452) , $CV$432 , 2 )</f>
        <v>0.389612130247073</v>
      </c>
      <c r="CZ451" s="0" t="n">
        <f aca="false" t="array" ref="CZ451:CZ452">$CV$451:$CV$452 - $CW$451:$CW$452 * TINV(1 - $CV$448 , $CV$432)</f>
        <v>-0.433651623799574</v>
      </c>
      <c r="DA451" s="0" t="n">
        <f aca="false" t="array" ref="DA451:DA452">$CV$451:$CV$452 + $CW$451:$CW$452 * TINV(1 - $CV$448 , $CV$432)</f>
        <v>1.0869971198086</v>
      </c>
      <c r="DC451" s="0" t="s">
        <v>112</v>
      </c>
      <c r="DD451" s="0" t="n">
        <f aca="false">16</f>
        <v>16</v>
      </c>
      <c r="DJ451" s="0" t="s">
        <v>112</v>
      </c>
      <c r="DK451" s="0" t="n">
        <f aca="false">16</f>
        <v>16</v>
      </c>
      <c r="DQ451" s="0" t="s">
        <v>112</v>
      </c>
      <c r="DR451" s="0" t="n">
        <f aca="false">16</f>
        <v>16</v>
      </c>
      <c r="DX451" s="0" t="s">
        <v>112</v>
      </c>
      <c r="DY451" s="0" t="n">
        <f aca="false">16</f>
        <v>16</v>
      </c>
    </row>
    <row r="452" customFormat="false" ht="12.8" hidden="false" customHeight="false" outlineLevel="0" collapsed="false">
      <c r="BS452" s="24"/>
      <c r="BZ452" s="24" t="str">
        <f aca="false">$BI$52</f>
        <v>log (r)</v>
      </c>
      <c r="CA452" s="0" t="n">
        <v>1.1992092723776</v>
      </c>
      <c r="CB452" s="0" t="n">
        <v>0.21175132544547</v>
      </c>
      <c r="CC452" s="0" t="n">
        <v>5.66329051237235</v>
      </c>
      <c r="CD452" s="0" t="n">
        <v>1.79466185957082E-006</v>
      </c>
      <c r="CE452" s="0" t="n">
        <v>0.770160332723563</v>
      </c>
      <c r="CF452" s="0" t="n">
        <v>1.62825821203163</v>
      </c>
      <c r="CG452" s="24" t="str">
        <f aca="false">$BI$52</f>
        <v>log (r)</v>
      </c>
      <c r="CH452" s="0" t="n">
        <v>0.831104775191189</v>
      </c>
      <c r="CI452" s="0" t="n">
        <v>0.238082876868777</v>
      </c>
      <c r="CJ452" s="0" t="n">
        <v>3.49082128929946</v>
      </c>
      <c r="CK452" s="0" t="n">
        <v>0.00126326301199838</v>
      </c>
      <c r="CL452" s="0" t="n">
        <v>0.348703044503385</v>
      </c>
      <c r="CM452" s="0" t="n">
        <v>1.31350650587899</v>
      </c>
      <c r="CN452" s="24" t="str">
        <f aca="false">$BI$52</f>
        <v>log (r)</v>
      </c>
      <c r="CO452" s="0" t="n">
        <v>1.10775660010363</v>
      </c>
      <c r="CP452" s="0" t="n">
        <v>0.229565022218769</v>
      </c>
      <c r="CQ452" s="0" t="n">
        <v>4.82545898934015</v>
      </c>
      <c r="CR452" s="0" t="n">
        <v>2.41590392460166E-005</v>
      </c>
      <c r="CS452" s="0" t="n">
        <v>0.642613682308851</v>
      </c>
      <c r="CT452" s="0" t="n">
        <v>1.57289951789841</v>
      </c>
      <c r="CU452" s="24" t="str">
        <f aca="false">$BG$52</f>
        <v>log (σHβ) (Km s-¹)</v>
      </c>
      <c r="CV452" s="0" t="n">
        <v>1.21147947536406</v>
      </c>
      <c r="CW452" s="0" t="n">
        <v>0.273188467012815</v>
      </c>
      <c r="CX452" s="0" t="n">
        <v>4.43459231134831</v>
      </c>
      <c r="CY452" s="0" t="n">
        <v>7.96273330298221E-005</v>
      </c>
      <c r="CZ452" s="0" t="n">
        <v>0.657947062516217</v>
      </c>
      <c r="DA452" s="0" t="n">
        <v>1.7650118882119</v>
      </c>
      <c r="DC452" s="0" t="s">
        <v>115</v>
      </c>
      <c r="DD452" s="0" t="e">
        <f aca="false">1 - (1 - $DC$443)*($DD$451 - 1)/($DD$451 - $DD$450 - 1)</f>
        <v>#VALUE!</v>
      </c>
      <c r="DJ452" s="0" t="s">
        <v>115</v>
      </c>
      <c r="DK452" s="0" t="n">
        <f aca="false">1 - (1 - $DJ$443)*($DK$451 - 1)/($DK$451 - $DK$450 - 1)</f>
        <v>0.252621174863215</v>
      </c>
      <c r="DQ452" s="0" t="s">
        <v>115</v>
      </c>
      <c r="DR452" s="0" t="n">
        <f aca="false">1 - (1 - $DQ$443)*($DR$451 - 1)/($DR$451 - $DR$450 - 1)</f>
        <v>0.0679158076234515</v>
      </c>
      <c r="DX452" s="0" t="s">
        <v>115</v>
      </c>
      <c r="DY452" s="0" t="n">
        <f aca="false">1 - (1 - $DX$443)*($DY$451 - 1)/($DY$451 - $DY$450 - 1)</f>
        <v>0.175952561088885</v>
      </c>
    </row>
    <row r="454" customFormat="false" ht="12.8" hidden="false" customHeight="false" outlineLevel="0" collapsed="false">
      <c r="BZ454" s="0" t="str">
        <f aca="false">$BI$52</f>
        <v>log (r)</v>
      </c>
      <c r="CA454" s="0" t="s">
        <v>157</v>
      </c>
      <c r="CB454" s="0" t="str">
        <f aca="false">$BF$2</f>
        <v>log (LHβ) (erg s-¹) KTC</v>
      </c>
      <c r="CC454" s="0" t="s">
        <v>133</v>
      </c>
      <c r="CD454" s="26" t="s">
        <v>158</v>
      </c>
      <c r="CG454" s="0" t="str">
        <f aca="false">$BI$52</f>
        <v>log (r)</v>
      </c>
      <c r="CH454" s="0" t="s">
        <v>157</v>
      </c>
      <c r="CI454" s="0" t="str">
        <f aca="false">$BG$2</f>
        <v>log (LHβ) (erg s-¹) NTT</v>
      </c>
      <c r="CJ454" s="0" t="s">
        <v>133</v>
      </c>
      <c r="CK454" s="26" t="s">
        <v>158</v>
      </c>
      <c r="CN454" s="0" t="str">
        <f aca="false">$BI$52</f>
        <v>log (r)</v>
      </c>
      <c r="CO454" s="0" t="s">
        <v>157</v>
      </c>
      <c r="CP454" s="0" t="str">
        <f aca="false">$BH$2</f>
        <v>log(LHβ) B.K (erg s-¹) NTT</v>
      </c>
      <c r="CQ454" s="0" t="s">
        <v>133</v>
      </c>
      <c r="CR454" s="26" t="s">
        <v>158</v>
      </c>
      <c r="CU454" s="0" t="str">
        <f aca="false">$BG$52</f>
        <v>log (σHβ) (Km s-¹)</v>
      </c>
      <c r="CV454" s="0" t="s">
        <v>157</v>
      </c>
      <c r="CW454" s="0" t="str">
        <f aca="false">$BI$52</f>
        <v>log (r)</v>
      </c>
      <c r="CX454" s="0" t="s">
        <v>133</v>
      </c>
      <c r="CY454" s="26" t="s">
        <v>158</v>
      </c>
      <c r="DC454" s="0" t="s">
        <v>120</v>
      </c>
      <c r="DJ454" s="0" t="s">
        <v>120</v>
      </c>
      <c r="DQ454" s="0" t="s">
        <v>120</v>
      </c>
      <c r="DX454" s="0" t="s">
        <v>120</v>
      </c>
    </row>
    <row r="455" customFormat="false" ht="12.8" hidden="false" customHeight="false" outlineLevel="0" collapsed="false">
      <c r="BZ455" s="0" t="n">
        <f aca="false" t="array" ref="BZ455:BZ493">$BI$53:$BI$91</f>
        <v>2.05463340928398</v>
      </c>
      <c r="CA455" s="0" t="n">
        <f aca="false" t="array" ref="CA455:CA493">MMULT($BZ$455:$BZ$493 , $CA$452) + $CA$451</f>
        <v>39.9361791781066</v>
      </c>
      <c r="CB455" s="0" t="n">
        <f aca="false" t="array" ref="CB455:CB493">$BF$3:$BF$41</f>
        <v>39.4693811697741</v>
      </c>
      <c r="CC455" s="0" t="n">
        <f aca="false" t="array" ref="CC455:CC493">$CB$455:$CB$493 - $CA$455:$CA$493</f>
        <v>-0.466798008332475</v>
      </c>
      <c r="CD455" s="20" t="n">
        <f aca="false">(CC455)^2</f>
        <v>0.217900380583165</v>
      </c>
      <c r="CG455" s="0" t="n">
        <f aca="false" t="array" ref="CG455:CG493">$BI$53:$BI$91</f>
        <v>2.05463340928398</v>
      </c>
      <c r="CH455" s="0" t="n">
        <f aca="false" t="array" ref="CH455:CH493">MMULT($CG$455:$CG$493 , $CH$452) + $CH$451</f>
        <v>40.381999609039</v>
      </c>
      <c r="CI455" s="0" t="n">
        <f aca="false" t="array" ref="CI455:CI493">$BG$3:$BG$41</f>
        <v>39.926839874903</v>
      </c>
      <c r="CJ455" s="0" t="n">
        <f aca="false" t="array" ref="CJ455:CJ493">$CI$455:$CI$493 - $CH$455:$CH$493</f>
        <v>-0.455159734136018</v>
      </c>
      <c r="CK455" s="20" t="n">
        <f aca="false">(CJ455)^2</f>
        <v>0.20717038357877</v>
      </c>
      <c r="CN455" s="0" t="n">
        <f aca="false" t="array" ref="CN455:CN493">$BI$53:$BI$91</f>
        <v>2.05463340928398</v>
      </c>
      <c r="CO455" s="0" t="n">
        <f aca="false" t="array" ref="CO455:CO493">MMULT($CN$455:$CN$493 , $CO$452) + $CO$451</f>
        <v>40.2082557363127</v>
      </c>
      <c r="CP455" s="0" t="n">
        <f aca="false" t="array" ref="CP455:CP493">$BH$3:$BH$41</f>
        <v>39.926839874903</v>
      </c>
      <c r="CQ455" s="0" t="n">
        <f aca="false" t="array" ref="CQ455:CQ493">$CP$455:$CP$493 - $CO$455:$CO$493</f>
        <v>-0.281415861409648</v>
      </c>
      <c r="CR455" s="20" t="n">
        <f aca="false">(CQ455)^2</f>
        <v>0.0791948870529345</v>
      </c>
      <c r="CU455" s="0" t="n">
        <f aca="false" t="array" ref="CU455:CU493">$BG$53:$BG$91</f>
        <v>1.18752072083646</v>
      </c>
      <c r="CV455" s="0" t="n">
        <f aca="false" t="array" ref="CV455:CV493">MMULT($CU$455:$CU$493 , $CV$452) + $CV$451</f>
        <v>1.76532972786742</v>
      </c>
      <c r="CW455" s="0" t="n">
        <f aca="false" t="array" ref="CW455:CW493">$BI$53:$BI$91</f>
        <v>2.05463340928398</v>
      </c>
      <c r="CX455" s="0" t="n">
        <f aca="false" t="array" ref="CX455:CX493">$CW$455:$CW$493 - $CV$455:$CV$493</f>
        <v>0.289303681416561</v>
      </c>
      <c r="CY455" s="20" t="n">
        <f aca="false">(CX455)^2</f>
        <v>0.0836966200811753</v>
      </c>
      <c r="DD455" s="0" t="s">
        <v>123</v>
      </c>
      <c r="DE455" s="0" t="s">
        <v>124</v>
      </c>
      <c r="DF455" s="0" t="s">
        <v>125</v>
      </c>
      <c r="DG455" s="0" t="s">
        <v>126</v>
      </c>
      <c r="DH455" s="0" t="s">
        <v>127</v>
      </c>
      <c r="DK455" s="0" t="s">
        <v>123</v>
      </c>
      <c r="DL455" s="0" t="s">
        <v>124</v>
      </c>
      <c r="DM455" s="0" t="s">
        <v>125</v>
      </c>
      <c r="DN455" s="0" t="s">
        <v>126</v>
      </c>
      <c r="DO455" s="0" t="s">
        <v>127</v>
      </c>
      <c r="DR455" s="0" t="s">
        <v>123</v>
      </c>
      <c r="DS455" s="0" t="s">
        <v>124</v>
      </c>
      <c r="DT455" s="0" t="s">
        <v>125</v>
      </c>
      <c r="DU455" s="0" t="s">
        <v>126</v>
      </c>
      <c r="DV455" s="0" t="s">
        <v>127</v>
      </c>
      <c r="DY455" s="0" t="s">
        <v>123</v>
      </c>
      <c r="DZ455" s="0" t="s">
        <v>124</v>
      </c>
      <c r="EA455" s="0" t="s">
        <v>125</v>
      </c>
      <c r="EB455" s="0" t="s">
        <v>126</v>
      </c>
      <c r="EC455" s="0" t="s">
        <v>127</v>
      </c>
    </row>
    <row r="456" customFormat="false" ht="12.8" hidden="false" customHeight="false" outlineLevel="0" collapsed="false">
      <c r="BZ456" s="0" t="n">
        <v>2.08700408042741</v>
      </c>
      <c r="CA456" s="0" t="n">
        <v>39.9749983870949</v>
      </c>
      <c r="CB456" s="0" t="n">
        <v>40.1317447055601</v>
      </c>
      <c r="CC456" s="0" t="n">
        <v>0.156746318465238</v>
      </c>
      <c r="CD456" s="20" t="n">
        <f aca="false">(CC456)^2</f>
        <v>0.0245694083524059</v>
      </c>
      <c r="CG456" s="0" t="n">
        <v>2.08700408042741</v>
      </c>
      <c r="CH456" s="0" t="n">
        <v>40.4089030284025</v>
      </c>
      <c r="CI456" s="0" t="n">
        <v>40.6654832485069</v>
      </c>
      <c r="CJ456" s="0" t="n">
        <v>0.256580220104432</v>
      </c>
      <c r="CK456" s="20" t="n">
        <f aca="false">(CJ456)^2</f>
        <v>0.0658334093488388</v>
      </c>
      <c r="CN456" s="0" t="n">
        <v>2.08700408042741</v>
      </c>
      <c r="CO456" s="0" t="n">
        <v>40.2441145609216</v>
      </c>
      <c r="CP456" s="0" t="n">
        <v>40.0250782651027</v>
      </c>
      <c r="CQ456" s="0" t="n">
        <v>-0.219036295818874</v>
      </c>
      <c r="CR456" s="20" t="n">
        <f aca="false">(CQ456)^2</f>
        <v>0.0479768988860534</v>
      </c>
      <c r="CU456" s="0" t="n">
        <v>1.32633586092875</v>
      </c>
      <c r="CV456" s="0" t="n">
        <v>1.93350142095901</v>
      </c>
      <c r="CW456" s="0" t="n">
        <v>2.08700408042741</v>
      </c>
      <c r="CX456" s="0" t="n">
        <v>0.153502659468395</v>
      </c>
      <c r="CY456" s="20" t="n">
        <f aca="false">(CX456)^2</f>
        <v>0.0235630664638702</v>
      </c>
      <c r="DC456" s="0" t="s">
        <v>130</v>
      </c>
      <c r="DD456" s="0" t="n">
        <f aca="false">$DD$450</f>
        <v>1</v>
      </c>
      <c r="DE456" s="0" t="e">
        <f aca="false">$DC$445</f>
        <v>#VALUE!</v>
      </c>
      <c r="DF456" s="0" t="e">
        <f aca="false">$DC$445 / $DD$456</f>
        <v>#VALUE!</v>
      </c>
      <c r="DG456" s="0" t="e">
        <f aca="false">$DC$444</f>
        <v>#VALUE!</v>
      </c>
      <c r="DH456" s="0" t="e">
        <f aca="false">FDIST($DC$444 , $DD$456 , $DD$444)</f>
        <v>#VALUE!</v>
      </c>
      <c r="DJ456" s="0" t="s">
        <v>130</v>
      </c>
      <c r="DK456" s="0" t="n">
        <f aca="false">$DK$450</f>
        <v>1</v>
      </c>
      <c r="DL456" s="0" t="n">
        <f aca="false">$DJ$445</f>
        <v>0.852991995063363</v>
      </c>
      <c r="DM456" s="0" t="n">
        <f aca="false">$DJ$445 / $DK$456</f>
        <v>0.852991995063363</v>
      </c>
      <c r="DN456" s="0" t="n">
        <f aca="false">$DJ$444</f>
        <v>6.0701431395982</v>
      </c>
      <c r="DO456" s="0" t="n">
        <f aca="false">FDIST($DJ$444 , $DK$456 , $DK$444)</f>
        <v>0.0273104228626829</v>
      </c>
      <c r="DQ456" s="0" t="s">
        <v>130</v>
      </c>
      <c r="DR456" s="0" t="n">
        <f aca="false">$DR$450</f>
        <v>1</v>
      </c>
      <c r="DS456" s="0" t="n">
        <f aca="false">$DQ$445</f>
        <v>0.250523411858594</v>
      </c>
      <c r="DT456" s="0" t="n">
        <f aca="false">$DQ$445 / $DR$456</f>
        <v>0.250523411858594</v>
      </c>
      <c r="DU456" s="0" t="n">
        <f aca="false">$DQ$444</f>
        <v>2.09296683999573</v>
      </c>
      <c r="DV456" s="0" t="n">
        <f aca="false">FDIST($DQ$444 , $DR$456 , $DR$444)</f>
        <v>0.169995842127472</v>
      </c>
      <c r="DX456" s="0" t="s">
        <v>130</v>
      </c>
      <c r="DY456" s="0" t="n">
        <f aca="false">$DY$450</f>
        <v>1</v>
      </c>
      <c r="DZ456" s="0" t="n">
        <f aca="false">$DX$445</f>
        <v>0.647569592859311</v>
      </c>
      <c r="EA456" s="0" t="n">
        <f aca="false">$DX$445 / $DY$456</f>
        <v>0.647569592859311</v>
      </c>
      <c r="EB456" s="0" t="n">
        <f aca="false">$DX$444</f>
        <v>4.20283553070779</v>
      </c>
      <c r="EC456" s="0" t="n">
        <f aca="false">FDIST($DX$444 , $DY$456 , $DY$444)</f>
        <v>0.0595704355841673</v>
      </c>
    </row>
    <row r="457" customFormat="false" ht="12.8" hidden="false" customHeight="false" outlineLevel="0" collapsed="false">
      <c r="BZ457" s="0" t="n">
        <v>2.3176102420111</v>
      </c>
      <c r="CA457" s="0" t="n">
        <v>40.2515434343334</v>
      </c>
      <c r="CB457" s="0" t="n">
        <v>39.9963150223595</v>
      </c>
      <c r="CC457" s="0" t="n">
        <v>-0.255228411973938</v>
      </c>
      <c r="CD457" s="20" t="n">
        <f aca="false">(CC457)^2</f>
        <v>0.0651415422787384</v>
      </c>
      <c r="CG457" s="0" t="n">
        <v>2.3176102420111</v>
      </c>
      <c r="CH457" s="0" t="n">
        <v>40.6005609104832</v>
      </c>
      <c r="CI457" s="0" t="n">
        <v>40.4667860464016</v>
      </c>
      <c r="CJ457" s="0" t="n">
        <v>-0.133774864081587</v>
      </c>
      <c r="CK457" s="20" t="n">
        <f aca="false">(CJ457)^2</f>
        <v>0.0178957142600472</v>
      </c>
      <c r="CN457" s="0" t="n">
        <v>2.3176102420111</v>
      </c>
      <c r="CO457" s="0" t="n">
        <v>40.4995700584405</v>
      </c>
      <c r="CP457" s="0" t="n">
        <v>40.4667860464016</v>
      </c>
      <c r="CQ457" s="0" t="n">
        <v>-0.0327840120388672</v>
      </c>
      <c r="CR457" s="20" t="n">
        <f aca="false">(CQ457)^2</f>
        <v>0.00107479144536459</v>
      </c>
      <c r="CU457" s="0" t="n">
        <v>1.52762990087134</v>
      </c>
      <c r="CV457" s="0" t="n">
        <v>2.17736501886258</v>
      </c>
      <c r="CW457" s="0" t="n">
        <v>2.3176102420111</v>
      </c>
      <c r="CX457" s="0" t="n">
        <v>0.140245223148525</v>
      </c>
      <c r="CY457" s="20" t="n">
        <f aca="false">(CX457)^2</f>
        <v>0.0196687226159795</v>
      </c>
      <c r="DC457" s="0" t="s">
        <v>133</v>
      </c>
      <c r="DD457" s="0" t="e">
        <f aca="false">$DD$444</f>
        <v>#VALUE!</v>
      </c>
      <c r="DE457" s="0" t="e">
        <f aca="false">$DD$445</f>
        <v>#VALUE!</v>
      </c>
      <c r="DF457" s="0" t="e">
        <f aca="false">$DD$445 / $DD$444</f>
        <v>#VALUE!</v>
      </c>
      <c r="DJ457" s="0" t="s">
        <v>133</v>
      </c>
      <c r="DK457" s="0" t="n">
        <f aca="false">$DK$444</f>
        <v>14</v>
      </c>
      <c r="DL457" s="0" t="n">
        <f aca="false">$DK$445</f>
        <v>1.9673157051248</v>
      </c>
      <c r="DM457" s="0" t="n">
        <f aca="false">$DK$445 / $DK$444</f>
        <v>0.140522550366057</v>
      </c>
      <c r="DQ457" s="0" t="s">
        <v>133</v>
      </c>
      <c r="DR457" s="0" t="n">
        <f aca="false">$DR$444</f>
        <v>14</v>
      </c>
      <c r="DS457" s="0" t="n">
        <f aca="false">$DR$445</f>
        <v>1.67576843502569</v>
      </c>
      <c r="DT457" s="0" t="n">
        <f aca="false">$DR$445 / $DR$444</f>
        <v>0.119697745358978</v>
      </c>
      <c r="DX457" s="0" t="s">
        <v>133</v>
      </c>
      <c r="DY457" s="0" t="n">
        <f aca="false">$DY$444</f>
        <v>14</v>
      </c>
      <c r="DZ457" s="0" t="n">
        <f aca="false">$DY$445</f>
        <v>2.15710898839374</v>
      </c>
      <c r="EA457" s="0" t="n">
        <f aca="false">$DY$445 / $DY$444</f>
        <v>0.154079213456696</v>
      </c>
    </row>
    <row r="458" customFormat="false" ht="12.8" hidden="false" customHeight="false" outlineLevel="0" collapsed="false">
      <c r="BZ458" s="0" t="n">
        <v>2.39479758741265</v>
      </c>
      <c r="CA458" s="0" t="n">
        <v>40.3441072146492</v>
      </c>
      <c r="CB458" s="0" t="n">
        <v>40.3308782653967</v>
      </c>
      <c r="CC458" s="0" t="n">
        <v>-0.0132289492524862</v>
      </c>
      <c r="CD458" s="20" t="n">
        <f aca="false">(CC458)^2</f>
        <v>0.000175005098324855</v>
      </c>
      <c r="CG458" s="0" t="n">
        <v>2.39479758741265</v>
      </c>
      <c r="CH458" s="0" t="n">
        <v>40.6647116818307</v>
      </c>
      <c r="CI458" s="0" t="n">
        <v>40.6750396842358</v>
      </c>
      <c r="CJ458" s="0" t="n">
        <v>0.0103280024050534</v>
      </c>
      <c r="CK458" s="20" t="n">
        <f aca="false">(CJ458)^2</f>
        <v>0.000106667633678788</v>
      </c>
      <c r="CN458" s="0" t="n">
        <v>2.39479758741265</v>
      </c>
      <c r="CO458" s="0" t="n">
        <v>40.5850748497535</v>
      </c>
      <c r="CP458" s="0" t="n">
        <v>40.6750396842358</v>
      </c>
      <c r="CQ458" s="0" t="n">
        <v>0.0899648344822808</v>
      </c>
      <c r="CR458" s="20" t="n">
        <f aca="false">(CQ458)^2</f>
        <v>0.00809367144342417</v>
      </c>
      <c r="CU458" s="0" t="n">
        <v>1.54530711646582</v>
      </c>
      <c r="CV458" s="0" t="n">
        <v>2.19878060273687</v>
      </c>
      <c r="CW458" s="0" t="n">
        <v>2.39479758741265</v>
      </c>
      <c r="CX458" s="0" t="n">
        <v>0.196016984675777</v>
      </c>
      <c r="CY458" s="20" t="n">
        <f aca="false">(CX458)^2</f>
        <v>0.0384226582813837</v>
      </c>
      <c r="DC458" s="0" t="s">
        <v>136</v>
      </c>
      <c r="DD458" s="0" t="e">
        <f aca="false">$DD$456 + $DD$444</f>
        <v>#VALUE!</v>
      </c>
      <c r="DE458" s="0" t="e">
        <f aca="false">$DC$445 + $DD$445</f>
        <v>#VALUE!</v>
      </c>
      <c r="DJ458" s="0" t="s">
        <v>136</v>
      </c>
      <c r="DK458" s="0" t="n">
        <f aca="false">$DK$456 + $DK$444</f>
        <v>15</v>
      </c>
      <c r="DL458" s="0" t="n">
        <f aca="false">$DJ$445 + $DK$445</f>
        <v>2.82030770018816</v>
      </c>
      <c r="DQ458" s="0" t="s">
        <v>136</v>
      </c>
      <c r="DR458" s="0" t="n">
        <f aca="false">$DR$456 + $DR$444</f>
        <v>15</v>
      </c>
      <c r="DS458" s="0" t="n">
        <f aca="false">$DQ$445 + $DR$445</f>
        <v>1.92629184688428</v>
      </c>
      <c r="DX458" s="0" t="s">
        <v>136</v>
      </c>
      <c r="DY458" s="0" t="n">
        <f aca="false">$DY$456 + $DY$444</f>
        <v>15</v>
      </c>
      <c r="DZ458" s="0" t="n">
        <f aca="false">$DX$445 + $DY$445</f>
        <v>2.80467858125306</v>
      </c>
    </row>
    <row r="459" customFormat="false" ht="12.8" hidden="false" customHeight="false" outlineLevel="0" collapsed="false">
      <c r="BZ459" s="0" t="n">
        <v>2.41617635379349</v>
      </c>
      <c r="CA459" s="0" t="n">
        <v>40.3697448295251</v>
      </c>
      <c r="CB459" s="0" t="n">
        <v>40.4850090486329</v>
      </c>
      <c r="CC459" s="0" t="n">
        <v>0.115264219107814</v>
      </c>
      <c r="CD459" s="20" t="n">
        <f aca="false">(CC459)^2</f>
        <v>0.0132858402065342</v>
      </c>
      <c r="CG459" s="0" t="n">
        <v>2.41617635379349</v>
      </c>
      <c r="CH459" s="0" t="n">
        <v>40.6824796766576</v>
      </c>
      <c r="CI459" s="0" t="n">
        <v>40.9096967114523</v>
      </c>
      <c r="CJ459" s="0" t="n">
        <v>0.227217034794741</v>
      </c>
      <c r="CK459" s="20" t="n">
        <f aca="false">(CJ459)^2</f>
        <v>0.0516275809009145</v>
      </c>
      <c r="CN459" s="0" t="n">
        <v>2.41617635379349</v>
      </c>
      <c r="CO459" s="0" t="n">
        <v>40.608757319314</v>
      </c>
      <c r="CP459" s="0" t="n">
        <v>40.9096967114523</v>
      </c>
      <c r="CQ459" s="0" t="n">
        <v>0.300939392138332</v>
      </c>
      <c r="CR459" s="20" t="n">
        <f aca="false">(CQ459)^2</f>
        <v>0.0905645177405888</v>
      </c>
      <c r="CU459" s="0" t="n">
        <v>1.44247976906445</v>
      </c>
      <c r="CV459" s="0" t="n">
        <v>2.07420738185398</v>
      </c>
      <c r="CW459" s="0" t="n">
        <v>2.41617635379349</v>
      </c>
      <c r="CX459" s="0" t="n">
        <v>0.341968971939506</v>
      </c>
      <c r="CY459" s="20" t="n">
        <f aca="false">(CX459)^2</f>
        <v>0.116942777769363</v>
      </c>
    </row>
    <row r="460" customFormat="false" ht="12.8" hidden="false" customHeight="false" outlineLevel="0" collapsed="false">
      <c r="BZ460" s="0" t="n">
        <v>2.17640387683549</v>
      </c>
      <c r="CA460" s="0" t="n">
        <v>40.0822074518961</v>
      </c>
      <c r="CB460" s="0" t="n">
        <v>40.5363222856562</v>
      </c>
      <c r="CC460" s="0" t="n">
        <v>0.454114833760094</v>
      </c>
      <c r="CD460" s="20" t="n">
        <f aca="false">(CC460)^2</f>
        <v>0.206220282240958</v>
      </c>
      <c r="CG460" s="0" t="n">
        <v>2.17640387683549</v>
      </c>
      <c r="CH460" s="0" t="n">
        <v>40.4832036260983</v>
      </c>
      <c r="CI460" s="0" t="n">
        <v>40.8519069419647</v>
      </c>
      <c r="CJ460" s="0" t="n">
        <v>0.368703315866355</v>
      </c>
      <c r="CK460" s="20" t="n">
        <f aca="false">(CJ460)^2</f>
        <v>0.135942135130845</v>
      </c>
      <c r="CN460" s="0" t="n">
        <v>2.17640387683549</v>
      </c>
      <c r="CO460" s="0" t="n">
        <v>40.3431477754405</v>
      </c>
      <c r="CP460" s="0" t="n">
        <v>40.8519069419647</v>
      </c>
      <c r="CQ460" s="0" t="n">
        <v>0.508759166524158</v>
      </c>
      <c r="CR460" s="20" t="n">
        <f aca="false">(CQ460)^2</f>
        <v>0.258835889522355</v>
      </c>
      <c r="CU460" s="0" t="n">
        <v>1.53781909507327</v>
      </c>
      <c r="CV460" s="0" t="n">
        <v>2.18970901850871</v>
      </c>
      <c r="CW460" s="0" t="n">
        <v>2.17640387683549</v>
      </c>
      <c r="CX460" s="0" t="n">
        <v>-0.0133051416732224</v>
      </c>
      <c r="CY460" s="20" t="n">
        <f aca="false">(CX460)^2</f>
        <v>0.000177026794944519</v>
      </c>
      <c r="DC460" s="0" t="s">
        <v>141</v>
      </c>
      <c r="DD460" s="0" t="n">
        <v>0.95</v>
      </c>
      <c r="DJ460" s="0" t="s">
        <v>141</v>
      </c>
      <c r="DK460" s="0" t="n">
        <v>0.95</v>
      </c>
      <c r="DQ460" s="0" t="s">
        <v>141</v>
      </c>
      <c r="DR460" s="0" t="n">
        <v>0.95</v>
      </c>
      <c r="DX460" s="0" t="s">
        <v>141</v>
      </c>
      <c r="DY460" s="0" t="n">
        <v>0.95</v>
      </c>
    </row>
    <row r="461" customFormat="false" ht="12.8" hidden="false" customHeight="false" outlineLevel="0" collapsed="false">
      <c r="BZ461" s="0" t="n">
        <v>2.06468635947822</v>
      </c>
      <c r="CA461" s="0" t="n">
        <v>39.9482347691943</v>
      </c>
      <c r="CB461" s="0" t="n">
        <v>39.9166540391504</v>
      </c>
      <c r="CC461" s="0" t="n">
        <v>-0.0315807300438564</v>
      </c>
      <c r="CD461" s="20" t="n">
        <f aca="false">(CC461)^2</f>
        <v>0.000997342510102936</v>
      </c>
      <c r="CG461" s="0" t="n">
        <v>2.06468635947822</v>
      </c>
      <c r="CH461" s="0" t="n">
        <v>40.3903546639502</v>
      </c>
      <c r="CI461" s="0" t="n">
        <v>40.3823661888664</v>
      </c>
      <c r="CJ461" s="0" t="n">
        <v>-0.00798847508381328</v>
      </c>
      <c r="CK461" s="20" t="n">
        <f aca="false">(CJ461)^2</f>
        <v>6.38157341647057E-005</v>
      </c>
      <c r="CN461" s="0" t="n">
        <v>2.06468635947822</v>
      </c>
      <c r="CO461" s="0" t="n">
        <v>40.2193919582408</v>
      </c>
      <c r="CP461" s="0" t="n">
        <v>40.3823661888664</v>
      </c>
      <c r="CQ461" s="0" t="n">
        <v>0.162974230625565</v>
      </c>
      <c r="CR461" s="20" t="n">
        <f aca="false">(CQ461)^2</f>
        <v>0.0265605998479949</v>
      </c>
      <c r="CU461" s="0" t="n">
        <v>1.3541084391474</v>
      </c>
      <c r="CV461" s="0" t="n">
        <v>1.96714732944885</v>
      </c>
      <c r="CW461" s="0" t="n">
        <v>2.06468635947822</v>
      </c>
      <c r="CX461" s="0" t="n">
        <v>0.0975390300293681</v>
      </c>
      <c r="CY461" s="20" t="n">
        <f aca="false">(CX461)^2</f>
        <v>0.00951386237906998</v>
      </c>
    </row>
    <row r="462" customFormat="false" ht="12.8" hidden="false" customHeight="false" outlineLevel="0" collapsed="false">
      <c r="BZ462" s="0" t="n">
        <v>2.28534020026503</v>
      </c>
      <c r="CA462" s="0" t="n">
        <v>40.2128449010515</v>
      </c>
      <c r="CB462" s="0" t="n">
        <v>39.9203081956583</v>
      </c>
      <c r="CC462" s="0" t="n">
        <v>-0.292536705393232</v>
      </c>
      <c r="CD462" s="20" t="n">
        <f aca="false">(CC462)^2</f>
        <v>0.0855777240023266</v>
      </c>
      <c r="CG462" s="0" t="n">
        <v>2.28534020026503</v>
      </c>
      <c r="CH462" s="0" t="n">
        <v>40.5737411246924</v>
      </c>
      <c r="CI462" s="0" t="n">
        <v>39.8052047714277</v>
      </c>
      <c r="CJ462" s="0" t="n">
        <v>-0.768536353264715</v>
      </c>
      <c r="CK462" s="20" t="n">
        <f aca="false">(CJ462)^2</f>
        <v>0.590648126289426</v>
      </c>
      <c r="CN462" s="0" t="n">
        <v>2.28534020026503</v>
      </c>
      <c r="CO462" s="0" t="n">
        <v>40.4638227067106</v>
      </c>
      <c r="CP462" s="0" t="n">
        <v>39.8052047714277</v>
      </c>
      <c r="CQ462" s="0" t="n">
        <v>-0.65861793528294</v>
      </c>
      <c r="CR462" s="20" t="n">
        <f aca="false">(CQ462)^2</f>
        <v>0.433777584676364</v>
      </c>
      <c r="CU462" s="0" t="n">
        <v>1.42488163663107</v>
      </c>
      <c r="CV462" s="0" t="n">
        <v>2.05288760560621</v>
      </c>
      <c r="CW462" s="0" t="n">
        <v>2.28534020026503</v>
      </c>
      <c r="CX462" s="0" t="n">
        <v>0.232452594658825</v>
      </c>
      <c r="CY462" s="20" t="n">
        <f aca="false">(CX462)^2</f>
        <v>0.0540342087636199</v>
      </c>
      <c r="DD462" s="0" t="s">
        <v>146</v>
      </c>
      <c r="DE462" s="0" t="s">
        <v>106</v>
      </c>
      <c r="DF462" s="0" t="s">
        <v>147</v>
      </c>
      <c r="DG462" s="0" t="s">
        <v>148</v>
      </c>
      <c r="DH462" s="0" t="str">
        <f aca="false">_xlfn.CONCAT("Lower " , INT($DD$460 * 100) , "%")</f>
        <v>Lower 95%</v>
      </c>
      <c r="DI462" s="0" t="str">
        <f aca="false">_xlfn.CONCAT("Upper " , INT($DD$460 * 100) , "%")</f>
        <v>Upper 95%</v>
      </c>
      <c r="DK462" s="0" t="s">
        <v>146</v>
      </c>
      <c r="DL462" s="0" t="s">
        <v>106</v>
      </c>
      <c r="DM462" s="0" t="s">
        <v>147</v>
      </c>
      <c r="DN462" s="0" t="s">
        <v>148</v>
      </c>
      <c r="DO462" s="0" t="str">
        <f aca="false">_xlfn.CONCAT("Lower " , INT($DK$460 * 100) , "%")</f>
        <v>Lower 95%</v>
      </c>
      <c r="DP462" s="0" t="str">
        <f aca="false">_xlfn.CONCAT("Upper " , INT($DK$460 * 100) , "%")</f>
        <v>Upper 95%</v>
      </c>
      <c r="DR462" s="0" t="s">
        <v>146</v>
      </c>
      <c r="DS462" s="0" t="s">
        <v>106</v>
      </c>
      <c r="DT462" s="0" t="s">
        <v>147</v>
      </c>
      <c r="DU462" s="0" t="s">
        <v>148</v>
      </c>
      <c r="DV462" s="0" t="str">
        <f aca="false">_xlfn.CONCAT("Lower " , INT($DR$460 * 100) , "%")</f>
        <v>Lower 95%</v>
      </c>
      <c r="DW462" s="0" t="str">
        <f aca="false">_xlfn.CONCAT("Upper " , INT($DR$460 * 100) , "%")</f>
        <v>Upper 95%</v>
      </c>
      <c r="DY462" s="0" t="s">
        <v>146</v>
      </c>
      <c r="DZ462" s="0" t="s">
        <v>106</v>
      </c>
      <c r="EA462" s="0" t="s">
        <v>147</v>
      </c>
      <c r="EB462" s="0" t="s">
        <v>148</v>
      </c>
      <c r="EC462" s="0" t="str">
        <f aca="false">_xlfn.CONCAT("Lower " , INT($DY$460 * 100) , "%")</f>
        <v>Lower 95%</v>
      </c>
      <c r="ED462" s="0" t="str">
        <f aca="false">_xlfn.CONCAT("Upper " , INT($DY$460 * 100) , "%")</f>
        <v>Upper 95%</v>
      </c>
    </row>
    <row r="463" customFormat="false" ht="12.8" hidden="false" customHeight="false" outlineLevel="0" collapsed="false">
      <c r="BZ463" s="0" t="n">
        <v>2.24404692251784</v>
      </c>
      <c r="CA463" s="0" t="n">
        <v>40.1633256194902</v>
      </c>
      <c r="CB463" s="0" t="n">
        <v>40.0555420750015</v>
      </c>
      <c r="CC463" s="0" t="n">
        <v>-0.10778354448874</v>
      </c>
      <c r="CD463" s="20" t="n">
        <f aca="false">(CC463)^2</f>
        <v>0.0116172924625562</v>
      </c>
      <c r="CG463" s="0" t="n">
        <v>2.24404692251784</v>
      </c>
      <c r="CH463" s="0" t="n">
        <v>40.5394220843734</v>
      </c>
      <c r="CI463" s="0" t="n">
        <v>40.1409607062428</v>
      </c>
      <c r="CJ463" s="0" t="n">
        <v>-0.398461378130627</v>
      </c>
      <c r="CK463" s="20" t="n">
        <f aca="false">(CJ463)^2</f>
        <v>0.158771469861758</v>
      </c>
      <c r="CN463" s="0" t="n">
        <v>2.24404692251784</v>
      </c>
      <c r="CO463" s="0" t="n">
        <v>40.4180798057463</v>
      </c>
      <c r="CP463" s="0" t="n">
        <v>40.1409607062428</v>
      </c>
      <c r="CQ463" s="0" t="n">
        <v>-0.27711909950348</v>
      </c>
      <c r="CR463" s="20" t="n">
        <f aca="false">(CQ463)^2</f>
        <v>0.0767949953096197</v>
      </c>
      <c r="CU463" s="0" t="n">
        <v>1.43775056282039</v>
      </c>
      <c r="CV463" s="0" t="n">
        <v>2.06847804555454</v>
      </c>
      <c r="CW463" s="0" t="n">
        <v>2.24404692251784</v>
      </c>
      <c r="CX463" s="0" t="n">
        <v>0.175568876963298</v>
      </c>
      <c r="CY463" s="20" t="n">
        <f aca="false">(CX463)^2</f>
        <v>0.0308244305581537</v>
      </c>
      <c r="DC463" s="0" t="str">
        <f aca="false">"Intercept"</f>
        <v>Intercept</v>
      </c>
      <c r="DD463" s="0" t="e">
        <f aca="false" t="array" ref="DD463:DD463">INDEX($DC$441:$DD$441, 1 , 465 - ROW())</f>
        <v>#VALUE!</v>
      </c>
      <c r="DE463" s="0" t="e">
        <f aca="false" t="array" ref="DE463:DE463">INDEX($DC$442:$DD$442, 1 , 465 - ROW())</f>
        <v>#VALUE!</v>
      </c>
      <c r="DF463" s="0" t="e">
        <f aca="false" t="array" ref="DF463:DF464">$DD$463:$DD$464 / $DE$463:$DE$464</f>
        <v>#VALUE!</v>
      </c>
      <c r="DG463" s="0" t="e">
        <f aca="false" t="array" ref="DG463:DG464">TDIST(ABS($DF$463:$DF$464) , $DD$444 , 2 )</f>
        <v>#VALUE!</v>
      </c>
      <c r="DH463" s="0" t="e">
        <f aca="false" t="array" ref="DH463:DH464">$DD$463:$DD$464 - $DE$463:$DE$464 * TINV(1 - $DD$460 , $DD$444)</f>
        <v>#VALUE!</v>
      </c>
      <c r="DI463" s="0" t="e">
        <f aca="false" t="array" ref="DI463:DI464">$DD$463:$DD$464 + $DE$463:$DE$464 * TINV(1 - $DD$460 , $DD$444)</f>
        <v>#VALUE!</v>
      </c>
      <c r="DJ463" s="0" t="str">
        <f aca="false">"Intercept"</f>
        <v>Intercept</v>
      </c>
      <c r="DK463" s="0" t="n">
        <f aca="false" t="array" ref="DK463:DK463">INDEX($DJ$441:$DK$441, 1 , 465 - ROW())</f>
        <v>38.4766638983449</v>
      </c>
      <c r="DL463" s="0" t="n">
        <f aca="false" t="array" ref="DL463:DL463">INDEX($DJ$442:$DK$442, 1 , 465 - ROW())</f>
        <v>0.612024083910637</v>
      </c>
      <c r="DM463" s="0" t="n">
        <f aca="false" t="array" ref="DM463:DM464">$DK$463:$DK$464 / $DL$463:$DL$464</f>
        <v>62.8678918197</v>
      </c>
      <c r="DN463" s="0" t="n">
        <f aca="false" t="array" ref="DN463:DN464">TDIST(ABS($DM$463:$DM$464) , $DK$444 , 2 )</f>
        <v>1.4319944513466E-018</v>
      </c>
      <c r="DO463" s="0" t="n">
        <f aca="false" t="array" ref="DO463:DO464">$DK$463:$DK$464 - $DL$463:$DL$464 * TINV(1 - $DK$460 , $DK$444)</f>
        <v>37.1640027904883</v>
      </c>
      <c r="DP463" s="0" t="n">
        <f aca="false" t="array" ref="DP463:DP464">$DK$463:$DK$464 + $DL$463:$DL$464 * TINV(1 - $DK$460 , $DK$444)</f>
        <v>39.7893250062015</v>
      </c>
      <c r="DQ463" s="0" t="str">
        <f aca="false">"Intercept"</f>
        <v>Intercept</v>
      </c>
      <c r="DR463" s="0" t="n">
        <f aca="false" t="array" ref="DR463:DR463">INDEX($DQ$441:$DR$441, 1 , 465 - ROW())</f>
        <v>39.6521682803336</v>
      </c>
      <c r="DS463" s="0" t="n">
        <f aca="false" t="array" ref="DS463:DS463">INDEX($DQ$442:$DR$442, 1 , 465 - ROW())</f>
        <v>0.564856961994675</v>
      </c>
      <c r="DT463" s="0" t="n">
        <f aca="false" t="array" ref="DT463:DT464">$DR$463:$DR$464 / $DS$463:$DS$464</f>
        <v>70.1986006161811</v>
      </c>
      <c r="DU463" s="0" t="n">
        <f aca="false" t="array" ref="DU463:DU464">TDIST(ABS($DT$463:$DT$464) , $DR$444 , 2 )</f>
        <v>3.07142286185314E-019</v>
      </c>
      <c r="DV463" s="0" t="n">
        <f aca="false" t="array" ref="DV463:DV464">$DR$463:$DR$464 - $DS$463:$DS$464 * TINV(1 - $DR$460 , $DR$444)</f>
        <v>38.4406705876697</v>
      </c>
      <c r="DW463" s="0" t="n">
        <f aca="false" t="array" ref="DW463:DW464">$DR$463:$DR$464 + $DS$463:$DS$464 * TINV(1 - $DR$460 , $DR$444)</f>
        <v>40.8636659729974</v>
      </c>
      <c r="DX463" s="0" t="str">
        <f aca="false">"Intercept"</f>
        <v>Intercept</v>
      </c>
      <c r="DY463" s="0" t="n">
        <f aca="false" t="array" ref="DY463:DY463">INDEX($DX$441:$DY$441, 1 , 465 - ROW())</f>
        <v>38.8998327562049</v>
      </c>
      <c r="DZ463" s="0" t="n">
        <f aca="false" t="array" ref="DZ463:DZ463">INDEX($DX$442:$DY$442, 1 , 465 - ROW())</f>
        <v>0.640866436493923</v>
      </c>
      <c r="EA463" s="0" t="n">
        <f aca="false" t="array" ref="EA463:EA464">$DY$463:$DY$464 / $DZ$463:$DZ$464</f>
        <v>60.6988142006931</v>
      </c>
      <c r="EB463" s="0" t="n">
        <f aca="false" t="array" ref="EB463:EB464">TDIST(ABS($EA$463:$EA$464) , $DY$444 , 2 )</f>
        <v>2.33717512089529E-018</v>
      </c>
      <c r="EC463" s="0" t="n">
        <f aca="false" t="array" ref="EC463:EC464">$DY$463:$DY$464 - $DZ$463:$DZ$464 * TINV(1 - $DY$460 , $DY$444)</f>
        <v>37.5253109544794</v>
      </c>
      <c r="ED463" s="0" t="n">
        <f aca="false" t="array" ref="ED463:ED464">$DY$463:$DY$464 + $DZ$463:$DZ$464 * TINV(1 - $DY$460 , $DY$444)</f>
        <v>40.2743545579304</v>
      </c>
    </row>
    <row r="464" customFormat="false" ht="12.8" hidden="false" customHeight="false" outlineLevel="0" collapsed="false">
      <c r="BZ464" s="0" t="n">
        <v>1.60008622473531</v>
      </c>
      <c r="CA464" s="0" t="n">
        <v>39.3910819796627</v>
      </c>
      <c r="CB464" s="0" t="n">
        <v>39.6009701741581</v>
      </c>
      <c r="CC464" s="0" t="n">
        <v>0.20988819449542</v>
      </c>
      <c r="CD464" s="20" t="n">
        <f aca="false">(CC464)^2</f>
        <v>0.0440530541885473</v>
      </c>
      <c r="CG464" s="0" t="n">
        <v>1.60008622473531</v>
      </c>
      <c r="CH464" s="0" t="n">
        <v>40.0042232734109</v>
      </c>
      <c r="CI464" s="0" t="n">
        <v>39.9728485150304</v>
      </c>
      <c r="CJ464" s="0" t="n">
        <v>-0.0313747583805153</v>
      </c>
      <c r="CK464" s="20" t="n">
        <f aca="false">(CJ464)^2</f>
        <v>0.000984375463435714</v>
      </c>
      <c r="CN464" s="0" t="n">
        <v>1.60008622473531</v>
      </c>
      <c r="CO464" s="0" t="n">
        <v>39.7047280925703</v>
      </c>
      <c r="CP464" s="0" t="n">
        <v>39.9728485150304</v>
      </c>
      <c r="CQ464" s="0" t="n">
        <v>0.268120422460058</v>
      </c>
      <c r="CR464" s="20" t="n">
        <f aca="false">(CQ464)^2</f>
        <v>0.0718885609401598</v>
      </c>
      <c r="CU464" s="0" t="n">
        <v>1.31386722036915</v>
      </c>
      <c r="CV464" s="0" t="n">
        <v>1.91839591883537</v>
      </c>
      <c r="CW464" s="0" t="n">
        <v>1.60008622473531</v>
      </c>
      <c r="CX464" s="0" t="n">
        <v>-0.318309694100057</v>
      </c>
      <c r="CY464" s="20" t="n">
        <f aca="false">(CX464)^2</f>
        <v>0.101321061358072</v>
      </c>
      <c r="DC464" s="24" t="str">
        <f aca="false">$BK$137</f>
        <v>Log(RefB.K)</v>
      </c>
      <c r="DD464" s="0" t="n">
        <v>38.4781797619498</v>
      </c>
      <c r="DE464" s="0" t="n">
        <v>0.612024083910639</v>
      </c>
      <c r="DF464" s="0" t="n">
        <v>62.8703686235458</v>
      </c>
      <c r="DG464" s="0" t="e">
        <v>#VALUE!</v>
      </c>
      <c r="DH464" s="0" t="e">
        <v>#VALUE!</v>
      </c>
      <c r="DI464" s="0" t="e">
        <v>#VALUE!</v>
      </c>
      <c r="DJ464" s="24" t="str">
        <f aca="false">$BK$137</f>
        <v>Log(RefB.K)</v>
      </c>
      <c r="DK464" s="0" t="n">
        <v>38.425388588163</v>
      </c>
      <c r="DL464" s="0" t="n">
        <v>0.603466939477926</v>
      </c>
      <c r="DM464" s="0" t="n">
        <v>63.6743888926305</v>
      </c>
      <c r="DN464" s="0" t="n">
        <v>1.19864929607874E-018</v>
      </c>
      <c r="DO464" s="0" t="n">
        <v>37.1310807297723</v>
      </c>
      <c r="DP464" s="0" t="n">
        <v>39.7196964465538</v>
      </c>
      <c r="DQ464" s="24" t="str">
        <f aca="false">$BK$137</f>
        <v>Log(RefB.K)</v>
      </c>
      <c r="DR464" s="0" t="n">
        <v>39.6521682803336</v>
      </c>
      <c r="DS464" s="0" t="n">
        <v>0.564856961994675</v>
      </c>
      <c r="DT464" s="0" t="n">
        <v>70.1986006161811</v>
      </c>
      <c r="DU464" s="0" t="n">
        <v>3.07142286185312E-019</v>
      </c>
      <c r="DV464" s="0" t="n">
        <v>38.4406705876697</v>
      </c>
      <c r="DW464" s="0" t="n">
        <v>40.8636659729975</v>
      </c>
      <c r="DX464" s="24" t="str">
        <f aca="false">$BK$137</f>
        <v>Log(RefB.K)</v>
      </c>
      <c r="DY464" s="0" t="n">
        <v>38.8998327562049</v>
      </c>
      <c r="DZ464" s="0" t="n">
        <v>0.640866436493923</v>
      </c>
      <c r="EA464" s="0" t="n">
        <v>60.6988142006931</v>
      </c>
      <c r="EB464" s="0" t="n">
        <v>2.33717512089527E-018</v>
      </c>
      <c r="EC464" s="0" t="n">
        <v>37.5253109544794</v>
      </c>
      <c r="ED464" s="0" t="n">
        <v>40.2743545579304</v>
      </c>
    </row>
    <row r="465" customFormat="false" ht="12.8" hidden="false" customHeight="false" outlineLevel="0" collapsed="false">
      <c r="BZ465" s="0" t="n">
        <v>1.37561164684667</v>
      </c>
      <c r="CA465" s="0" t="n">
        <v>39.1218899844456</v>
      </c>
      <c r="CB465" s="0" t="n">
        <v>39.7119114592515</v>
      </c>
      <c r="CC465" s="0" t="n">
        <v>0.590021474805923</v>
      </c>
      <c r="CD465" s="20" t="n">
        <f aca="false">(CC465)^2</f>
        <v>0.348125340732156</v>
      </c>
      <c r="CG465" s="0" t="n">
        <v>1.37561164684667</v>
      </c>
      <c r="CH465" s="0" t="n">
        <v>39.8176613798186</v>
      </c>
      <c r="CI465" s="0" t="n">
        <v>40.3675165950432</v>
      </c>
      <c r="CJ465" s="0" t="n">
        <v>0.549855215224561</v>
      </c>
      <c r="CK465" s="20" t="n">
        <f aca="false">(CJ465)^2</f>
        <v>0.302340757709648</v>
      </c>
      <c r="CN465" s="0" t="n">
        <v>1.37561164684667</v>
      </c>
      <c r="CO465" s="0" t="n">
        <v>39.4560648973587</v>
      </c>
      <c r="CP465" s="0" t="n">
        <v>40.3675165950432</v>
      </c>
      <c r="CQ465" s="0" t="n">
        <v>0.911451697684477</v>
      </c>
      <c r="CR465" s="20" t="n">
        <f aca="false">(CQ465)^2</f>
        <v>0.830744197211915</v>
      </c>
      <c r="CU465" s="0" t="n">
        <v>1.51719589794997</v>
      </c>
      <c r="CV465" s="0" t="n">
        <v>2.16472443847745</v>
      </c>
      <c r="CW465" s="0" t="n">
        <v>1.37561164684667</v>
      </c>
      <c r="CX465" s="0" t="n">
        <v>-0.789112791630777</v>
      </c>
      <c r="CY465" s="20" t="n">
        <f aca="false">(CX465)^2</f>
        <v>0.622698997915319</v>
      </c>
    </row>
    <row r="466" customFormat="false" ht="12.8" hidden="false" customHeight="false" outlineLevel="0" collapsed="false">
      <c r="BZ466" s="0" t="n">
        <v>1.68490801536986</v>
      </c>
      <c r="CA466" s="0" t="n">
        <v>39.4928010574913</v>
      </c>
      <c r="CB466" s="0" t="n">
        <v>39.8158956218551</v>
      </c>
      <c r="CC466" s="0" t="n">
        <v>0.323094564363792</v>
      </c>
      <c r="CD466" s="20" t="n">
        <f aca="false">(CC466)^2</f>
        <v>0.104390097521429</v>
      </c>
      <c r="CG466" s="0" t="n">
        <v>1.68490801536986</v>
      </c>
      <c r="CH466" s="0" t="n">
        <v>40.0747190686476</v>
      </c>
      <c r="CI466" s="0" t="n">
        <v>40.2813702480347</v>
      </c>
      <c r="CJ466" s="0" t="n">
        <v>0.206651179387144</v>
      </c>
      <c r="CK466" s="20" t="n">
        <f aca="false">(CJ466)^2</f>
        <v>0.0427047099420976</v>
      </c>
      <c r="CN466" s="0" t="n">
        <v>1.68490801536986</v>
      </c>
      <c r="CO466" s="0" t="n">
        <v>39.7986899909784</v>
      </c>
      <c r="CP466" s="0" t="n">
        <v>40.2813702480347</v>
      </c>
      <c r="CQ466" s="0" t="n">
        <v>0.482680257056323</v>
      </c>
      <c r="CR466" s="20" t="n">
        <f aca="false">(CQ466)^2</f>
        <v>0.232980230551958</v>
      </c>
      <c r="CU466" s="0" t="n">
        <v>1.32221929473392</v>
      </c>
      <c r="CV466" s="0" t="n">
        <v>1.928514285505</v>
      </c>
      <c r="CW466" s="0" t="n">
        <v>1.68490801536986</v>
      </c>
      <c r="CX466" s="0" t="n">
        <v>-0.24360627013514</v>
      </c>
      <c r="CY466" s="20" t="n">
        <f aca="false">(CX466)^2</f>
        <v>0.0593440148491549</v>
      </c>
      <c r="DC466" s="0" t="str">
        <f aca="false">$BK$137</f>
        <v>Log(RefB.K)</v>
      </c>
      <c r="DD466" s="0" t="s">
        <v>157</v>
      </c>
      <c r="DE466" s="0" t="n">
        <f aca="false">$BE$137</f>
        <v>0</v>
      </c>
      <c r="DF466" s="0" t="s">
        <v>133</v>
      </c>
      <c r="DJ466" s="0" t="str">
        <f aca="false">$BK$137</f>
        <v>Log(RefB.K)</v>
      </c>
      <c r="DK466" s="0" t="s">
        <v>157</v>
      </c>
      <c r="DL466" s="0" t="str">
        <f aca="false">$BF$137</f>
        <v>Log(LHβ) 2011</v>
      </c>
      <c r="DM466" s="0" t="s">
        <v>133</v>
      </c>
      <c r="DQ466" s="0" t="str">
        <f aca="false">$BK$137</f>
        <v>Log(RefB.K)</v>
      </c>
      <c r="DR466" s="0" t="s">
        <v>157</v>
      </c>
      <c r="DS466" s="0" t="str">
        <f aca="false">$BG$137</f>
        <v>Full Log(LHβ) 2007</v>
      </c>
      <c r="DT466" s="0" t="s">
        <v>133</v>
      </c>
      <c r="DX466" s="0" t="str">
        <f aca="false">$BK$137</f>
        <v>Log(RefB.K)</v>
      </c>
      <c r="DY466" s="0" t="s">
        <v>157</v>
      </c>
      <c r="DZ466" s="0" t="str">
        <f aca="false">$BH$137</f>
        <v>BK Log(LHβ) 2007</v>
      </c>
      <c r="EA466" s="0" t="s">
        <v>133</v>
      </c>
    </row>
    <row r="467" customFormat="false" ht="12.8" hidden="false" customHeight="false" outlineLevel="0" collapsed="false">
      <c r="BZ467" s="0" t="n">
        <v>1.85057428008802</v>
      </c>
      <c r="CA467" s="0" t="n">
        <v>39.6914695782615</v>
      </c>
      <c r="CB467" s="0" t="n">
        <v>39.9770046637507</v>
      </c>
      <c r="CC467" s="0" t="n">
        <v>0.285535085489215</v>
      </c>
      <c r="CD467" s="20" t="n">
        <f aca="false">(CC467)^2</f>
        <v>0.0815302850453334</v>
      </c>
      <c r="CG467" s="0" t="n">
        <v>1.85057428008802</v>
      </c>
      <c r="CH467" s="0" t="n">
        <v>40.2124050923429</v>
      </c>
      <c r="CI467" s="0" t="n">
        <v>40.5618565782759</v>
      </c>
      <c r="CJ467" s="0" t="n">
        <v>0.349451485932995</v>
      </c>
      <c r="CK467" s="20" t="n">
        <f aca="false">(CJ467)^2</f>
        <v>0.122116341020778</v>
      </c>
      <c r="CN467" s="0" t="n">
        <v>1.85057428008802</v>
      </c>
      <c r="CO467" s="0" t="n">
        <v>39.9822078891344</v>
      </c>
      <c r="CP467" s="0" t="n">
        <v>40.2717584423895</v>
      </c>
      <c r="CQ467" s="0" t="n">
        <v>0.289550553255069</v>
      </c>
      <c r="CR467" s="20" t="n">
        <f aca="false">(CQ467)^2</f>
        <v>0.0838395228903163</v>
      </c>
      <c r="CU467" s="0" t="n">
        <v>1.23299611039215</v>
      </c>
      <c r="CV467" s="0" t="n">
        <v>1.82042222894832</v>
      </c>
      <c r="CW467" s="0" t="n">
        <v>1.85057428008802</v>
      </c>
      <c r="CX467" s="0" t="n">
        <v>0.0301520511396978</v>
      </c>
      <c r="CY467" s="20" t="n">
        <f aca="false">(CX467)^2</f>
        <v>0.000909146187930949</v>
      </c>
      <c r="DC467" s="0" t="n">
        <f aca="false" t="array" ref="DC467:DC482">$BK$138:$BK$153</f>
        <v>2.48979141903991</v>
      </c>
      <c r="DD467" s="0" t="e">
        <f aca="false" t="array" ref="DD467:DD482">MMULT($DC$467:$DC$482 , $DD$464) + $DD$463</f>
        <v>#VALUE!</v>
      </c>
      <c r="DE467" s="0" t="n">
        <f aca="false" t="array" ref="DE467:DE482">$BE$138:$BE$153</f>
        <v>0</v>
      </c>
      <c r="DF467" s="0" t="e">
        <f aca="false" t="array" ref="DF467:DF482">$DE$467:$DE$482 - $DD$467:$DD$482</f>
        <v>#VALUE!</v>
      </c>
      <c r="DJ467" s="0" t="n">
        <f aca="false" t="array" ref="DJ467:DJ482">$BK$138:$BK$153</f>
        <v>2.48979141903991</v>
      </c>
      <c r="DK467" s="0" t="n">
        <f aca="false" t="array" ref="DK467:DK482">MMULT($DJ$467:$DJ$482 , $DK$464) + $DK$463</f>
        <v>134.147866678427</v>
      </c>
      <c r="DL467" s="0" t="n">
        <f aca="false" t="array" ref="DL467:DL482">$BF$138:$BF$153</f>
        <v>39.9963150223595</v>
      </c>
      <c r="DM467" s="0" t="n">
        <f aca="false" t="array" ref="DM467:DM482">$DL$467:$DL$482 - $DK$467:$DK$482</f>
        <v>-94.1515516560677</v>
      </c>
      <c r="DQ467" s="0" t="n">
        <f aca="false" t="array" ref="DQ467:DQ482">$BK$138:$BK$153</f>
        <v>2.48979141903991</v>
      </c>
      <c r="DR467" s="0" t="n">
        <f aca="false" t="array" ref="DR467:DR482">MMULT($DQ$467:$DQ$482 , $DR$464) + $DR$463</f>
        <v>138.377796611035</v>
      </c>
      <c r="DS467" s="0" t="n">
        <f aca="false" t="array" ref="DS467:DS482">$BG$138:$BG$153</f>
        <v>40.4667860464016</v>
      </c>
      <c r="DT467" s="0" t="n">
        <f aca="false" t="array" ref="DT467:DT482">$DS$467:$DS$482 - $DR$467:$DR$482</f>
        <v>-97.911010564633</v>
      </c>
      <c r="DX467" s="0" t="n">
        <f aca="false" t="array" ref="DX467:DX482">$BK$138:$BK$153</f>
        <v>2.48979141903991</v>
      </c>
      <c r="DY467" s="0" t="n">
        <f aca="false" t="array" ref="DY467:DY482">MMULT($DX$467:$DX$482 , $DY$464) + $DY$463</f>
        <v>135.752302554691</v>
      </c>
      <c r="DZ467" s="0" t="n">
        <f aca="false" t="array" ref="DZ467:DZ482">$BH$138:$BH$153</f>
        <v>40.4667860464016</v>
      </c>
      <c r="EA467" s="0" t="n">
        <f aca="false" t="array" ref="EA467:EA482">$DZ$467:$DZ$482 - $DY$467:$DY$482</f>
        <v>-95.2855165082899</v>
      </c>
    </row>
    <row r="468" customFormat="false" ht="12.8" hidden="false" customHeight="false" outlineLevel="0" collapsed="false">
      <c r="BZ468" s="0" t="n">
        <v>1.54507120196056</v>
      </c>
      <c r="CA468" s="0" t="n">
        <v>39.3251074542311</v>
      </c>
      <c r="CB468" s="0" t="n">
        <v>39.0888685217564</v>
      </c>
      <c r="CC468" s="0" t="n">
        <v>-0.236238932474734</v>
      </c>
      <c r="CD468" s="20" t="n">
        <f aca="false">(CC468)^2</f>
        <v>0.055808833216802</v>
      </c>
      <c r="CG468" s="0" t="n">
        <v>1.54507120196056</v>
      </c>
      <c r="CH468" s="0" t="n">
        <v>39.9585000252756</v>
      </c>
      <c r="CI468" s="0" t="n">
        <v>39.807392282766</v>
      </c>
      <c r="CJ468" s="0" t="n">
        <v>-0.151107742509566</v>
      </c>
      <c r="CK468" s="20" t="n">
        <f aca="false">(CJ468)^2</f>
        <v>0.0228335498463374</v>
      </c>
      <c r="CN468" s="0" t="n">
        <v>1.54507120196056</v>
      </c>
      <c r="CO468" s="0" t="n">
        <v>39.6437848379868</v>
      </c>
      <c r="CP468" s="0" t="n">
        <v>39.2678630647137</v>
      </c>
      <c r="CQ468" s="0" t="n">
        <v>-0.375921773273056</v>
      </c>
      <c r="CR468" s="20" t="n">
        <f aca="false">(CQ468)^2</f>
        <v>0.141317179620759</v>
      </c>
      <c r="CU468" s="0" t="n">
        <v>1.23299611039215</v>
      </c>
      <c r="CV468" s="0" t="n">
        <v>1.82042222894832</v>
      </c>
      <c r="CW468" s="0" t="n">
        <v>1.54507120196056</v>
      </c>
      <c r="CX468" s="0" t="n">
        <v>-0.275351026987762</v>
      </c>
      <c r="CY468" s="20" t="n">
        <f aca="false">(CX468)^2</f>
        <v>0.0758181880632154</v>
      </c>
      <c r="DC468" s="0" t="n">
        <v>2.53264650264469</v>
      </c>
      <c r="DD468" s="0" t="e">
        <v>#VALUE!</v>
      </c>
      <c r="DE468" s="0" t="n">
        <v>0</v>
      </c>
      <c r="DF468" s="0" t="e">
        <v>#VALUE!</v>
      </c>
      <c r="DJ468" s="0" t="n">
        <v>2.53264650264469</v>
      </c>
      <c r="DK468" s="0" t="n">
        <v>135.794589918919</v>
      </c>
      <c r="DL468" s="0" t="n">
        <v>40.3308782653967</v>
      </c>
      <c r="DM468" s="0" t="n">
        <v>-95.4637116535224</v>
      </c>
      <c r="DQ468" s="0" t="n">
        <v>2.53264650264469</v>
      </c>
      <c r="DR468" s="0" t="n">
        <v>140.077093597799</v>
      </c>
      <c r="DS468" s="0" t="n">
        <v>40.6750396842358</v>
      </c>
      <c r="DT468" s="0" t="n">
        <v>-99.4020539135633</v>
      </c>
      <c r="DX468" s="0" t="n">
        <v>2.53264650264469</v>
      </c>
      <c r="DY468" s="0" t="n">
        <v>137.419358139671</v>
      </c>
      <c r="DZ468" s="0" t="n">
        <v>40.6750396842358</v>
      </c>
      <c r="EA468" s="0" t="n">
        <v>-96.7443184554348</v>
      </c>
    </row>
    <row r="469" customFormat="false" ht="12.8" hidden="false" customHeight="false" outlineLevel="0" collapsed="false">
      <c r="BZ469" s="0" t="n">
        <v>1.96442405905461</v>
      </c>
      <c r="CA469" s="0" t="n">
        <v>39.8279992888564</v>
      </c>
      <c r="CB469" s="0" t="n">
        <v>39.3364926286811</v>
      </c>
      <c r="CC469" s="0" t="n">
        <v>-0.491506660175261</v>
      </c>
      <c r="CD469" s="20" t="n">
        <f aca="false">(CC469)^2</f>
        <v>0.24157879699664</v>
      </c>
      <c r="CG469" s="0" t="n">
        <v>1.96442405905461</v>
      </c>
      <c r="CH469" s="0" t="n">
        <v>40.3070261872965</v>
      </c>
      <c r="CI469" s="0" t="n">
        <v>39.6234285182525</v>
      </c>
      <c r="CJ469" s="0" t="n">
        <v>-0.683597669043998</v>
      </c>
      <c r="CK469" s="20" t="n">
        <f aca="false">(CJ469)^2</f>
        <v>0.467305773122387</v>
      </c>
      <c r="CN469" s="0" t="n">
        <v>1.96442405905461</v>
      </c>
      <c r="CO469" s="0" t="n">
        <v>40.108325733205</v>
      </c>
      <c r="CP469" s="0" t="n">
        <v>39.6234285182525</v>
      </c>
      <c r="CQ469" s="0" t="n">
        <v>-0.484897214952504</v>
      </c>
      <c r="CR469" s="20" t="n">
        <f aca="false">(CQ469)^2</f>
        <v>0.235125309068695</v>
      </c>
      <c r="CU469" s="0" t="n">
        <v>1.3541084391474</v>
      </c>
      <c r="CV469" s="0" t="n">
        <v>1.96714732944885</v>
      </c>
      <c r="CW469" s="0" t="n">
        <v>1.96442405905461</v>
      </c>
      <c r="CX469" s="0" t="n">
        <v>-0.00272327039424192</v>
      </c>
      <c r="CY469" s="20" t="n">
        <f aca="false">(CX469)^2</f>
        <v>7.41620164015453E-006</v>
      </c>
      <c r="DC469" s="0" t="n">
        <v>2.34558873592099</v>
      </c>
      <c r="DD469" s="0" t="e">
        <v>#VALUE!</v>
      </c>
      <c r="DE469" s="0" t="n">
        <v>0</v>
      </c>
      <c r="DF469" s="0" t="e">
        <v>#VALUE!</v>
      </c>
      <c r="DJ469" s="0" t="n">
        <v>2.34558873592099</v>
      </c>
      <c r="DK469" s="0" t="n">
        <v>128.606822544127</v>
      </c>
      <c r="DL469" s="0" t="n">
        <v>40.5363222856562</v>
      </c>
      <c r="DM469" s="0" t="n">
        <v>-88.0705002584708</v>
      </c>
      <c r="DQ469" s="0" t="n">
        <v>2.34558873592099</v>
      </c>
      <c r="DR469" s="0" t="n">
        <v>132.659847553528</v>
      </c>
      <c r="DS469" s="0" t="n">
        <v>40.8519069419647</v>
      </c>
      <c r="DT469" s="0" t="n">
        <v>-91.807940611563</v>
      </c>
      <c r="DX469" s="0" t="n">
        <v>2.34558873592099</v>
      </c>
      <c r="DY469" s="0" t="n">
        <v>130.142842298369</v>
      </c>
      <c r="DZ469" s="0" t="n">
        <v>40.8519069419647</v>
      </c>
      <c r="EA469" s="0" t="n">
        <v>-89.2909353564048</v>
      </c>
    </row>
    <row r="470" customFormat="false" ht="12.8" hidden="false" customHeight="false" outlineLevel="0" collapsed="false">
      <c r="BZ470" s="0" t="n">
        <v>2.35784156259318</v>
      </c>
      <c r="CA470" s="0" t="n">
        <v>40.2997892070155</v>
      </c>
      <c r="CB470" s="0" t="n">
        <v>40.3263420583806</v>
      </c>
      <c r="CC470" s="0" t="n">
        <v>0.026552851365139</v>
      </c>
      <c r="CD470" s="20" t="n">
        <f aca="false">(CC470)^2</f>
        <v>0.000705053915619162</v>
      </c>
      <c r="CG470" s="0" t="n">
        <v>2.35784156259318</v>
      </c>
      <c r="CH470" s="0" t="n">
        <v>40.6339973531312</v>
      </c>
      <c r="CI470" s="0" t="n">
        <v>40.3264007404092</v>
      </c>
      <c r="CJ470" s="0" t="n">
        <v>-0.307596612722001</v>
      </c>
      <c r="CK470" s="20" t="n">
        <f aca="false">(CJ470)^2</f>
        <v>0.0946156761580489</v>
      </c>
      <c r="CN470" s="0" t="n">
        <v>2.35784156259318</v>
      </c>
      <c r="CO470" s="0" t="n">
        <v>40.5441365693462</v>
      </c>
      <c r="CP470" s="0" t="n">
        <v>40.3264007404092</v>
      </c>
      <c r="CQ470" s="0" t="n">
        <v>-0.217735828936952</v>
      </c>
      <c r="CR470" s="20" t="n">
        <f aca="false">(CQ470)^2</f>
        <v>0.0474088912028617</v>
      </c>
      <c r="CU470" s="0" t="n">
        <v>1.48572142648158</v>
      </c>
      <c r="CV470" s="0" t="n">
        <v>2.12659376229556</v>
      </c>
      <c r="CW470" s="0" t="n">
        <v>2.35784156259318</v>
      </c>
      <c r="CX470" s="0" t="n">
        <v>0.231247800297619</v>
      </c>
      <c r="CY470" s="20" t="n">
        <f aca="false">(CX470)^2</f>
        <v>0.0534755451424875</v>
      </c>
      <c r="DC470" s="0" t="n">
        <v>1.56423218661249</v>
      </c>
      <c r="DD470" s="0" t="e">
        <v>#VALUE!</v>
      </c>
      <c r="DE470" s="0" t="n">
        <v>0</v>
      </c>
      <c r="DF470" s="0" t="e">
        <v>#VALUE!</v>
      </c>
      <c r="DJ470" s="0" t="n">
        <v>1.56423218661249</v>
      </c>
      <c r="DK470" s="0" t="n">
        <v>98.5828935110417</v>
      </c>
      <c r="DL470" s="0" t="n">
        <v>39.7119114592515</v>
      </c>
      <c r="DM470" s="0" t="n">
        <v>-58.8709820517902</v>
      </c>
      <c r="DQ470" s="0" t="n">
        <v>1.56423218661249</v>
      </c>
      <c r="DR470" s="0" t="n">
        <v>101.677366173406</v>
      </c>
      <c r="DS470" s="0" t="n">
        <v>40.3675165950432</v>
      </c>
      <c r="DT470" s="0" t="n">
        <v>-61.309849578363</v>
      </c>
      <c r="DX470" s="0" t="n">
        <v>1.56423218661249</v>
      </c>
      <c r="DY470" s="0" t="n">
        <v>99.7482032073035</v>
      </c>
      <c r="DZ470" s="0" t="n">
        <v>40.3675165950432</v>
      </c>
      <c r="EA470" s="0" t="n">
        <v>-59.3806866122602</v>
      </c>
    </row>
    <row r="471" customFormat="false" ht="12.8" hidden="false" customHeight="false" outlineLevel="0" collapsed="false">
      <c r="BZ471" s="0" t="n">
        <v>2.04990126579397</v>
      </c>
      <c r="CA471" s="0" t="n">
        <v>39.9305043477551</v>
      </c>
      <c r="CB471" s="0" t="n">
        <v>39.7238406799932</v>
      </c>
      <c r="CC471" s="0" t="n">
        <v>-0.206663667761937</v>
      </c>
      <c r="CD471" s="20" t="n">
        <f aca="false">(CC471)^2</f>
        <v>0.0427098715728163</v>
      </c>
      <c r="CG471" s="0" t="n">
        <v>2.04990126579397</v>
      </c>
      <c r="CH471" s="0" t="n">
        <v>40.3780667019876</v>
      </c>
      <c r="CI471" s="0" t="n">
        <v>40.2529720067542</v>
      </c>
      <c r="CJ471" s="0" t="n">
        <v>-0.125094695233386</v>
      </c>
      <c r="CK471" s="20" t="n">
        <f aca="false">(CJ471)^2</f>
        <v>0.0156486827755338</v>
      </c>
      <c r="CN471" s="0" t="n">
        <v>2.04990126579397</v>
      </c>
      <c r="CO471" s="0" t="n">
        <v>40.203013673129</v>
      </c>
      <c r="CP471" s="0" t="n">
        <v>40.0756659371669</v>
      </c>
      <c r="CQ471" s="0" t="n">
        <v>-0.127347735962054</v>
      </c>
      <c r="CR471" s="20" t="n">
        <f aca="false">(CQ471)^2</f>
        <v>0.0162174458546611</v>
      </c>
      <c r="CU471" s="0" t="n">
        <v>1.39967372148104</v>
      </c>
      <c r="CV471" s="0" t="n">
        <v>2.02234873378523</v>
      </c>
      <c r="CW471" s="0" t="n">
        <v>2.04990126579397</v>
      </c>
      <c r="CX471" s="0" t="n">
        <v>0.0275525320087446</v>
      </c>
      <c r="CY471" s="20" t="n">
        <f aca="false">(CX471)^2</f>
        <v>0.000759142020092898</v>
      </c>
      <c r="DC471" s="0" t="n">
        <v>1.84744322960342</v>
      </c>
      <c r="DD471" s="0" t="e">
        <v>#VALUE!</v>
      </c>
      <c r="DE471" s="0" t="n">
        <v>0</v>
      </c>
      <c r="DF471" s="0" t="e">
        <v>#VALUE!</v>
      </c>
      <c r="DJ471" s="0" t="n">
        <v>1.84744322960342</v>
      </c>
      <c r="DK471" s="0" t="n">
        <v>109.465387890427</v>
      </c>
      <c r="DL471" s="0" t="n">
        <v>39.8158956218551</v>
      </c>
      <c r="DM471" s="0" t="n">
        <v>-69.649492268572</v>
      </c>
      <c r="DQ471" s="0" t="n">
        <v>1.84744322960342</v>
      </c>
      <c r="DR471" s="0" t="n">
        <v>112.907298108931</v>
      </c>
      <c r="DS471" s="0" t="n">
        <v>40.2813702480347</v>
      </c>
      <c r="DT471" s="0" t="n">
        <v>-72.6259278608966</v>
      </c>
      <c r="DX471" s="0" t="n">
        <v>1.84744322960342</v>
      </c>
      <c r="DY471" s="0" t="n">
        <v>110.765065414361</v>
      </c>
      <c r="DZ471" s="0" t="n">
        <v>40.2813702480347</v>
      </c>
      <c r="EA471" s="0" t="n">
        <v>-70.4836951663263</v>
      </c>
    </row>
    <row r="472" customFormat="false" ht="12.8" hidden="false" customHeight="false" outlineLevel="0" collapsed="false">
      <c r="BZ472" s="0" t="n">
        <v>2.20522175876517</v>
      </c>
      <c r="CA472" s="0" t="n">
        <v>40.1167661231165</v>
      </c>
      <c r="CB472" s="0" t="n">
        <v>40.069553025812</v>
      </c>
      <c r="CC472" s="0" t="n">
        <v>-0.0472130973044642</v>
      </c>
      <c r="CD472" s="20" t="n">
        <f aca="false">(CC472)^2</f>
        <v>0.00222907655708081</v>
      </c>
      <c r="CG472" s="0" t="n">
        <v>2.20522175876517</v>
      </c>
      <c r="CH472" s="0" t="n">
        <v>40.507154305381</v>
      </c>
      <c r="CI472" s="0" t="n">
        <v>41.2641577153917</v>
      </c>
      <c r="CJ472" s="0" t="n">
        <v>0.757003410010697</v>
      </c>
      <c r="CK472" s="20" t="n">
        <f aca="false">(CJ472)^2</f>
        <v>0.573054162767823</v>
      </c>
      <c r="CN472" s="0" t="n">
        <v>2.20522175876517</v>
      </c>
      <c r="CO472" s="0" t="n">
        <v>40.3750709743492</v>
      </c>
      <c r="CP472" s="0" t="n">
        <v>40.7238661685937</v>
      </c>
      <c r="CQ472" s="0" t="n">
        <v>0.348795194244545</v>
      </c>
      <c r="CR472" s="20" t="n">
        <f aca="false">(CQ472)^2</f>
        <v>0.12165808752809</v>
      </c>
      <c r="CU472" s="0" t="n">
        <v>1.3384564936046</v>
      </c>
      <c r="CV472" s="0" t="n">
        <v>1.94818531867423</v>
      </c>
      <c r="CW472" s="0" t="n">
        <v>2.20522175876517</v>
      </c>
      <c r="CX472" s="0" t="n">
        <v>0.257036440090936</v>
      </c>
      <c r="CY472" s="20" t="n">
        <f aca="false">(CX472)^2</f>
        <v>0.0660677315346215</v>
      </c>
      <c r="DC472" s="0" t="n">
        <v>1.70817954621746</v>
      </c>
      <c r="DD472" s="0" t="e">
        <v>#VALUE!</v>
      </c>
      <c r="DE472" s="0" t="n">
        <v>0</v>
      </c>
      <c r="DF472" s="0" t="e">
        <v>#VALUE!</v>
      </c>
      <c r="DJ472" s="0" t="n">
        <v>1.70817954621746</v>
      </c>
      <c r="DK472" s="0" t="n">
        <v>104.114126740103</v>
      </c>
      <c r="DL472" s="0" t="n">
        <v>39.9770046637507</v>
      </c>
      <c r="DM472" s="0" t="n">
        <v>-64.137122076352</v>
      </c>
      <c r="DQ472" s="0" t="n">
        <v>1.70817954621746</v>
      </c>
      <c r="DR472" s="0" t="n">
        <v>107.385191099972</v>
      </c>
      <c r="DS472" s="0" t="n">
        <v>40.5618565782759</v>
      </c>
      <c r="DT472" s="0" t="n">
        <v>-66.8233345216963</v>
      </c>
      <c r="DX472" s="0" t="n">
        <v>1.70817954621746</v>
      </c>
      <c r="DY472" s="0" t="n">
        <v>105.347731421634</v>
      </c>
      <c r="DZ472" s="0" t="n">
        <v>40.2717584423895</v>
      </c>
      <c r="EA472" s="0" t="n">
        <v>-65.0759729792446</v>
      </c>
    </row>
    <row r="473" customFormat="false" ht="12.8" hidden="false" customHeight="false" outlineLevel="0" collapsed="false">
      <c r="BZ473" s="0" t="n">
        <v>1.96796675188098</v>
      </c>
      <c r="CA473" s="0" t="n">
        <v>39.8322477189429</v>
      </c>
      <c r="CB473" s="0" t="n">
        <v>39.8138398098754</v>
      </c>
      <c r="CC473" s="0" t="n">
        <v>-0.018407909067534</v>
      </c>
      <c r="CD473" s="20" t="n">
        <f aca="false">(CC473)^2</f>
        <v>0.0003388511162386</v>
      </c>
      <c r="CG473" s="0" t="n">
        <v>1.96796675188098</v>
      </c>
      <c r="CH473" s="0" t="n">
        <v>40.3099705362215</v>
      </c>
      <c r="CI473" s="0" t="n">
        <v>40.2861528339909</v>
      </c>
      <c r="CJ473" s="0" t="n">
        <v>-0.0238177022306374</v>
      </c>
      <c r="CK473" s="20" t="n">
        <f aca="false">(CJ473)^2</f>
        <v>0.00056728293954731</v>
      </c>
      <c r="CN473" s="0" t="n">
        <v>1.96796675188098</v>
      </c>
      <c r="CO473" s="0" t="n">
        <v>40.1122501745656</v>
      </c>
      <c r="CP473" s="0" t="n">
        <v>39.8999512285901</v>
      </c>
      <c r="CQ473" s="0" t="n">
        <v>-0.212298945975462</v>
      </c>
      <c r="CR473" s="20" t="n">
        <f aca="false">(CQ473)^2</f>
        <v>0.0450708424622922</v>
      </c>
      <c r="CU473" s="0" t="n">
        <v>1.25527250510331</v>
      </c>
      <c r="CV473" s="0" t="n">
        <v>1.847409623926</v>
      </c>
      <c r="CW473" s="0" t="n">
        <v>1.96796675188098</v>
      </c>
      <c r="CX473" s="0" t="n">
        <v>0.120557127954979</v>
      </c>
      <c r="CY473" s="20" t="n">
        <f aca="false">(CX473)^2</f>
        <v>0.0145340211007532</v>
      </c>
      <c r="DC473" s="0" t="n">
        <v>1.57968225691357</v>
      </c>
      <c r="DD473" s="0" t="e">
        <v>#VALUE!</v>
      </c>
      <c r="DE473" s="0" t="n">
        <v>0</v>
      </c>
      <c r="DF473" s="0" t="e">
        <v>#VALUE!</v>
      </c>
      <c r="DJ473" s="0" t="n">
        <v>1.57968225691357</v>
      </c>
      <c r="DK473" s="0" t="n">
        <v>99.1765684660751</v>
      </c>
      <c r="DL473" s="0" t="n">
        <v>39.0888685217564</v>
      </c>
      <c r="DM473" s="0" t="n">
        <v>-60.0876999443187</v>
      </c>
      <c r="DQ473" s="0" t="n">
        <v>1.57968225691357</v>
      </c>
      <c r="DR473" s="0" t="n">
        <v>102.289994960928</v>
      </c>
      <c r="DS473" s="0" t="n">
        <v>39.807392282766</v>
      </c>
      <c r="DT473" s="0" t="n">
        <v>-62.4826026781616</v>
      </c>
      <c r="DX473" s="0" t="n">
        <v>1.57968225691357</v>
      </c>
      <c r="DY473" s="0" t="n">
        <v>100.349208358087</v>
      </c>
      <c r="DZ473" s="0" t="n">
        <v>39.2678630647137</v>
      </c>
      <c r="EA473" s="0" t="n">
        <v>-61.0813452933734</v>
      </c>
    </row>
    <row r="474" customFormat="false" ht="12.8" hidden="false" customHeight="false" outlineLevel="0" collapsed="false">
      <c r="BZ474" s="0" t="n">
        <v>1.83307698166838</v>
      </c>
      <c r="CA474" s="0" t="n">
        <v>39.6704866557551</v>
      </c>
      <c r="CB474" s="0" t="n">
        <v>39.0981383321098</v>
      </c>
      <c r="CC474" s="0" t="n">
        <v>-0.572348323645301</v>
      </c>
      <c r="CD474" s="20" t="n">
        <f aca="false">(CC474)^2</f>
        <v>0.327582603579586</v>
      </c>
      <c r="CG474" s="0" t="n">
        <v>1.83307698166838</v>
      </c>
      <c r="CH474" s="0" t="n">
        <v>40.1978630040734</v>
      </c>
      <c r="CI474" s="0" t="n">
        <v>39.9333875133335</v>
      </c>
      <c r="CJ474" s="0" t="n">
        <v>-0.264475490739898</v>
      </c>
      <c r="CK474" s="20" t="n">
        <f aca="false">(CJ474)^2</f>
        <v>0.0699472852021097</v>
      </c>
      <c r="CN474" s="0" t="n">
        <v>1.83307698166838</v>
      </c>
      <c r="CO474" s="0" t="n">
        <v>39.9628251413261</v>
      </c>
      <c r="CP474" s="0" t="n">
        <v>39.7399913960693</v>
      </c>
      <c r="CQ474" s="0" t="n">
        <v>-0.222833745256793</v>
      </c>
      <c r="CR474" s="20" t="n">
        <f aca="false">(CQ474)^2</f>
        <v>0.0496548780251692</v>
      </c>
      <c r="CU474" s="0" t="n">
        <v>1.22010808804006</v>
      </c>
      <c r="CV474" s="0" t="n">
        <v>1.80480865439073</v>
      </c>
      <c r="CW474" s="0" t="n">
        <v>1.83307698166838</v>
      </c>
      <c r="CX474" s="0" t="n">
        <v>0.0282683272776483</v>
      </c>
      <c r="CY474" s="20" t="n">
        <f aca="false">(CX474)^2</f>
        <v>0.000799098327076234</v>
      </c>
      <c r="DC474" s="0" t="n">
        <v>2.37246173690123</v>
      </c>
      <c r="DD474" s="0" t="e">
        <v>#VALUE!</v>
      </c>
      <c r="DE474" s="0" t="n">
        <v>0</v>
      </c>
      <c r="DF474" s="0" t="e">
        <v>#VALUE!</v>
      </c>
      <c r="DJ474" s="0" t="n">
        <v>2.37246173690123</v>
      </c>
      <c r="DK474" s="0" t="n">
        <v>129.639428049323</v>
      </c>
      <c r="DL474" s="0" t="n">
        <v>40.3263420583806</v>
      </c>
      <c r="DM474" s="0" t="n">
        <v>-89.3130859909422</v>
      </c>
      <c r="DQ474" s="0" t="n">
        <v>2.37246173690123</v>
      </c>
      <c r="DR474" s="0" t="n">
        <v>133.725420310594</v>
      </c>
      <c r="DS474" s="0" t="n">
        <v>40.3264007404092</v>
      </c>
      <c r="DT474" s="0" t="n">
        <v>-93.3990195701845</v>
      </c>
      <c r="DX474" s="0" t="n">
        <v>2.37246173690123</v>
      </c>
      <c r="DY474" s="0" t="n">
        <v>131.188197542158</v>
      </c>
      <c r="DZ474" s="0" t="n">
        <v>40.3264007404092</v>
      </c>
      <c r="EA474" s="0" t="n">
        <v>-90.861796801749</v>
      </c>
    </row>
    <row r="475" customFormat="false" ht="12.8" hidden="false" customHeight="false" outlineLevel="0" collapsed="false">
      <c r="BZ475" s="0" t="n">
        <v>2.24498078176473</v>
      </c>
      <c r="CA475" s="0" t="n">
        <v>40.1644455121582</v>
      </c>
      <c r="CB475" s="0" t="n">
        <v>40.6295612869068</v>
      </c>
      <c r="CC475" s="0" t="n">
        <v>0.46511577474859</v>
      </c>
      <c r="CD475" s="20" t="n">
        <f aca="false">(CC475)^2</f>
        <v>0.216332683919981</v>
      </c>
      <c r="CG475" s="0" t="n">
        <v>2.24498078176473</v>
      </c>
      <c r="CH475" s="0" t="n">
        <v>40.5401982192529</v>
      </c>
      <c r="CI475" s="0" t="n">
        <v>40.9807675767649</v>
      </c>
      <c r="CJ475" s="0" t="n">
        <v>0.440569357512025</v>
      </c>
      <c r="CK475" s="20" t="n">
        <f aca="false">(CJ475)^2</f>
        <v>0.194101358778559</v>
      </c>
      <c r="CN475" s="0" t="n">
        <v>2.24498078176473</v>
      </c>
      <c r="CO475" s="0" t="n">
        <v>40.4191142944906</v>
      </c>
      <c r="CP475" s="0" t="n">
        <v>40.9807675767649</v>
      </c>
      <c r="CQ475" s="0" t="n">
        <v>0.561653282274307</v>
      </c>
      <c r="CR475" s="20" t="n">
        <f aca="false">(CQ475)^2</f>
        <v>0.315454409489502</v>
      </c>
      <c r="CU475" s="0" t="n">
        <v>1.50514997831991</v>
      </c>
      <c r="CV475" s="0" t="n">
        <v>2.15013105408374</v>
      </c>
      <c r="CW475" s="0" t="n">
        <v>2.24498078176473</v>
      </c>
      <c r="CX475" s="0" t="n">
        <v>0.0948497276809852</v>
      </c>
      <c r="CY475" s="20" t="n">
        <f aca="false">(CX475)^2</f>
        <v>0.00899647084115705</v>
      </c>
      <c r="DC475" s="0" t="n">
        <v>2.00306036143839</v>
      </c>
      <c r="DD475" s="0" t="e">
        <v>#VALUE!</v>
      </c>
      <c r="DE475" s="0" t="n">
        <v>0</v>
      </c>
      <c r="DF475" s="0" t="e">
        <v>#VALUE!</v>
      </c>
      <c r="DJ475" s="0" t="n">
        <v>2.00306036143839</v>
      </c>
      <c r="DK475" s="0" t="n">
        <v>115.445036652161</v>
      </c>
      <c r="DL475" s="0" t="n">
        <v>39.8138398098754</v>
      </c>
      <c r="DM475" s="0" t="n">
        <v>-75.6311968422858</v>
      </c>
      <c r="DQ475" s="0" t="n">
        <v>2.00306036143839</v>
      </c>
      <c r="DR475" s="0" t="n">
        <v>119.077854807754</v>
      </c>
      <c r="DS475" s="0" t="n">
        <v>40.2861528339909</v>
      </c>
      <c r="DT475" s="0" t="n">
        <v>-78.7917019737636</v>
      </c>
      <c r="DX475" s="0" t="n">
        <v>2.00306036143839</v>
      </c>
      <c r="DY475" s="0" t="n">
        <v>116.818545816742</v>
      </c>
      <c r="DZ475" s="0" t="n">
        <v>39.8999512285901</v>
      </c>
      <c r="EA475" s="0" t="n">
        <v>-76.9185945881515</v>
      </c>
    </row>
    <row r="476" customFormat="false" ht="12.8" hidden="false" customHeight="false" outlineLevel="0" collapsed="false">
      <c r="BZ476" s="0" t="n">
        <v>2.15959850059392</v>
      </c>
      <c r="CA476" s="0" t="n">
        <v>40.0620542888814</v>
      </c>
      <c r="CB476" s="0" t="n">
        <v>40.2970404904863</v>
      </c>
      <c r="CC476" s="0" t="n">
        <v>0.234986201604883</v>
      </c>
      <c r="CD476" s="20" t="n">
        <f aca="false">(CC476)^2</f>
        <v>0.0552185149446908</v>
      </c>
      <c r="CG476" s="0" t="n">
        <v>2.15959850059392</v>
      </c>
      <c r="CH476" s="0" t="n">
        <v>40.4692365976551</v>
      </c>
      <c r="CI476" s="0" t="n">
        <v>40.7309227353314</v>
      </c>
      <c r="CJ476" s="0" t="n">
        <v>0.2616861376763</v>
      </c>
      <c r="CK476" s="20" t="n">
        <f aca="false">(CJ476)^2</f>
        <v>0.0684796346519393</v>
      </c>
      <c r="CN476" s="0" t="n">
        <v>2.15959850059392</v>
      </c>
      <c r="CO476" s="0" t="n">
        <v>40.3245315089917</v>
      </c>
      <c r="CP476" s="0" t="n">
        <v>40.7309227353314</v>
      </c>
      <c r="CQ476" s="0" t="n">
        <v>0.406391226339679</v>
      </c>
      <c r="CR476" s="20" t="n">
        <f aca="false">(CQ476)^2</f>
        <v>0.165153828845868</v>
      </c>
      <c r="CU476" s="0" t="n">
        <v>1.45788189673399</v>
      </c>
      <c r="CV476" s="0" t="n">
        <v>2.09286674340257</v>
      </c>
      <c r="CW476" s="0" t="n">
        <v>2.15959850059392</v>
      </c>
      <c r="CX476" s="0" t="n">
        <v>0.0667317571913513</v>
      </c>
      <c r="CY476" s="20" t="n">
        <f aca="false">(CX476)^2</f>
        <v>0.00445312741784546</v>
      </c>
      <c r="DC476" s="0" t="n">
        <v>2.15672838520209</v>
      </c>
      <c r="DD476" s="0" t="e">
        <v>#VALUE!</v>
      </c>
      <c r="DE476" s="0" t="n">
        <v>0</v>
      </c>
      <c r="DF476" s="0" t="e">
        <v>#VALUE!</v>
      </c>
      <c r="DJ476" s="0" t="n">
        <v>2.15672838520209</v>
      </c>
      <c r="DK476" s="0" t="n">
        <v>121.349790178857</v>
      </c>
      <c r="DL476" s="0" t="n">
        <v>39.5808250944804</v>
      </c>
      <c r="DM476" s="0" t="n">
        <v>-81.7689650843761</v>
      </c>
      <c r="DQ476" s="0" t="n">
        <v>2.15672838520209</v>
      </c>
      <c r="DR476" s="0" t="n">
        <v>125.171125145339</v>
      </c>
      <c r="DS476" s="0" t="n">
        <v>40.2880850465456</v>
      </c>
      <c r="DT476" s="0" t="n">
        <v>-84.8830400987934</v>
      </c>
      <c r="DX476" s="0" t="n">
        <v>2.15672838520209</v>
      </c>
      <c r="DY476" s="0" t="n">
        <v>122.796206241126</v>
      </c>
      <c r="DZ476" s="0" t="n">
        <v>39.4996349548837</v>
      </c>
      <c r="EA476" s="0" t="n">
        <v>-83.2965712862424</v>
      </c>
    </row>
    <row r="477" customFormat="false" ht="12.8" hidden="false" customHeight="false" outlineLevel="0" collapsed="false">
      <c r="BZ477" s="0" t="n">
        <v>1.62445521813276</v>
      </c>
      <c r="CA477" s="0" t="n">
        <v>39.4203055025034</v>
      </c>
      <c r="CB477" s="0" t="n">
        <v>39.5808250944804</v>
      </c>
      <c r="CC477" s="0" t="n">
        <v>0.160519591976993</v>
      </c>
      <c r="CD477" s="20" t="n">
        <f aca="false">(CC477)^2</f>
        <v>0.0257665394084602</v>
      </c>
      <c r="CG477" s="0" t="n">
        <v>1.62445521813276</v>
      </c>
      <c r="CH477" s="0" t="n">
        <v>40.0244764601901</v>
      </c>
      <c r="CI477" s="0" t="n">
        <v>40.2880850465456</v>
      </c>
      <c r="CJ477" s="0" t="n">
        <v>0.263608586355467</v>
      </c>
      <c r="CK477" s="20" t="n">
        <f aca="false">(CJ477)^2</f>
        <v>0.0694894868003277</v>
      </c>
      <c r="CN477" s="0" t="n">
        <v>1.62445521813276</v>
      </c>
      <c r="CO477" s="0" t="n">
        <v>39.7317230058442</v>
      </c>
      <c r="CP477" s="0" t="n">
        <v>39.4996349548837</v>
      </c>
      <c r="CQ477" s="0" t="n">
        <v>-0.232088050960542</v>
      </c>
      <c r="CR477" s="20" t="n">
        <f aca="false">(CQ477)^2</f>
        <v>0.053864863398663</v>
      </c>
      <c r="CU477" s="0" t="n">
        <v>1.39269695325967</v>
      </c>
      <c r="CV477" s="0" t="n">
        <v>2.01389652228066</v>
      </c>
      <c r="CW477" s="0" t="n">
        <v>1.62445521813276</v>
      </c>
      <c r="CX477" s="0" t="n">
        <v>-0.389441304147903</v>
      </c>
      <c r="CY477" s="20" t="n">
        <f aca="false">(CX477)^2</f>
        <v>0.15166452937642</v>
      </c>
      <c r="DC477" s="0" t="n">
        <v>1.78422575681948</v>
      </c>
      <c r="DD477" s="0" t="e">
        <v>#VALUE!</v>
      </c>
      <c r="DE477" s="0" t="n">
        <v>0</v>
      </c>
      <c r="DF477" s="0" t="e">
        <v>#VALUE!</v>
      </c>
      <c r="DJ477" s="0" t="n">
        <v>1.78422575681948</v>
      </c>
      <c r="DK477" s="0" t="n">
        <v>107.036231933143</v>
      </c>
      <c r="DL477" s="0" t="n">
        <v>40.3643638589132</v>
      </c>
      <c r="DM477" s="0" t="n">
        <v>-66.6718680742294</v>
      </c>
      <c r="DQ477" s="0" t="n">
        <v>1.78422575681948</v>
      </c>
      <c r="DR477" s="0" t="n">
        <v>110.400588239845</v>
      </c>
      <c r="DS477" s="0" t="n">
        <v>41.0286745143046</v>
      </c>
      <c r="DT477" s="0" t="n">
        <v>-69.3719137255406</v>
      </c>
      <c r="DX477" s="0" t="n">
        <v>1.78422575681948</v>
      </c>
      <c r="DY477" s="0" t="n">
        <v>108.305916295796</v>
      </c>
      <c r="DZ477" s="0" t="n">
        <v>40.3849932800756</v>
      </c>
      <c r="EA477" s="0" t="n">
        <v>-67.9209230157202</v>
      </c>
    </row>
    <row r="478" customFormat="false" ht="12.8" hidden="false" customHeight="false" outlineLevel="0" collapsed="false">
      <c r="BZ478" s="0" t="n">
        <v>1.8596134656703</v>
      </c>
      <c r="CA478" s="0" t="n">
        <v>39.7023094534265</v>
      </c>
      <c r="CB478" s="0" t="n">
        <v>40.3643638589132</v>
      </c>
      <c r="CC478" s="0" t="n">
        <v>0.662054405486707</v>
      </c>
      <c r="CD478" s="20" t="n">
        <f aca="false">(CC478)^2</f>
        <v>0.438316035824357</v>
      </c>
      <c r="CG478" s="0" t="n">
        <v>1.8596134656703</v>
      </c>
      <c r="CH478" s="0" t="n">
        <v>40.2199176026442</v>
      </c>
      <c r="CI478" s="0" t="n">
        <v>41.0286745143046</v>
      </c>
      <c r="CJ478" s="0" t="n">
        <v>0.808756911660417</v>
      </c>
      <c r="CK478" s="20" t="n">
        <f aca="false">(CJ478)^2</f>
        <v>0.654087742158496</v>
      </c>
      <c r="CN478" s="0" t="n">
        <v>1.8596134656703</v>
      </c>
      <c r="CO478" s="0" t="n">
        <v>39.9922211066228</v>
      </c>
      <c r="CP478" s="0" t="n">
        <v>40.3849932800756</v>
      </c>
      <c r="CQ478" s="0" t="n">
        <v>0.392772173452833</v>
      </c>
      <c r="CR478" s="20" t="n">
        <f aca="false">(CQ478)^2</f>
        <v>0.154269980238863</v>
      </c>
      <c r="CU478" s="0" t="n">
        <v>1.50379068305718</v>
      </c>
      <c r="CV478" s="0" t="n">
        <v>2.14848429577199</v>
      </c>
      <c r="CW478" s="0" t="n">
        <v>1.8596134656703</v>
      </c>
      <c r="CX478" s="0" t="n">
        <v>-0.288870830101688</v>
      </c>
      <c r="CY478" s="20" t="n">
        <f aca="false">(CX478)^2</f>
        <v>0.083446356483638</v>
      </c>
      <c r="DC478" s="0" t="n">
        <v>1.79879437718644</v>
      </c>
      <c r="DD478" s="0" t="e">
        <v>#VALUE!</v>
      </c>
      <c r="DE478" s="0" t="n">
        <v>0</v>
      </c>
      <c r="DF478" s="0" t="e">
        <v>#VALUE!</v>
      </c>
      <c r="DJ478" s="0" t="n">
        <v>1.79879437718644</v>
      </c>
      <c r="DK478" s="0" t="n">
        <v>107.596036831936</v>
      </c>
      <c r="DL478" s="0" t="n">
        <v>39.8907352023789</v>
      </c>
      <c r="DM478" s="0" t="n">
        <v>-67.7053016295576</v>
      </c>
      <c r="DQ478" s="0" t="n">
        <v>1.79879437718644</v>
      </c>
      <c r="DR478" s="0" t="n">
        <v>110.978265626248</v>
      </c>
      <c r="DS478" s="0" t="n">
        <v>40.3666338830954</v>
      </c>
      <c r="DT478" s="0" t="n">
        <v>-70.6116317431527</v>
      </c>
      <c r="DX478" s="0" t="n">
        <v>1.79879437718644</v>
      </c>
      <c r="DY478" s="0" t="n">
        <v>108.872633191559</v>
      </c>
      <c r="DZ478" s="0" t="n">
        <v>40.0674853105121</v>
      </c>
      <c r="EA478" s="0" t="n">
        <v>-68.8051478810471</v>
      </c>
    </row>
    <row r="479" customFormat="false" ht="12.8" hidden="false" customHeight="false" outlineLevel="0" collapsed="false">
      <c r="BZ479" s="0" t="n">
        <v>2.46994216668405</v>
      </c>
      <c r="CA479" s="0" t="n">
        <v>40.4342212908804</v>
      </c>
      <c r="CB479" s="0" t="n">
        <v>41.0032839602938</v>
      </c>
      <c r="CC479" s="0" t="n">
        <v>0.569062669413441</v>
      </c>
      <c r="CD479" s="20" t="n">
        <f aca="false">(CC479)^2</f>
        <v>0.323832321719951</v>
      </c>
      <c r="CG479" s="0" t="n">
        <v>2.46994216668405</v>
      </c>
      <c r="CH479" s="0" t="n">
        <v>40.7271647004929</v>
      </c>
      <c r="CI479" s="0" t="n">
        <v>41.1844537060535</v>
      </c>
      <c r="CJ479" s="0" t="n">
        <v>0.457289005560561</v>
      </c>
      <c r="CK479" s="20" t="n">
        <f aca="false">(CJ479)^2</f>
        <v>0.209113234606567</v>
      </c>
      <c r="CN479" s="0" t="n">
        <v>2.46994216668405</v>
      </c>
      <c r="CO479" s="0" t="n">
        <v>40.6683167534034</v>
      </c>
      <c r="CP479" s="0" t="n">
        <v>41.1844537060535</v>
      </c>
      <c r="CQ479" s="0" t="n">
        <v>0.516136952650086</v>
      </c>
      <c r="CR479" s="20" t="n">
        <f aca="false">(CQ479)^2</f>
        <v>0.266397353890917</v>
      </c>
      <c r="CU479" s="0" t="n">
        <v>1.76937732607614</v>
      </c>
      <c r="CV479" s="0" t="n">
        <v>2.4702370627203</v>
      </c>
      <c r="CW479" s="0" t="n">
        <v>2.46994216668405</v>
      </c>
      <c r="CX479" s="0" t="n">
        <v>-0.000294896036248993</v>
      </c>
      <c r="CY479" s="20" t="n">
        <f aca="false">(CX479)^2</f>
        <v>8.69636721953673E-008</v>
      </c>
      <c r="DC479" s="0" t="n">
        <v>1.83140139602582</v>
      </c>
      <c r="DD479" s="0" t="e">
        <v>#VALUE!</v>
      </c>
      <c r="DE479" s="0" t="n">
        <v>0</v>
      </c>
      <c r="DF479" s="0" t="e">
        <v>#VALUE!</v>
      </c>
      <c r="DJ479" s="0" t="n">
        <v>1.83140139602582</v>
      </c>
      <c r="DK479" s="0" t="n">
        <v>108.848974201541</v>
      </c>
      <c r="DL479" s="0" t="n">
        <v>39.8855611883631</v>
      </c>
      <c r="DM479" s="0" t="n">
        <v>-68.9634130131781</v>
      </c>
      <c r="DQ479" s="0" t="n">
        <v>1.83140139602582</v>
      </c>
      <c r="DR479" s="0" t="n">
        <v>112.271204624387</v>
      </c>
      <c r="DS479" s="0" t="n">
        <v>40.3210963526474</v>
      </c>
      <c r="DT479" s="0" t="n">
        <v>-71.9501082717399</v>
      </c>
      <c r="DX479" s="0" t="n">
        <v>1.83140139602582</v>
      </c>
      <c r="DY479" s="0" t="n">
        <v>110.141040771089</v>
      </c>
      <c r="DZ479" s="0" t="n">
        <v>40.3210963526474</v>
      </c>
      <c r="EA479" s="0" t="n">
        <v>-69.8199444184421</v>
      </c>
    </row>
    <row r="480" customFormat="false" ht="12.8" hidden="false" customHeight="false" outlineLevel="0" collapsed="false">
      <c r="BZ480" s="0" t="n">
        <v>1.82381405372363</v>
      </c>
      <c r="CA480" s="0" t="n">
        <v>39.6593784666744</v>
      </c>
      <c r="CB480" s="0" t="n">
        <v>39.4879266153321</v>
      </c>
      <c r="CC480" s="0" t="n">
        <v>-0.171451851342283</v>
      </c>
      <c r="CD480" s="20" t="n">
        <f aca="false">(CC480)^2</f>
        <v>0.0293957373286964</v>
      </c>
      <c r="CG480" s="0" t="n">
        <v>1.82381405372363</v>
      </c>
      <c r="CH480" s="0" t="n">
        <v>40.1901645404263</v>
      </c>
      <c r="CI480" s="0" t="n">
        <v>39.8774043417796</v>
      </c>
      <c r="CJ480" s="0" t="n">
        <v>-0.312760198646664</v>
      </c>
      <c r="CK480" s="20" t="n">
        <f aca="false">(CJ480)^2</f>
        <v>0.097818941857501</v>
      </c>
      <c r="CN480" s="0" t="n">
        <v>1.82381405372363</v>
      </c>
      <c r="CO480" s="0" t="n">
        <v>39.952564071759</v>
      </c>
      <c r="CP480" s="0" t="n">
        <v>39.4378067534722</v>
      </c>
      <c r="CQ480" s="0" t="n">
        <v>-0.514757318286804</v>
      </c>
      <c r="CR480" s="20" t="n">
        <f aca="false">(CQ480)^2</f>
        <v>0.264975096729822</v>
      </c>
      <c r="CU480" s="0" t="n">
        <v>1.23044892137827</v>
      </c>
      <c r="CV480" s="0" t="n">
        <v>1.81733636173813</v>
      </c>
      <c r="CW480" s="0" t="n">
        <v>1.82381405372363</v>
      </c>
      <c r="CX480" s="0" t="n">
        <v>0.0064776919854963</v>
      </c>
      <c r="CY480" s="20" t="n">
        <f aca="false">(CX480)^2</f>
        <v>4.1960493458963E-005</v>
      </c>
      <c r="DC480" s="0" t="n">
        <v>2.10676191127965</v>
      </c>
      <c r="DD480" s="0" t="e">
        <v>#VALUE!</v>
      </c>
      <c r="DE480" s="0" t="n">
        <v>0</v>
      </c>
      <c r="DF480" s="0" t="e">
        <v>#VALUE!</v>
      </c>
      <c r="DJ480" s="0" t="n">
        <v>2.10676191127965</v>
      </c>
      <c r="DK480" s="0" t="n">
        <v>119.429809002006</v>
      </c>
      <c r="DL480" s="0" t="n">
        <v>40.8602418490241</v>
      </c>
      <c r="DM480" s="0" t="n">
        <v>-78.5695671529823</v>
      </c>
      <c r="DQ480" s="0" t="n">
        <v>2.10676191127965</v>
      </c>
      <c r="DR480" s="0" t="n">
        <v>123.189846112991</v>
      </c>
      <c r="DS480" s="0" t="n">
        <v>41.2889669095893</v>
      </c>
      <c r="DT480" s="0" t="n">
        <v>-81.9008792034022</v>
      </c>
      <c r="DX480" s="0" t="n">
        <v>2.10676191127965</v>
      </c>
      <c r="DY480" s="0" t="n">
        <v>120.852518762126</v>
      </c>
      <c r="DZ480" s="0" t="n">
        <v>40.7432526092177</v>
      </c>
      <c r="EA480" s="0" t="n">
        <v>-80.1092661529082</v>
      </c>
    </row>
    <row r="481" customFormat="false" ht="12.8" hidden="false" customHeight="false" outlineLevel="0" collapsed="false">
      <c r="BZ481" s="0" t="n">
        <v>1.94462288151652</v>
      </c>
      <c r="CA481" s="0" t="n">
        <v>39.8042535331487</v>
      </c>
      <c r="CB481" s="0" t="n">
        <v>39.8907352023789</v>
      </c>
      <c r="CC481" s="0" t="n">
        <v>0.0864816692302099</v>
      </c>
      <c r="CD481" s="20" t="n">
        <f aca="false">(CC481)^2</f>
        <v>0.00747907911284344</v>
      </c>
      <c r="CG481" s="0" t="n">
        <v>1.94462288151652</v>
      </c>
      <c r="CH481" s="0" t="n">
        <v>40.2905693340902</v>
      </c>
      <c r="CI481" s="0" t="n">
        <v>40.3666338830954</v>
      </c>
      <c r="CJ481" s="0" t="n">
        <v>0.076064549005217</v>
      </c>
      <c r="CK481" s="20" t="n">
        <f aca="false">(CJ481)^2</f>
        <v>0.00578581561536705</v>
      </c>
      <c r="CN481" s="0" t="n">
        <v>1.94462288151652</v>
      </c>
      <c r="CO481" s="0" t="n">
        <v>40.0863908480974</v>
      </c>
      <c r="CP481" s="0" t="n">
        <v>40.0674853105121</v>
      </c>
      <c r="CQ481" s="0" t="n">
        <v>-0.0189055375852689</v>
      </c>
      <c r="CR481" s="20" t="n">
        <f aca="false">(CQ481)^2</f>
        <v>0.000357419351388016</v>
      </c>
      <c r="CU481" s="0" t="n">
        <v>1.24303804868629</v>
      </c>
      <c r="CV481" s="0" t="n">
        <v>1.83258783108455</v>
      </c>
      <c r="CW481" s="0" t="n">
        <v>1.94462288151652</v>
      </c>
      <c r="CX481" s="0" t="n">
        <v>0.112035050431975</v>
      </c>
      <c r="CY481" s="20" t="n">
        <f aca="false">(CX481)^2</f>
        <v>0.0125518525252952</v>
      </c>
      <c r="DC481" s="0" t="n">
        <v>1.87422012754356</v>
      </c>
      <c r="DD481" s="0" t="e">
        <v>#VALUE!</v>
      </c>
      <c r="DE481" s="0" t="n">
        <v>0</v>
      </c>
      <c r="DF481" s="0" t="e">
        <v>#VALUE!</v>
      </c>
      <c r="DJ481" s="0" t="n">
        <v>1.87422012754356</v>
      </c>
      <c r="DK481" s="0" t="n">
        <v>110.494300598963</v>
      </c>
      <c r="DL481" s="0" t="n">
        <v>39.5307026003539</v>
      </c>
      <c r="DM481" s="0" t="n">
        <v>-70.9635979986087</v>
      </c>
      <c r="DQ481" s="0" t="n">
        <v>1.87422012754356</v>
      </c>
      <c r="DR481" s="0" t="n">
        <v>113.969060172079</v>
      </c>
      <c r="DS481" s="0" t="n">
        <v>40.3112205857885</v>
      </c>
      <c r="DT481" s="0" t="n">
        <v>-73.6578395862906</v>
      </c>
      <c r="DX481" s="0" t="n">
        <v>1.87422012754356</v>
      </c>
      <c r="DY481" s="0" t="n">
        <v>111.806682265962</v>
      </c>
      <c r="DZ481" s="0" t="n">
        <v>39.8411325938</v>
      </c>
      <c r="EA481" s="0" t="n">
        <v>-71.9655496721624</v>
      </c>
    </row>
    <row r="482" customFormat="false" ht="12.8" hidden="false" customHeight="false" outlineLevel="0" collapsed="false">
      <c r="BZ482" s="0" t="n">
        <v>1.91210243315721</v>
      </c>
      <c r="CA482" s="0" t="n">
        <v>39.7652547099343</v>
      </c>
      <c r="CB482" s="0" t="n">
        <v>39.8855611883631</v>
      </c>
      <c r="CC482" s="0" t="n">
        <v>0.120306478428773</v>
      </c>
      <c r="CD482" s="20" t="n">
        <f aca="false">(CC482)^2</f>
        <v>0.0144736487519329</v>
      </c>
      <c r="CG482" s="0" t="n">
        <v>1.91210243315721</v>
      </c>
      <c r="CH482" s="0" t="n">
        <v>40.2635414341674</v>
      </c>
      <c r="CI482" s="0" t="n">
        <v>40.3210963526474</v>
      </c>
      <c r="CJ482" s="0" t="n">
        <v>0.0575549184800011</v>
      </c>
      <c r="CK482" s="20" t="n">
        <f aca="false">(CJ482)^2</f>
        <v>0.00331256864123957</v>
      </c>
      <c r="CN482" s="0" t="n">
        <v>1.91210243315721</v>
      </c>
      <c r="CO482" s="0" t="n">
        <v>40.050366106789</v>
      </c>
      <c r="CP482" s="0" t="n">
        <v>40.3210963526474</v>
      </c>
      <c r="CQ482" s="0" t="n">
        <v>0.270730245858388</v>
      </c>
      <c r="CR482" s="20" t="n">
        <f aca="false">(CQ482)^2</f>
        <v>0.0732948660225433</v>
      </c>
      <c r="CU482" s="0" t="n">
        <v>1.3096301674259</v>
      </c>
      <c r="CV482" s="0" t="n">
        <v>1.91326281615859</v>
      </c>
      <c r="CW482" s="0" t="n">
        <v>1.91210243315721</v>
      </c>
      <c r="CX482" s="0" t="n">
        <v>-0.00116038300137911</v>
      </c>
      <c r="CY482" s="20" t="n">
        <f aca="false">(CX482)^2</f>
        <v>1.34648870988958E-006</v>
      </c>
      <c r="DC482" s="0" t="n">
        <v>1.7010708609064</v>
      </c>
      <c r="DD482" s="0" t="e">
        <v>#VALUE!</v>
      </c>
      <c r="DE482" s="0" t="n">
        <v>0</v>
      </c>
      <c r="DF482" s="0" t="e">
        <v>#VALUE!</v>
      </c>
      <c r="DJ482" s="0" t="n">
        <v>1.7010708609064</v>
      </c>
      <c r="DK482" s="0" t="n">
        <v>103.840972744674</v>
      </c>
      <c r="DL482" s="0" t="n">
        <v>39.7584397069598</v>
      </c>
      <c r="DM482" s="0" t="n">
        <v>-64.0825330377145</v>
      </c>
      <c r="DQ482" s="0" t="n">
        <v>1.7010708609064</v>
      </c>
      <c r="DR482" s="0" t="n">
        <v>107.103316313766</v>
      </c>
      <c r="DS482" s="0" t="n">
        <v>40.1263375099171</v>
      </c>
      <c r="DT482" s="0" t="n">
        <v>-66.976978803849</v>
      </c>
      <c r="DX482" s="0" t="n">
        <v>1.7010708609064</v>
      </c>
      <c r="DY482" s="0" t="n">
        <v>105.071204751917</v>
      </c>
      <c r="DZ482" s="0" t="n">
        <v>39.9044887603007</v>
      </c>
      <c r="EA482" s="0" t="n">
        <v>-65.1667159916167</v>
      </c>
    </row>
    <row r="483" customFormat="false" ht="12.8" hidden="false" customHeight="false" outlineLevel="0" collapsed="false">
      <c r="BZ483" s="0" t="n">
        <v>2.04195187164556</v>
      </c>
      <c r="CA483" s="0" t="n">
        <v>39.9209713605826</v>
      </c>
      <c r="CB483" s="0" t="n">
        <v>40.8602418490241</v>
      </c>
      <c r="CC483" s="0" t="n">
        <v>0.939270488441522</v>
      </c>
      <c r="CD483" s="20" t="n">
        <f aca="false">(CC483)^2</f>
        <v>0.882229050457176</v>
      </c>
      <c r="CG483" s="0" t="n">
        <v>2.04195187164556</v>
      </c>
      <c r="CH483" s="0" t="n">
        <v>40.371459922551</v>
      </c>
      <c r="CI483" s="0" t="n">
        <v>41.2889669095893</v>
      </c>
      <c r="CJ483" s="0" t="n">
        <v>0.91750698703833</v>
      </c>
      <c r="CK483" s="20" t="n">
        <f aca="false">(CJ483)^2</f>
        <v>0.841819071264154</v>
      </c>
      <c r="CN483" s="0" t="n">
        <v>2.04195187164556</v>
      </c>
      <c r="CO483" s="0" t="n">
        <v>40.1942076792942</v>
      </c>
      <c r="CP483" s="0" t="n">
        <v>40.7432526092177</v>
      </c>
      <c r="CQ483" s="0" t="n">
        <v>0.549044929923468</v>
      </c>
      <c r="CR483" s="20" t="n">
        <f aca="false">(CQ483)^2</f>
        <v>0.301450335074666</v>
      </c>
      <c r="CU483" s="0" t="n">
        <v>1.54900326202579</v>
      </c>
      <c r="CV483" s="0" t="n">
        <v>2.20325840722074</v>
      </c>
      <c r="CW483" s="0" t="n">
        <v>2.04195187164556</v>
      </c>
      <c r="CX483" s="0" t="n">
        <v>-0.161306535575176</v>
      </c>
      <c r="CY483" s="20" t="n">
        <f aca="false">(CX483)^2</f>
        <v>0.0260197984192654</v>
      </c>
    </row>
    <row r="484" customFormat="false" ht="12.8" hidden="false" customHeight="false" outlineLevel="0" collapsed="false">
      <c r="BZ484" s="0" t="n">
        <v>2.02175318417612</v>
      </c>
      <c r="CA484" s="0" t="n">
        <v>39.8967489072794</v>
      </c>
      <c r="CB484" s="0" t="n">
        <v>39.5307026003539</v>
      </c>
      <c r="CC484" s="0" t="n">
        <v>-0.366046306925476</v>
      </c>
      <c r="CD484" s="20" t="n">
        <f aca="false">(CC484)^2</f>
        <v>0.13398989881378</v>
      </c>
      <c r="CG484" s="0" t="n">
        <v>2.02175318417612</v>
      </c>
      <c r="CH484" s="0" t="n">
        <v>40.3546726969425</v>
      </c>
      <c r="CI484" s="0" t="n">
        <v>40.3112205857885</v>
      </c>
      <c r="CJ484" s="0" t="n">
        <v>-0.0434521111540249</v>
      </c>
      <c r="CK484" s="20" t="n">
        <f aca="false">(CJ484)^2</f>
        <v>0.00188808596374174</v>
      </c>
      <c r="CN484" s="0" t="n">
        <v>2.02175318417612</v>
      </c>
      <c r="CO484" s="0" t="n">
        <v>40.1718324499365</v>
      </c>
      <c r="CP484" s="0" t="n">
        <v>39.8411325938</v>
      </c>
      <c r="CQ484" s="0" t="n">
        <v>-0.330699856136533</v>
      </c>
      <c r="CR484" s="20" t="n">
        <f aca="false">(CQ484)^2</f>
        <v>0.109362394848724</v>
      </c>
      <c r="CU484" s="0" t="n">
        <v>1.38021124171161</v>
      </c>
      <c r="CV484" s="0" t="n">
        <v>1.99877033900487</v>
      </c>
      <c r="CW484" s="0" t="n">
        <v>2.02175318417612</v>
      </c>
      <c r="CX484" s="0" t="n">
        <v>0.0229828451712475</v>
      </c>
      <c r="CY484" s="20" t="n">
        <f aca="false">(CX484)^2</f>
        <v>0.000528211172165534</v>
      </c>
      <c r="DC484" s="14" t="s">
        <v>533</v>
      </c>
      <c r="DJ484" s="14" t="s">
        <v>534</v>
      </c>
    </row>
    <row r="485" customFormat="false" ht="12.8" hidden="false" customHeight="false" outlineLevel="0" collapsed="false">
      <c r="BZ485" s="0" t="n">
        <v>2.07570236963626</v>
      </c>
      <c r="CA485" s="0" t="n">
        <v>39.9614452707204</v>
      </c>
      <c r="CB485" s="0" t="n">
        <v>39.4259659076773</v>
      </c>
      <c r="CC485" s="0" t="n">
        <v>-0.535479363043088</v>
      </c>
      <c r="CD485" s="20" t="n">
        <f aca="false">(CC485)^2</f>
        <v>0.286738148245031</v>
      </c>
      <c r="CG485" s="0" t="n">
        <v>2.07570236963626</v>
      </c>
      <c r="CH485" s="0" t="n">
        <v>40.3995101225961</v>
      </c>
      <c r="CI485" s="0" t="n">
        <v>39.794334988839</v>
      </c>
      <c r="CJ485" s="0" t="n">
        <v>-0.605175133757122</v>
      </c>
      <c r="CK485" s="20" t="n">
        <f aca="false">(CJ485)^2</f>
        <v>0.36623694251795</v>
      </c>
      <c r="CN485" s="0" t="n">
        <v>2.07570236963626</v>
      </c>
      <c r="CO485" s="0" t="n">
        <v>40.2315950162002</v>
      </c>
      <c r="CP485" s="0" t="n">
        <v>39.794334988839</v>
      </c>
      <c r="CQ485" s="0" t="n">
        <v>-0.437260027361212</v>
      </c>
      <c r="CR485" s="20" t="n">
        <f aca="false">(CQ485)^2</f>
        <v>0.191196331527928</v>
      </c>
      <c r="CU485" s="0" t="n">
        <v>1.41161970596323</v>
      </c>
      <c r="CV485" s="0" t="n">
        <v>2.03682104879842</v>
      </c>
      <c r="CW485" s="0" t="n">
        <v>2.07570236963626</v>
      </c>
      <c r="CX485" s="0" t="n">
        <v>0.0388813208378438</v>
      </c>
      <c r="CY485" s="20" t="n">
        <f aca="false">(CX485)^2</f>
        <v>0.00151175711009535</v>
      </c>
      <c r="DC485" s="0" t="s">
        <v>78</v>
      </c>
      <c r="DD485" s="0" t="s">
        <v>79</v>
      </c>
      <c r="DJ485" s="0" t="s">
        <v>78</v>
      </c>
      <c r="DK485" s="0" t="s">
        <v>79</v>
      </c>
    </row>
    <row r="486" customFormat="false" ht="12.8" hidden="false" customHeight="false" outlineLevel="0" collapsed="false">
      <c r="BZ486" s="0" t="n">
        <v>2.30379853246947</v>
      </c>
      <c r="CA486" s="0" t="n">
        <v>40.2349803041837</v>
      </c>
      <c r="CB486" s="0" t="n">
        <v>39.9477947317714</v>
      </c>
      <c r="CC486" s="0" t="n">
        <v>-0.287185572412319</v>
      </c>
      <c r="CD486" s="20" t="n">
        <f aca="false">(CC486)^2</f>
        <v>0.0824755530017915</v>
      </c>
      <c r="CG486" s="0" t="n">
        <v>2.30379853246947</v>
      </c>
      <c r="CH486" s="0" t="n">
        <v>40.5890819327296</v>
      </c>
      <c r="CI486" s="0" t="n">
        <v>40.1481123266225</v>
      </c>
      <c r="CJ486" s="0" t="n">
        <v>-0.440969606107082</v>
      </c>
      <c r="CK486" s="20" t="n">
        <f aca="false">(CJ486)^2</f>
        <v>0.194454193510235</v>
      </c>
      <c r="CN486" s="0" t="n">
        <v>2.30379853246947</v>
      </c>
      <c r="CO486" s="0" t="n">
        <v>40.484270046037</v>
      </c>
      <c r="CP486" s="0" t="n">
        <v>40.1481123266225</v>
      </c>
      <c r="CQ486" s="0" t="n">
        <v>-0.336157719414508</v>
      </c>
      <c r="CR486" s="20" t="n">
        <f aca="false">(CQ486)^2</f>
        <v>0.113002012321963</v>
      </c>
      <c r="CU486" s="0" t="n">
        <v>1.45484486000851</v>
      </c>
      <c r="CV486" s="0" t="n">
        <v>2.08918743574372</v>
      </c>
      <c r="CW486" s="0" t="n">
        <v>2.30379853246947</v>
      </c>
      <c r="CX486" s="0" t="n">
        <v>0.214611096725747</v>
      </c>
      <c r="CY486" s="20" t="n">
        <f aca="false">(CX486)^2</f>
        <v>0.046057922837828</v>
      </c>
    </row>
    <row r="487" customFormat="false" ht="12.8" hidden="false" customHeight="false" outlineLevel="0" collapsed="false">
      <c r="BZ487" s="0" t="n">
        <v>1.58373370004733</v>
      </c>
      <c r="CA487" s="0" t="n">
        <v>39.3714718804301</v>
      </c>
      <c r="CB487" s="0" t="n">
        <v>39.3876198532141</v>
      </c>
      <c r="CC487" s="0" t="n">
        <v>0.0161479727840259</v>
      </c>
      <c r="CD487" s="20" t="n">
        <f aca="false">(CC487)^2</f>
        <v>0.000260757025033641</v>
      </c>
      <c r="CG487" s="0" t="n">
        <v>1.58373370004733</v>
      </c>
      <c r="CH487" s="0" t="n">
        <v>39.9906326120563</v>
      </c>
      <c r="CI487" s="0" t="n">
        <v>39.9396196552323</v>
      </c>
      <c r="CJ487" s="0" t="n">
        <v>-0.0510129568240032</v>
      </c>
      <c r="CK487" s="20" t="n">
        <f aca="false">(CJ487)^2</f>
        <v>0.00260232176392761</v>
      </c>
      <c r="CN487" s="0" t="n">
        <v>1.58373370004733</v>
      </c>
      <c r="CO487" s="0" t="n">
        <v>39.6866134754189</v>
      </c>
      <c r="CP487" s="0" t="n">
        <v>39.6143001977675</v>
      </c>
      <c r="CQ487" s="0" t="n">
        <v>-0.0723132776513751</v>
      </c>
      <c r="CR487" s="20" t="n">
        <f aca="false">(CQ487)^2</f>
        <v>0.00522921012468486</v>
      </c>
      <c r="CU487" s="0" t="n">
        <v>1.24797326636181</v>
      </c>
      <c r="CV487" s="0" t="n">
        <v>1.83856674600489</v>
      </c>
      <c r="CW487" s="0" t="n">
        <v>1.58373370004733</v>
      </c>
      <c r="CX487" s="0" t="n">
        <v>-0.254833045957561</v>
      </c>
      <c r="CY487" s="20" t="n">
        <f aca="false">(CX487)^2</f>
        <v>0.0649398813120086</v>
      </c>
      <c r="DC487" s="0" t="s">
        <v>84</v>
      </c>
      <c r="DJ487" s="0" t="s">
        <v>84</v>
      </c>
    </row>
    <row r="488" customFormat="false" ht="12.8" hidden="false" customHeight="false" outlineLevel="0" collapsed="false">
      <c r="BZ488" s="0" t="n">
        <v>2.07441923117618</v>
      </c>
      <c r="CA488" s="0" t="n">
        <v>39.9599065191813</v>
      </c>
      <c r="CB488" s="0" t="n">
        <v>39.7992940202333</v>
      </c>
      <c r="CC488" s="0" t="n">
        <v>-0.160612498948019</v>
      </c>
      <c r="CD488" s="20" t="n">
        <f aca="false">(CC488)^2</f>
        <v>0.0257963748183275</v>
      </c>
      <c r="CG488" s="0" t="n">
        <v>2.07441923117618</v>
      </c>
      <c r="CH488" s="0" t="n">
        <v>40.3984437000947</v>
      </c>
      <c r="CI488" s="0" t="n">
        <v>40.5671950296227</v>
      </c>
      <c r="CJ488" s="0" t="n">
        <v>0.168751329527986</v>
      </c>
      <c r="CK488" s="20" t="n">
        <f aca="false">(CJ488)^2</f>
        <v>0.0284770112174628</v>
      </c>
      <c r="CN488" s="0" t="n">
        <v>2.07441923117618</v>
      </c>
      <c r="CO488" s="0" t="n">
        <v>40.2301736111022</v>
      </c>
      <c r="CP488" s="0" t="n">
        <v>40.5671950296227</v>
      </c>
      <c r="CQ488" s="0" t="n">
        <v>0.337021418520493</v>
      </c>
      <c r="CR488" s="20" t="n">
        <f aca="false">(CQ488)^2</f>
        <v>0.113583436541565</v>
      </c>
      <c r="CU488" s="0" t="n">
        <v>1.3541084391474</v>
      </c>
      <c r="CV488" s="0" t="n">
        <v>1.96714732944885</v>
      </c>
      <c r="CW488" s="0" t="n">
        <v>2.07441923117618</v>
      </c>
      <c r="CX488" s="0" t="n">
        <v>0.107271901727328</v>
      </c>
      <c r="CY488" s="20" t="n">
        <f aca="false">(CX488)^2</f>
        <v>0.0115072609001976</v>
      </c>
      <c r="DC488" s="0" t="n">
        <f aca="false" t="array" ref="DC488:DD492">LINEST($BI$138:$BI$153 , $BM$138:$BM$153 , 1 , 1)</f>
        <v>0.281124948737077</v>
      </c>
      <c r="DD488" s="0" t="n">
        <v>2.33974877985302</v>
      </c>
      <c r="DJ488" s="0" t="n">
        <f aca="false" t="array" ref="DJ488:DK492">LINEST($BK$138:$BK$153 , $BM$138:$BM$153 , 1 , 1)</f>
        <v>1.53328086795508</v>
      </c>
      <c r="DK488" s="0" t="n">
        <v>-0.153218480198607</v>
      </c>
    </row>
    <row r="489" customFormat="false" ht="12.8" hidden="false" customHeight="false" outlineLevel="0" collapsed="false">
      <c r="BZ489" s="0" t="n">
        <v>1.91822534255641</v>
      </c>
      <c r="CA489" s="0" t="n">
        <v>39.7725973596598</v>
      </c>
      <c r="CB489" s="0" t="n">
        <v>39.5414546476421</v>
      </c>
      <c r="CC489" s="0" t="n">
        <v>-0.231142712017679</v>
      </c>
      <c r="CD489" s="20" t="n">
        <f aca="false">(CC489)^2</f>
        <v>0.0534269533188876</v>
      </c>
      <c r="CG489" s="0" t="n">
        <v>1.91822534255641</v>
      </c>
      <c r="CH489" s="0" t="n">
        <v>40.2686302134071</v>
      </c>
      <c r="CI489" s="0" t="n">
        <v>39.9994654634455</v>
      </c>
      <c r="CJ489" s="0" t="n">
        <v>-0.269164749961639</v>
      </c>
      <c r="CK489" s="20" t="n">
        <f aca="false">(CJ489)^2</f>
        <v>0.0724496626219119</v>
      </c>
      <c r="CN489" s="0" t="n">
        <v>1.91822534255641</v>
      </c>
      <c r="CO489" s="0" t="n">
        <v>40.0571488000878</v>
      </c>
      <c r="CP489" s="0" t="n">
        <v>39.4317743737488</v>
      </c>
      <c r="CQ489" s="0" t="n">
        <v>-0.625374426339008</v>
      </c>
      <c r="CR489" s="20" t="n">
        <f aca="false">(CQ489)^2</f>
        <v>0.391093173118843</v>
      </c>
      <c r="CU489" s="0" t="n">
        <v>1.20682587603185</v>
      </c>
      <c r="CV489" s="0" t="n">
        <v>1.78871752715535</v>
      </c>
      <c r="CW489" s="0" t="n">
        <v>1.91822534255641</v>
      </c>
      <c r="CX489" s="0" t="n">
        <v>0.129507815401059</v>
      </c>
      <c r="CY489" s="20" t="n">
        <f aca="false">(CX489)^2</f>
        <v>0.0167722742499547</v>
      </c>
      <c r="DC489" s="0" t="n">
        <v>0.44291080084168</v>
      </c>
      <c r="DD489" s="0" t="n">
        <v>0.619011309391254</v>
      </c>
      <c r="DJ489" s="0" t="n">
        <v>0.508498102088865</v>
      </c>
      <c r="DK489" s="0" t="n">
        <v>0.710675999318224</v>
      </c>
    </row>
    <row r="490" customFormat="false" ht="12.8" hidden="false" customHeight="false" outlineLevel="0" collapsed="false">
      <c r="BZ490" s="0" t="n">
        <v>1.53606284006086</v>
      </c>
      <c r="CA490" s="0" t="n">
        <v>39.3143045431121</v>
      </c>
      <c r="CB490" s="0" t="n">
        <v>39.2951320767752</v>
      </c>
      <c r="CC490" s="0" t="n">
        <v>-0.0191724663368902</v>
      </c>
      <c r="CD490" s="20" t="n">
        <f aca="false">(CC490)^2</f>
        <v>0.000367583465439187</v>
      </c>
      <c r="CG490" s="0" t="n">
        <v>1.53606284006086</v>
      </c>
      <c r="CH490" s="0" t="n">
        <v>39.9510131326841</v>
      </c>
      <c r="CI490" s="0" t="n">
        <v>39.8338814731209</v>
      </c>
      <c r="CJ490" s="0" t="n">
        <v>-0.117131659563178</v>
      </c>
      <c r="CK490" s="20" t="n">
        <f aca="false">(CJ490)^2</f>
        <v>0.0137198256720242</v>
      </c>
      <c r="CN490" s="0" t="n">
        <v>1.53606284006086</v>
      </c>
      <c r="CO490" s="0" t="n">
        <v>39.6338057656362</v>
      </c>
      <c r="CP490" s="0" t="n">
        <v>39.7495605874209</v>
      </c>
      <c r="CQ490" s="0" t="n">
        <v>0.115754821784655</v>
      </c>
      <c r="CR490" s="20" t="n">
        <f aca="false">(CQ490)^2</f>
        <v>0.0133991787663973</v>
      </c>
      <c r="CU490" s="0" t="n">
        <v>1.09691001300806</v>
      </c>
      <c r="CV490" s="0" t="n">
        <v>1.6555567150851</v>
      </c>
      <c r="CW490" s="0" t="n">
        <v>1.53606284006086</v>
      </c>
      <c r="CX490" s="0" t="n">
        <v>-0.119493875024242</v>
      </c>
      <c r="CY490" s="20" t="n">
        <f aca="false">(CX490)^2</f>
        <v>0.0142787861683093</v>
      </c>
      <c r="DC490" s="0" t="n">
        <v>0.0279715903239797</v>
      </c>
      <c r="DD490" s="0" t="n">
        <v>0.222556433748291</v>
      </c>
      <c r="DJ490" s="0" t="n">
        <v>0.39373236169719</v>
      </c>
      <c r="DK490" s="0" t="n">
        <v>0.255513128046577</v>
      </c>
    </row>
    <row r="491" customFormat="false" ht="12.8" hidden="false" customHeight="false" outlineLevel="0" collapsed="false">
      <c r="BZ491" s="0" t="n">
        <v>1.58559671011752</v>
      </c>
      <c r="CA491" s="0" t="n">
        <v>39.3737060193808</v>
      </c>
      <c r="CB491" s="0" t="n">
        <v>39.0423920343584</v>
      </c>
      <c r="CC491" s="0" t="n">
        <v>-0.331313985022376</v>
      </c>
      <c r="CD491" s="20" t="n">
        <f aca="false">(CC491)^2</f>
        <v>0.109768956671407</v>
      </c>
      <c r="CG491" s="0" t="n">
        <v>1.58559671011752</v>
      </c>
      <c r="CH491" s="0" t="n">
        <v>39.9921809686219</v>
      </c>
      <c r="CI491" s="0" t="n">
        <v>39.4843141944881</v>
      </c>
      <c r="CJ491" s="0" t="n">
        <v>-0.507866774133767</v>
      </c>
      <c r="CK491" s="20" t="n">
        <f aca="false">(CJ491)^2</f>
        <v>0.257928660269038</v>
      </c>
      <c r="CN491" s="0" t="n">
        <v>1.58559671011752</v>
      </c>
      <c r="CO491" s="0" t="n">
        <v>39.6886772371202</v>
      </c>
      <c r="CP491" s="0" t="n">
        <v>39.4843141944881</v>
      </c>
      <c r="CQ491" s="0" t="n">
        <v>-0.204363042632089</v>
      </c>
      <c r="CR491" s="20" t="n">
        <f aca="false">(CQ491)^2</f>
        <v>0.041764253193845</v>
      </c>
      <c r="CU491" s="0" t="n">
        <v>1.28330122870355</v>
      </c>
      <c r="CV491" s="0" t="n">
        <v>1.88136584728834</v>
      </c>
      <c r="CW491" s="0" t="n">
        <v>1.58559671011752</v>
      </c>
      <c r="CX491" s="0" t="n">
        <v>-0.295769137170824</v>
      </c>
      <c r="CY491" s="20" t="n">
        <f aca="false">(CX491)^2</f>
        <v>0.0874793825027737</v>
      </c>
      <c r="DC491" s="0" t="n">
        <v>0.402871213060777</v>
      </c>
      <c r="DD491" s="0" t="n">
        <v>14</v>
      </c>
      <c r="DJ491" s="0" t="n">
        <v>9.09211166077034</v>
      </c>
      <c r="DK491" s="0" t="n">
        <v>14</v>
      </c>
    </row>
    <row r="492" customFormat="false" ht="12.8" hidden="false" customHeight="false" outlineLevel="0" collapsed="false">
      <c r="BZ492" s="0" t="n">
        <v>1.92192076742725</v>
      </c>
      <c r="CA492" s="0" t="n">
        <v>39.7770289474303</v>
      </c>
      <c r="CB492" s="0" t="n">
        <v>39.7584397069598</v>
      </c>
      <c r="CC492" s="0" t="n">
        <v>-0.0185892404704617</v>
      </c>
      <c r="CD492" s="20" t="n">
        <f aca="false">(CC492)^2</f>
        <v>0.000345559861268652</v>
      </c>
      <c r="CG492" s="0" t="n">
        <v>1.92192076742725</v>
      </c>
      <c r="CH492" s="0" t="n">
        <v>40.2717014986637</v>
      </c>
      <c r="CI492" s="0" t="n">
        <v>40.1263375099171</v>
      </c>
      <c r="CJ492" s="0" t="n">
        <v>-0.14536398874656</v>
      </c>
      <c r="CK492" s="20" t="n">
        <f aca="false">(CJ492)^2</f>
        <v>0.02113068922431</v>
      </c>
      <c r="CN492" s="0" t="n">
        <v>1.92192076742725</v>
      </c>
      <c r="CO492" s="0" t="n">
        <v>40.0612424313787</v>
      </c>
      <c r="CP492" s="0" t="n">
        <v>39.9044887603007</v>
      </c>
      <c r="CQ492" s="0" t="n">
        <v>-0.156753671077972</v>
      </c>
      <c r="CR492" s="20" t="n">
        <f aca="false">(CQ492)^2</f>
        <v>0.024571713396421</v>
      </c>
      <c r="CU492" s="0" t="n">
        <v>1.23552844690755</v>
      </c>
      <c r="CV492" s="0" t="n">
        <v>1.82349010266144</v>
      </c>
      <c r="CW492" s="0" t="n">
        <v>1.92192076742725</v>
      </c>
      <c r="CX492" s="0" t="n">
        <v>0.0984306647658057</v>
      </c>
      <c r="CY492" s="20" t="n">
        <f aca="false">(CX492)^2</f>
        <v>0.00968859576623843</v>
      </c>
      <c r="DC492" s="0" t="n">
        <v>0.0199547615866624</v>
      </c>
      <c r="DD492" s="0" t="n">
        <v>0.693439126838603</v>
      </c>
      <c r="DJ492" s="0" t="n">
        <v>0.593596317620989</v>
      </c>
      <c r="DK492" s="0" t="n">
        <v>0.914017420458049</v>
      </c>
    </row>
    <row r="493" customFormat="false" ht="12.8" hidden="false" customHeight="false" outlineLevel="0" collapsed="false">
      <c r="BZ493" s="0" t="n">
        <v>1.75461831766389</v>
      </c>
      <c r="CA493" s="0" t="n">
        <v>39.5763982983825</v>
      </c>
      <c r="CB493" s="0" t="n">
        <v>39.0217644408478</v>
      </c>
      <c r="CC493" s="0" t="n">
        <v>-0.554633857534753</v>
      </c>
      <c r="CD493" s="20" t="n">
        <f aca="false">(CC493)^2</f>
        <v>0.307618715923881</v>
      </c>
      <c r="CG493" s="0" t="n">
        <v>1.75461831766389</v>
      </c>
      <c r="CH493" s="0" t="n">
        <v>40.1326556337641</v>
      </c>
      <c r="CI493" s="0" t="n">
        <v>39.7989606416723</v>
      </c>
      <c r="CJ493" s="0" t="n">
        <v>-0.333694992091843</v>
      </c>
      <c r="CK493" s="20" t="n">
        <f aca="false">(CJ493)^2</f>
        <v>0.111352347747175</v>
      </c>
      <c r="CN493" s="0" t="n">
        <v>1.75461831766389</v>
      </c>
      <c r="CO493" s="0" t="n">
        <v>39.8759120384398</v>
      </c>
      <c r="CP493" s="0" t="n">
        <v>39.4018526150208</v>
      </c>
      <c r="CQ493" s="0" t="n">
        <v>-0.474059423419</v>
      </c>
      <c r="CR493" s="20" t="n">
        <f aca="false">(CQ493)^2</f>
        <v>0.224732336932355</v>
      </c>
      <c r="CU493" s="0" t="n">
        <v>1.22788670461367</v>
      </c>
      <c r="CV493" s="0" t="n">
        <v>1.81423228871639</v>
      </c>
      <c r="CW493" s="0" t="n">
        <v>1.75461831766389</v>
      </c>
      <c r="CX493" s="0" t="n">
        <v>-0.0596139710524968</v>
      </c>
      <c r="CY493" s="20" t="n">
        <f aca="false">(CX493)^2</f>
        <v>0.00355382554464792</v>
      </c>
    </row>
    <row r="494" customFormat="false" ht="12.8" hidden="false" customHeight="false" outlineLevel="0" collapsed="false">
      <c r="CD494" s="0" t="n">
        <f aca="false">SQRT(SUM(CD455:CD493)/39)</f>
        <v>0.353312848757567</v>
      </c>
      <c r="CK494" s="0" t="n">
        <f aca="false">SQRT(SUM(CK455:CK493)/39)</f>
        <v>0.397247758850825</v>
      </c>
      <c r="CR494" s="0" t="n">
        <f aca="false">SQRT(SUM(CR455:CR493)/39)</f>
        <v>0.383035486576419</v>
      </c>
      <c r="CY494" s="0" t="n">
        <f aca="false">SQRT(SUM(CY455:CY493)/39)</f>
        <v>0.221652949044314</v>
      </c>
      <c r="DC494" s="0" t="s">
        <v>100</v>
      </c>
      <c r="DJ494" s="0" t="s">
        <v>100</v>
      </c>
    </row>
    <row r="495" customFormat="false" ht="12.8" hidden="false" customHeight="false" outlineLevel="0" collapsed="false">
      <c r="BS495" s="14"/>
      <c r="BZ495" s="14" t="s">
        <v>535</v>
      </c>
      <c r="CG495" s="14" t="s">
        <v>536</v>
      </c>
      <c r="CN495" s="14" t="s">
        <v>537</v>
      </c>
      <c r="DC495" s="0" t="s">
        <v>103</v>
      </c>
      <c r="DD495" s="0" t="n">
        <f aca="false">$DC$490</f>
        <v>0.0279715903239797</v>
      </c>
      <c r="DJ495" s="0" t="s">
        <v>103</v>
      </c>
      <c r="DK495" s="0" t="n">
        <f aca="false">$DJ$490</f>
        <v>0.39373236169719</v>
      </c>
    </row>
    <row r="496" customFormat="false" ht="12.8" hidden="false" customHeight="false" outlineLevel="0" collapsed="false">
      <c r="BZ496" s="0" t="s">
        <v>78</v>
      </c>
      <c r="CA496" s="0" t="s">
        <v>79</v>
      </c>
      <c r="CG496" s="0" t="s">
        <v>78</v>
      </c>
      <c r="CH496" s="0" t="s">
        <v>79</v>
      </c>
      <c r="CN496" s="0" t="s">
        <v>78</v>
      </c>
      <c r="CO496" s="0" t="s">
        <v>79</v>
      </c>
      <c r="DC496" s="0" t="s">
        <v>106</v>
      </c>
      <c r="DD496" s="0" t="n">
        <f aca="false">$DD$490</f>
        <v>0.222556433748291</v>
      </c>
      <c r="DJ496" s="0" t="s">
        <v>106</v>
      </c>
      <c r="DK496" s="0" t="n">
        <f aca="false">$DK$490</f>
        <v>0.255513128046577</v>
      </c>
    </row>
    <row r="497" customFormat="false" ht="12.8" hidden="false" customHeight="false" outlineLevel="0" collapsed="false">
      <c r="DC497" s="0" t="s">
        <v>109</v>
      </c>
      <c r="DD497" s="0" t="n">
        <f aca="false">1</f>
        <v>1</v>
      </c>
      <c r="DJ497" s="0" t="s">
        <v>109</v>
      </c>
      <c r="DK497" s="0" t="n">
        <f aca="false">1</f>
        <v>1</v>
      </c>
    </row>
    <row r="498" customFormat="false" ht="12.8" hidden="false" customHeight="false" outlineLevel="0" collapsed="false">
      <c r="BZ498" s="0" t="s">
        <v>84</v>
      </c>
      <c r="CG498" s="0" t="s">
        <v>84</v>
      </c>
      <c r="CN498" s="0" t="s">
        <v>84</v>
      </c>
      <c r="DC498" s="0" t="s">
        <v>112</v>
      </c>
      <c r="DD498" s="0" t="n">
        <f aca="false">16</f>
        <v>16</v>
      </c>
      <c r="DJ498" s="0" t="s">
        <v>112</v>
      </c>
      <c r="DK498" s="0" t="n">
        <f aca="false">16</f>
        <v>16</v>
      </c>
    </row>
    <row r="499" customFormat="false" ht="12.8" hidden="false" customHeight="false" outlineLevel="0" collapsed="false">
      <c r="BZ499" s="0" t="n">
        <f aca="false" t="array" ref="BZ499:CC503">LINEST($BG$95:$BG$132 , $BK$95:$BM$132 , 1 , 1)</f>
        <v>0.108540655952837</v>
      </c>
      <c r="CA499" s="0" t="n">
        <v>2.98272881594503</v>
      </c>
      <c r="CB499" s="0" t="n">
        <v>0.234463384101598</v>
      </c>
      <c r="CC499" s="0" t="n">
        <v>34.5378271964684</v>
      </c>
      <c r="CG499" s="0" t="n">
        <f aca="false" t="array" ref="CG499:CJ503">LINEST($BH$95:$BH$132 , $BK$95:$BM$132 , 1 , 1)</f>
        <v>0.0677140372697708</v>
      </c>
      <c r="CH499" s="0" t="n">
        <v>2.31569951695457</v>
      </c>
      <c r="CI499" s="0" t="n">
        <v>0.142510537544196</v>
      </c>
      <c r="CJ499" s="0" t="n">
        <v>36.3997311387295</v>
      </c>
      <c r="CN499" s="0" t="n">
        <f aca="false" t="array" ref="CN499:CQ503">LINEST($BI$95:$BI$132 , $BK$95:$BM$132 , 1 , 1)</f>
        <v>0.0439568083399089</v>
      </c>
      <c r="CO499" s="0" t="n">
        <v>2.7687620719672</v>
      </c>
      <c r="CP499" s="0" t="n">
        <v>0.140696410509156</v>
      </c>
      <c r="CQ499" s="0" t="n">
        <v>35.7730409962397</v>
      </c>
      <c r="DC499" s="0" t="s">
        <v>115</v>
      </c>
      <c r="DD499" s="0" t="n">
        <f aca="false">1 - (1 - $DC$490)*($DD$498 - 1)/($DD$498 - $DD$497 - 1)</f>
        <v>-0.0414590103671646</v>
      </c>
      <c r="DJ499" s="0" t="s">
        <v>115</v>
      </c>
      <c r="DK499" s="0" t="n">
        <f aca="false">1 - (1 - $DJ$490)*($DK$498 - 1)/($DK$498 - $DK$497 - 1)</f>
        <v>0.350427530389847</v>
      </c>
    </row>
    <row r="500" customFormat="false" ht="12.8" hidden="false" customHeight="false" outlineLevel="0" collapsed="false">
      <c r="BZ500" s="0" t="n">
        <v>0.0451469467202428</v>
      </c>
      <c r="CA500" s="0" t="n">
        <v>0.369016865277815</v>
      </c>
      <c r="CB500" s="0" t="n">
        <v>0.122291507398216</v>
      </c>
      <c r="CC500" s="0" t="n">
        <v>0.7483009085689</v>
      </c>
      <c r="CG500" s="0" t="n">
        <v>0.0552335990709393</v>
      </c>
      <c r="CH500" s="0" t="n">
        <v>0.451461971802199</v>
      </c>
      <c r="CI500" s="0" t="n">
        <v>0.149613663383913</v>
      </c>
      <c r="CJ500" s="0" t="n">
        <v>0.915484996680457</v>
      </c>
      <c r="CN500" s="0" t="n">
        <v>0.0533419516084843</v>
      </c>
      <c r="CO500" s="0" t="n">
        <v>0.436000243656298</v>
      </c>
      <c r="CP500" s="0" t="n">
        <v>0.144489675241744</v>
      </c>
      <c r="CQ500" s="0" t="n">
        <v>0.884131347814266</v>
      </c>
    </row>
    <row r="501" customFormat="false" ht="12.8" hidden="false" customHeight="false" outlineLevel="0" collapsed="false">
      <c r="BZ501" s="0" t="n">
        <v>0.663686553250723</v>
      </c>
      <c r="CA501" s="0" t="n">
        <v>0.299669974963398</v>
      </c>
      <c r="CB501" s="0" t="e">
        <v>#N/A</v>
      </c>
      <c r="CC501" s="0" t="e">
        <v>#N/A</v>
      </c>
      <c r="CG501" s="0" t="n">
        <v>0.439278952728922</v>
      </c>
      <c r="CH501" s="0" t="n">
        <v>0.366621719809577</v>
      </c>
      <c r="CI501" s="0" t="e">
        <v>#N/A</v>
      </c>
      <c r="CJ501" s="0" t="e">
        <v>#N/A</v>
      </c>
      <c r="CN501" s="0" t="n">
        <v>0.542792087214939</v>
      </c>
      <c r="CO501" s="0" t="n">
        <v>0.354065611614129</v>
      </c>
      <c r="CP501" s="0" t="e">
        <v>#N/A</v>
      </c>
      <c r="CQ501" s="0" t="e">
        <v>#N/A</v>
      </c>
      <c r="DC501" s="0" t="s">
        <v>120</v>
      </c>
      <c r="DJ501" s="0" t="s">
        <v>120</v>
      </c>
    </row>
    <row r="502" customFormat="false" ht="12.8" hidden="false" customHeight="false" outlineLevel="0" collapsed="false">
      <c r="BZ502" s="0" t="n">
        <v>22.3653886264294</v>
      </c>
      <c r="CA502" s="0" t="n">
        <v>34</v>
      </c>
      <c r="CB502" s="0" t="e">
        <v>#N/A</v>
      </c>
      <c r="CC502" s="0" t="e">
        <v>#N/A</v>
      </c>
      <c r="CG502" s="0" t="n">
        <v>8.87873715785029</v>
      </c>
      <c r="CH502" s="0" t="n">
        <v>34</v>
      </c>
      <c r="CI502" s="0" t="e">
        <v>#N/A</v>
      </c>
      <c r="CJ502" s="0" t="e">
        <v>#N/A</v>
      </c>
      <c r="CN502" s="0" t="n">
        <v>13.4548057526612</v>
      </c>
      <c r="CO502" s="0" t="n">
        <v>34</v>
      </c>
      <c r="CP502" s="0" t="e">
        <v>#N/A</v>
      </c>
      <c r="CQ502" s="0" t="e">
        <v>#N/A</v>
      </c>
      <c r="DD502" s="0" t="s">
        <v>123</v>
      </c>
      <c r="DE502" s="0" t="s">
        <v>124</v>
      </c>
      <c r="DF502" s="0" t="s">
        <v>125</v>
      </c>
      <c r="DG502" s="0" t="s">
        <v>126</v>
      </c>
      <c r="DH502" s="0" t="s">
        <v>127</v>
      </c>
      <c r="DK502" s="0" t="s">
        <v>123</v>
      </c>
      <c r="DL502" s="0" t="s">
        <v>124</v>
      </c>
      <c r="DM502" s="0" t="s">
        <v>125</v>
      </c>
      <c r="DN502" s="0" t="s">
        <v>126</v>
      </c>
      <c r="DO502" s="0" t="s">
        <v>127</v>
      </c>
    </row>
    <row r="503" customFormat="false" ht="12.8" hidden="false" customHeight="false" outlineLevel="0" collapsed="false">
      <c r="BZ503" s="0" t="n">
        <v>6.02537618825704</v>
      </c>
      <c r="CA503" s="0" t="n">
        <v>3.05327119241516</v>
      </c>
      <c r="CB503" s="0" t="e">
        <v>#N/A</v>
      </c>
      <c r="CC503" s="0" t="e">
        <v>#N/A</v>
      </c>
      <c r="CG503" s="0" t="n">
        <v>3.58021275055091</v>
      </c>
      <c r="CH503" s="0" t="n">
        <v>4.56999050482848</v>
      </c>
      <c r="CI503" s="0" t="e">
        <v>#N/A</v>
      </c>
      <c r="CJ503" s="0" t="e">
        <v>#N/A</v>
      </c>
      <c r="CN503" s="0" t="n">
        <v>5.06018253606093</v>
      </c>
      <c r="CO503" s="0" t="n">
        <v>4.26232354914137</v>
      </c>
      <c r="CP503" s="0" t="e">
        <v>#N/A</v>
      </c>
      <c r="CQ503" s="0" t="e">
        <v>#N/A</v>
      </c>
      <c r="DC503" s="0" t="s">
        <v>130</v>
      </c>
      <c r="DD503" s="0" t="n">
        <f aca="false">$DD$497</f>
        <v>1</v>
      </c>
      <c r="DE503" s="0" t="n">
        <f aca="false">$DC$492</f>
        <v>0.0199547615866624</v>
      </c>
      <c r="DF503" s="0" t="n">
        <f aca="false">$DC$492 / $DD$503</f>
        <v>0.0199547615866624</v>
      </c>
      <c r="DG503" s="0" t="n">
        <f aca="false">$DC$491</f>
        <v>0.402871213060777</v>
      </c>
      <c r="DH503" s="0" t="n">
        <f aca="false">FDIST($DC$491 , $DD$503 , $DD$491)</f>
        <v>0.53584576897878</v>
      </c>
      <c r="DJ503" s="0" t="s">
        <v>130</v>
      </c>
      <c r="DK503" s="0" t="n">
        <f aca="false">$DK$497</f>
        <v>1</v>
      </c>
      <c r="DL503" s="0" t="n">
        <f aca="false">$DJ$492</f>
        <v>0.593596317620989</v>
      </c>
      <c r="DM503" s="0" t="n">
        <f aca="false">$DJ$492 / $DK$503</f>
        <v>0.593596317620989</v>
      </c>
      <c r="DN503" s="0" t="n">
        <f aca="false">$DJ$491</f>
        <v>9.09211166077034</v>
      </c>
      <c r="DO503" s="0" t="n">
        <f aca="false">FDIST($DJ$491 , $DK$503 , $DK$491)</f>
        <v>0.0092659132836028</v>
      </c>
    </row>
    <row r="504" customFormat="false" ht="12.8" hidden="false" customHeight="false" outlineLevel="0" collapsed="false">
      <c r="DC504" s="0" t="s">
        <v>133</v>
      </c>
      <c r="DD504" s="0" t="n">
        <f aca="false">$DD$491</f>
        <v>14</v>
      </c>
      <c r="DE504" s="0" t="n">
        <f aca="false">$DD$492</f>
        <v>0.693439126838603</v>
      </c>
      <c r="DF504" s="0" t="n">
        <f aca="false">$DD$492 / $DD$491</f>
        <v>0.0495313662027573</v>
      </c>
      <c r="DJ504" s="0" t="s">
        <v>133</v>
      </c>
      <c r="DK504" s="0" t="n">
        <f aca="false">$DK$491</f>
        <v>14</v>
      </c>
      <c r="DL504" s="0" t="n">
        <f aca="false">$DK$492</f>
        <v>0.914017420458049</v>
      </c>
      <c r="DM504" s="0" t="n">
        <f aca="false">$DK$492 / $DK$491</f>
        <v>0.0652869586041464</v>
      </c>
    </row>
    <row r="505" customFormat="false" ht="12.8" hidden="false" customHeight="false" outlineLevel="0" collapsed="false">
      <c r="BZ505" s="0" t="s">
        <v>100</v>
      </c>
      <c r="CG505" s="0" t="s">
        <v>100</v>
      </c>
      <c r="CN505" s="0" t="s">
        <v>100</v>
      </c>
      <c r="DC505" s="0" t="s">
        <v>136</v>
      </c>
      <c r="DD505" s="0" t="n">
        <f aca="false">$DD$503 + $DD$491</f>
        <v>15</v>
      </c>
      <c r="DE505" s="0" t="n">
        <f aca="false">$DC$492 + $DD$492</f>
        <v>0.713393888425265</v>
      </c>
      <c r="DJ505" s="0" t="s">
        <v>136</v>
      </c>
      <c r="DK505" s="0" t="n">
        <f aca="false">$DK$503 + $DK$491</f>
        <v>15</v>
      </c>
      <c r="DL505" s="0" t="n">
        <f aca="false">$DJ$492 + $DK$492</f>
        <v>1.50761373807904</v>
      </c>
    </row>
    <row r="506" customFormat="false" ht="12.8" hidden="false" customHeight="false" outlineLevel="0" collapsed="false">
      <c r="BZ506" s="0" t="s">
        <v>103</v>
      </c>
      <c r="CA506" s="0" t="n">
        <f aca="false">$BZ$501</f>
        <v>0.663686553250723</v>
      </c>
      <c r="CG506" s="0" t="s">
        <v>103</v>
      </c>
      <c r="CH506" s="0" t="n">
        <f aca="false">$CG$501</f>
        <v>0.439278952728922</v>
      </c>
      <c r="CN506" s="0" t="s">
        <v>103</v>
      </c>
      <c r="CO506" s="0" t="n">
        <f aca="false">$CN$501</f>
        <v>0.542792087214939</v>
      </c>
    </row>
    <row r="507" customFormat="false" ht="12.8" hidden="false" customHeight="false" outlineLevel="0" collapsed="false">
      <c r="BZ507" s="0" t="s">
        <v>106</v>
      </c>
      <c r="CA507" s="0" t="n">
        <f aca="false">$CA$501</f>
        <v>0.299669974963398</v>
      </c>
      <c r="CG507" s="0" t="s">
        <v>106</v>
      </c>
      <c r="CH507" s="0" t="n">
        <f aca="false">$CH$501</f>
        <v>0.366621719809577</v>
      </c>
      <c r="CN507" s="0" t="s">
        <v>106</v>
      </c>
      <c r="CO507" s="0" t="n">
        <f aca="false">$CO$501</f>
        <v>0.354065611614129</v>
      </c>
      <c r="DC507" s="0" t="s">
        <v>141</v>
      </c>
      <c r="DD507" s="0" t="n">
        <v>0.95</v>
      </c>
      <c r="DJ507" s="0" t="s">
        <v>141</v>
      </c>
      <c r="DK507" s="0" t="n">
        <v>0.95</v>
      </c>
    </row>
    <row r="508" customFormat="false" ht="12.8" hidden="false" customHeight="false" outlineLevel="0" collapsed="false">
      <c r="BZ508" s="0" t="s">
        <v>109</v>
      </c>
      <c r="CA508" s="0" t="n">
        <f aca="false">3</f>
        <v>3</v>
      </c>
      <c r="CG508" s="0" t="s">
        <v>109</v>
      </c>
      <c r="CH508" s="0" t="n">
        <f aca="false">3</f>
        <v>3</v>
      </c>
      <c r="CN508" s="0" t="s">
        <v>109</v>
      </c>
      <c r="CO508" s="0" t="n">
        <f aca="false">3</f>
        <v>3</v>
      </c>
    </row>
    <row r="509" customFormat="false" ht="12.8" hidden="false" customHeight="false" outlineLevel="0" collapsed="false">
      <c r="BZ509" s="0" t="s">
        <v>112</v>
      </c>
      <c r="CA509" s="0" t="n">
        <f aca="false">38</f>
        <v>38</v>
      </c>
      <c r="CG509" s="0" t="s">
        <v>112</v>
      </c>
      <c r="CH509" s="0" t="n">
        <f aca="false">38</f>
        <v>38</v>
      </c>
      <c r="CN509" s="0" t="s">
        <v>112</v>
      </c>
      <c r="CO509" s="0" t="n">
        <f aca="false">38</f>
        <v>38</v>
      </c>
      <c r="DD509" s="0" t="s">
        <v>146</v>
      </c>
      <c r="DE509" s="0" t="s">
        <v>106</v>
      </c>
      <c r="DF509" s="0" t="s">
        <v>147</v>
      </c>
      <c r="DG509" s="0" t="s">
        <v>148</v>
      </c>
      <c r="DH509" s="0" t="str">
        <f aca="false">_xlfn.CONCAT("Lower " , INT($DD$507 * 100) , "%")</f>
        <v>Lower 95%</v>
      </c>
      <c r="DI509" s="0" t="str">
        <f aca="false">_xlfn.CONCAT("Upper " , INT($DD$507 * 100) , "%")</f>
        <v>Upper 95%</v>
      </c>
      <c r="DK509" s="0" t="s">
        <v>146</v>
      </c>
      <c r="DL509" s="0" t="s">
        <v>106</v>
      </c>
      <c r="DM509" s="0" t="s">
        <v>147</v>
      </c>
      <c r="DN509" s="0" t="s">
        <v>148</v>
      </c>
      <c r="DO509" s="0" t="str">
        <f aca="false">_xlfn.CONCAT("Lower " , INT($DK$507 * 100) , "%")</f>
        <v>Lower 95%</v>
      </c>
      <c r="DP509" s="0" t="str">
        <f aca="false">_xlfn.CONCAT("Upper " , INT($DK$507 * 100) , "%")</f>
        <v>Upper 95%</v>
      </c>
    </row>
    <row r="510" customFormat="false" ht="12.8" hidden="false" customHeight="false" outlineLevel="0" collapsed="false">
      <c r="BZ510" s="0" t="s">
        <v>115</v>
      </c>
      <c r="CA510" s="0" t="n">
        <f aca="false">1 - (1 - $BZ$501)*($CA$509 - 1)/($CA$509 - $CA$508 - 1)</f>
        <v>0.634011837361081</v>
      </c>
      <c r="CG510" s="0" t="s">
        <v>115</v>
      </c>
      <c r="CH510" s="0" t="n">
        <f aca="false">1 - (1 - $CG$501)*($CH$509 - 1)/($CH$509 - $CH$508 - 1)</f>
        <v>0.389803566205003</v>
      </c>
      <c r="CN510" s="0" t="s">
        <v>115</v>
      </c>
      <c r="CO510" s="0" t="n">
        <f aca="false">1 - (1 - $CN$501)*($CO$509 - 1)/($CO$509 - $CO$508 - 1)</f>
        <v>0.502450212557434</v>
      </c>
      <c r="DC510" s="0" t="str">
        <f aca="false">"Intercept"</f>
        <v>Intercept</v>
      </c>
      <c r="DD510" s="0" t="n">
        <f aca="false" t="array" ref="DD510:DD510">INDEX($DC$488:$DD$488, 1 , 512 - ROW())</f>
        <v>2.33974877985302</v>
      </c>
      <c r="DE510" s="0" t="n">
        <f aca="false" t="array" ref="DE510:DE510">INDEX($DC$489:$DD$489, 1 , 512 - ROW())</f>
        <v>0.619011309391254</v>
      </c>
      <c r="DF510" s="0" t="n">
        <f aca="false" t="array" ref="DF510:DF511">$DD$510:$DD$511 / $DE$510:$DE$511</f>
        <v>3.77981588438824</v>
      </c>
      <c r="DG510" s="0" t="n">
        <f aca="false" t="array" ref="DG510:DG511">TDIST(ABS($DF$510:$DF$511) , $DD$491 , 2 )</f>
        <v>0.00203015102567986</v>
      </c>
      <c r="DH510" s="0" t="n">
        <f aca="false" t="array" ref="DH510:DH511">$DD$510:$DD$511 - $DE$510:$DE$511 * TINV(1 - $DD$507 , $DD$491)</f>
        <v>1.01210156380009</v>
      </c>
      <c r="DI510" s="0" t="n">
        <f aca="false" t="array" ref="DI510:DI511">$DD$510:$DD$511 + $DE$510:$DE$511 * TINV(1 - $DD$507 , $DD$491)</f>
        <v>3.66739599590595</v>
      </c>
      <c r="DJ510" s="0" t="str">
        <f aca="false">"Intercept"</f>
        <v>Intercept</v>
      </c>
      <c r="DK510" s="0" t="n">
        <f aca="false" t="array" ref="DK510:DK510">INDEX($DJ$488:$DK$488, 1 , 512 - ROW())</f>
        <v>-0.153218480198607</v>
      </c>
      <c r="DL510" s="0" t="n">
        <f aca="false" t="array" ref="DL510:DL510">INDEX($DJ$489:$DK$489, 1 , 512 - ROW())</f>
        <v>0.710675999318224</v>
      </c>
      <c r="DM510" s="0" t="n">
        <f aca="false" t="array" ref="DM510:DM511">$DK$510:$DK$511 / $DL$510:$DL$511</f>
        <v>-0.215595405424687</v>
      </c>
      <c r="DN510" s="0" t="n">
        <f aca="false" t="array" ref="DN510:DN511">TDIST(ABS($DM$510:$DM$511) , $DK$491 , 2 )</f>
        <v>0.832412505558298</v>
      </c>
      <c r="DO510" s="0" t="n">
        <f aca="false" t="array" ref="DO510:DO511">$DK$510:$DK$511 - $DL$510:$DL$511 * TINV(1 - $DK$507 , $DK$491)</f>
        <v>-1.67746690295902</v>
      </c>
      <c r="DP510" s="0" t="n">
        <f aca="false" t="array" ref="DP510:DP511">$DK$510:$DK$511 + $DL$510:$DL$511 * TINV(1 - $DK$507 , $DK$491)</f>
        <v>1.3710299425618</v>
      </c>
    </row>
    <row r="511" customFormat="false" ht="12.8" hidden="false" customHeight="false" outlineLevel="0" collapsed="false">
      <c r="DC511" s="24" t="str">
        <f aca="false">$BM$137</f>
        <v>Log(σH) 2011</v>
      </c>
      <c r="DD511" s="0" t="n">
        <v>2.33974877985302</v>
      </c>
      <c r="DE511" s="0" t="n">
        <v>0.619011309391254</v>
      </c>
      <c r="DF511" s="0" t="n">
        <v>3.77981588438823</v>
      </c>
      <c r="DG511" s="0" t="n">
        <v>0.00203015102567989</v>
      </c>
      <c r="DH511" s="0" t="n">
        <v>1.01210156380009</v>
      </c>
      <c r="DI511" s="0" t="n">
        <v>3.66739599590595</v>
      </c>
      <c r="DJ511" s="24" t="str">
        <f aca="false">$BM$137</f>
        <v>Log(σH) 2011</v>
      </c>
      <c r="DK511" s="0" t="n">
        <v>-0.153218480198607</v>
      </c>
      <c r="DL511" s="0" t="n">
        <v>0.710675999318224</v>
      </c>
      <c r="DM511" s="0" t="n">
        <v>-0.215595405424687</v>
      </c>
      <c r="DN511" s="0" t="n">
        <v>0.832412505558298</v>
      </c>
      <c r="DO511" s="0" t="n">
        <v>-1.67746690295902</v>
      </c>
      <c r="DP511" s="0" t="n">
        <v>1.3710299425618</v>
      </c>
    </row>
    <row r="512" customFormat="false" ht="12.8" hidden="false" customHeight="false" outlineLevel="0" collapsed="false">
      <c r="BZ512" s="0" t="s">
        <v>120</v>
      </c>
      <c r="CG512" s="0" t="s">
        <v>120</v>
      </c>
      <c r="CN512" s="0" t="s">
        <v>120</v>
      </c>
    </row>
    <row r="513" customFormat="false" ht="12.8" hidden="false" customHeight="false" outlineLevel="0" collapsed="false">
      <c r="CA513" s="0" t="s">
        <v>123</v>
      </c>
      <c r="CB513" s="0" t="s">
        <v>124</v>
      </c>
      <c r="CC513" s="0" t="s">
        <v>125</v>
      </c>
      <c r="CD513" s="0" t="s">
        <v>126</v>
      </c>
      <c r="CE513" s="0" t="s">
        <v>127</v>
      </c>
      <c r="CH513" s="0" t="s">
        <v>123</v>
      </c>
      <c r="CI513" s="0" t="s">
        <v>124</v>
      </c>
      <c r="CJ513" s="0" t="s">
        <v>125</v>
      </c>
      <c r="CK513" s="0" t="s">
        <v>126</v>
      </c>
      <c r="CL513" s="0" t="s">
        <v>127</v>
      </c>
      <c r="CO513" s="0" t="s">
        <v>123</v>
      </c>
      <c r="CP513" s="0" t="s">
        <v>124</v>
      </c>
      <c r="CQ513" s="0" t="s">
        <v>125</v>
      </c>
      <c r="CR513" s="0" t="s">
        <v>126</v>
      </c>
      <c r="CS513" s="0" t="s">
        <v>127</v>
      </c>
      <c r="DC513" s="0" t="str">
        <f aca="false">$BM$137</f>
        <v>Log(σH) 2011</v>
      </c>
      <c r="DD513" s="0" t="s">
        <v>157</v>
      </c>
      <c r="DE513" s="0" t="str">
        <f aca="false">$BI$137</f>
        <v>Log(Ref)</v>
      </c>
      <c r="DF513" s="0" t="s">
        <v>133</v>
      </c>
      <c r="DJ513" s="0" t="str">
        <f aca="false">$BM$137</f>
        <v>Log(σH) 2011</v>
      </c>
      <c r="DK513" s="0" t="s">
        <v>157</v>
      </c>
      <c r="DL513" s="0" t="str">
        <f aca="false">$BK$137</f>
        <v>Log(RefB.K)</v>
      </c>
      <c r="DM513" s="0" t="s">
        <v>133</v>
      </c>
    </row>
    <row r="514" customFormat="false" ht="12.8" hidden="false" customHeight="false" outlineLevel="0" collapsed="false">
      <c r="BZ514" s="0" t="s">
        <v>130</v>
      </c>
      <c r="CA514" s="0" t="n">
        <f aca="false">$CA$508</f>
        <v>3</v>
      </c>
      <c r="CB514" s="0" t="n">
        <f aca="false">$BZ$503</f>
        <v>6.02537618825704</v>
      </c>
      <c r="CC514" s="0" t="n">
        <f aca="false">$BZ$503 / $CA$514</f>
        <v>2.00845872941901</v>
      </c>
      <c r="CD514" s="0" t="n">
        <f aca="false">$BZ$502</f>
        <v>22.3653886264294</v>
      </c>
      <c r="CE514" s="0" t="n">
        <f aca="false">FDIST($BZ$502 , $CA$514 , $CA$502)</f>
        <v>3.53754688686546E-008</v>
      </c>
      <c r="CG514" s="0" t="s">
        <v>130</v>
      </c>
      <c r="CH514" s="0" t="n">
        <f aca="false">$CH$508</f>
        <v>3</v>
      </c>
      <c r="CI514" s="0" t="n">
        <f aca="false">$CG$503</f>
        <v>3.58021275055091</v>
      </c>
      <c r="CJ514" s="0" t="n">
        <f aca="false">$CG$503 / $CH$514</f>
        <v>1.19340425018364</v>
      </c>
      <c r="CK514" s="0" t="n">
        <f aca="false">$CG$502</f>
        <v>8.87873715785029</v>
      </c>
      <c r="CL514" s="0" t="n">
        <f aca="false">FDIST($CG$502 , $CH$514 , $CH$502)</f>
        <v>0.000174508522345418</v>
      </c>
      <c r="CN514" s="0" t="s">
        <v>130</v>
      </c>
      <c r="CO514" s="0" t="n">
        <f aca="false">$CO$508</f>
        <v>3</v>
      </c>
      <c r="CP514" s="0" t="n">
        <f aca="false">$CN$503</f>
        <v>5.06018253606093</v>
      </c>
      <c r="CQ514" s="0" t="n">
        <f aca="false">$CN$503 / $CO$514</f>
        <v>1.68672751202031</v>
      </c>
      <c r="CR514" s="0" t="n">
        <f aca="false">$CN$502</f>
        <v>13.4548057526612</v>
      </c>
      <c r="CS514" s="0" t="n">
        <f aca="false">FDIST($CN$502 , $CO$514 , $CO$502)</f>
        <v>5.97259589130134E-006</v>
      </c>
      <c r="DC514" s="0" t="n">
        <f aca="false" t="array" ref="DC514:DC529">$BM$138:$BM$153</f>
        <v>1.52762990087134</v>
      </c>
      <c r="DD514" s="0" t="n">
        <f aca="false" t="array" ref="DD514:DD529">MMULT($DC$514:$DC$529 , $DD$511) + $DD$510</f>
        <v>5.91401897648373</v>
      </c>
      <c r="DE514" s="0" t="n">
        <f aca="false" t="array" ref="DE514:DE529">$BI$138:$BI$153</f>
        <v>2.87121125667452</v>
      </c>
      <c r="DF514" s="0" t="n">
        <f aca="false" t="array" ref="DF514:DF529">$DE$514:$DE$529 - $DD$514:$DD$529</f>
        <v>-3.04280771980921</v>
      </c>
      <c r="DJ514" s="0" t="n">
        <f aca="false" t="array" ref="DJ514:DJ529">$BM$138:$BM$153</f>
        <v>1.52762990087134</v>
      </c>
      <c r="DK514" s="0" t="n">
        <f aca="false" t="array" ref="DK514:DK529">MMULT($DJ$514:$DJ$529 , $DK$511) + $DK$510</f>
        <v>-0.387279611916063</v>
      </c>
      <c r="DL514" s="0" t="n">
        <f aca="false" t="array" ref="DL514:DL529">$BK$138:$BK$153</f>
        <v>2.48979141903991</v>
      </c>
      <c r="DM514" s="0" t="n">
        <f aca="false" t="array" ref="DM514:DM529">$DL$514:$DL$529 - $DK$514:$DK$529</f>
        <v>2.87707103095597</v>
      </c>
    </row>
    <row r="515" customFormat="false" ht="12.8" hidden="false" customHeight="false" outlineLevel="0" collapsed="false">
      <c r="BZ515" s="0" t="s">
        <v>133</v>
      </c>
      <c r="CA515" s="0" t="n">
        <f aca="false">$CA$502</f>
        <v>34</v>
      </c>
      <c r="CB515" s="0" t="n">
        <f aca="false">$CA$503</f>
        <v>3.05327119241516</v>
      </c>
      <c r="CC515" s="0" t="n">
        <f aca="false">$CA$503 / $CA$502</f>
        <v>0.0898020938945635</v>
      </c>
      <c r="CG515" s="0" t="s">
        <v>133</v>
      </c>
      <c r="CH515" s="0" t="n">
        <f aca="false">$CH$502</f>
        <v>34</v>
      </c>
      <c r="CI515" s="0" t="n">
        <f aca="false">$CH$503</f>
        <v>4.56999050482848</v>
      </c>
      <c r="CJ515" s="0" t="n">
        <f aca="false">$CH$503 / $CH$502</f>
        <v>0.134411485436132</v>
      </c>
      <c r="CN515" s="0" t="s">
        <v>133</v>
      </c>
      <c r="CO515" s="0" t="n">
        <f aca="false">$CO$502</f>
        <v>34</v>
      </c>
      <c r="CP515" s="0" t="n">
        <f aca="false">$CO$503</f>
        <v>4.26232354914137</v>
      </c>
      <c r="CQ515" s="0" t="n">
        <f aca="false">$CO$503 / $CO$502</f>
        <v>0.125362457327687</v>
      </c>
      <c r="DC515" s="0" t="n">
        <v>1.54530711646582</v>
      </c>
      <c r="DD515" s="0" t="n">
        <v>5.95537922010211</v>
      </c>
      <c r="DE515" s="0" t="n">
        <v>2.83671772153776</v>
      </c>
      <c r="DF515" s="0" t="n">
        <v>-3.11866149856435</v>
      </c>
      <c r="DJ515" s="0" t="n">
        <v>1.54530711646582</v>
      </c>
      <c r="DK515" s="0" t="n">
        <v>-0.389988088023592</v>
      </c>
      <c r="DL515" s="0" t="n">
        <v>2.53264650264469</v>
      </c>
      <c r="DM515" s="0" t="n">
        <v>2.92263459066828</v>
      </c>
    </row>
    <row r="516" customFormat="false" ht="12.8" hidden="false" customHeight="false" outlineLevel="0" collapsed="false">
      <c r="BZ516" s="0" t="s">
        <v>136</v>
      </c>
      <c r="CA516" s="0" t="n">
        <f aca="false">$CA$514 + $CA$502</f>
        <v>37</v>
      </c>
      <c r="CB516" s="0" t="n">
        <f aca="false">$BZ$503 + $CA$503</f>
        <v>9.07864738067219</v>
      </c>
      <c r="CG516" s="0" t="s">
        <v>136</v>
      </c>
      <c r="CH516" s="0" t="n">
        <f aca="false">$CH$514 + $CH$502</f>
        <v>37</v>
      </c>
      <c r="CI516" s="0" t="n">
        <f aca="false">$CG$503 + $CH$503</f>
        <v>8.15020325537938</v>
      </c>
      <c r="CN516" s="0" t="s">
        <v>136</v>
      </c>
      <c r="CO516" s="0" t="n">
        <f aca="false">$CO$514 + $CO$502</f>
        <v>37</v>
      </c>
      <c r="CP516" s="0" t="n">
        <f aca="false">$CN$503 + $CO$503</f>
        <v>9.3225060852023</v>
      </c>
      <c r="DC516" s="0" t="n">
        <v>1.53781909507327</v>
      </c>
      <c r="DD516" s="0" t="n">
        <v>5.93785913118538</v>
      </c>
      <c r="DE516" s="0" t="n">
        <v>2.65881683983858</v>
      </c>
      <c r="DF516" s="0" t="n">
        <v>-3.2790422913468</v>
      </c>
      <c r="DJ516" s="0" t="n">
        <v>1.53781909507327</v>
      </c>
      <c r="DK516" s="0" t="n">
        <v>-0.388840784766131</v>
      </c>
      <c r="DL516" s="0" t="n">
        <v>2.34558873592099</v>
      </c>
      <c r="DM516" s="0" t="n">
        <v>2.73442952068712</v>
      </c>
    </row>
    <row r="517" customFormat="false" ht="12.8" hidden="false" customHeight="false" outlineLevel="0" collapsed="false">
      <c r="DC517" s="0" t="n">
        <v>1.51719589794997</v>
      </c>
      <c r="DD517" s="0" t="n">
        <v>5.88960603087947</v>
      </c>
      <c r="DE517" s="0" t="n">
        <v>2.39301947013859</v>
      </c>
      <c r="DF517" s="0" t="n">
        <v>-3.49658656074088</v>
      </c>
      <c r="DJ517" s="0" t="n">
        <v>1.51719589794997</v>
      </c>
      <c r="DK517" s="0" t="n">
        <v>-0.385680929846063</v>
      </c>
      <c r="DL517" s="0" t="n">
        <v>1.56423218661249</v>
      </c>
      <c r="DM517" s="0" t="n">
        <v>1.94991311645855</v>
      </c>
    </row>
    <row r="518" customFormat="false" ht="12.8" hidden="false" customHeight="false" outlineLevel="0" collapsed="false">
      <c r="BZ518" s="0" t="s">
        <v>141</v>
      </c>
      <c r="CA518" s="0" t="n">
        <v>0.95</v>
      </c>
      <c r="CG518" s="0" t="s">
        <v>141</v>
      </c>
      <c r="CH518" s="0" t="n">
        <v>0.95</v>
      </c>
      <c r="CN518" s="0" t="s">
        <v>141</v>
      </c>
      <c r="CO518" s="0" t="n">
        <v>0.95</v>
      </c>
      <c r="DC518" s="0" t="n">
        <v>1.32221929473392</v>
      </c>
      <c r="DD518" s="0" t="n">
        <v>5.43340976140483</v>
      </c>
      <c r="DE518" s="0" t="n">
        <v>2.33598198537144</v>
      </c>
      <c r="DF518" s="0" t="n">
        <v>-3.09742777603339</v>
      </c>
      <c r="DJ518" s="0" t="n">
        <v>1.32221929473392</v>
      </c>
      <c r="DK518" s="0" t="n">
        <v>-0.355806911027013</v>
      </c>
      <c r="DL518" s="0" t="n">
        <v>1.84744322960342</v>
      </c>
      <c r="DM518" s="0" t="n">
        <v>2.20325014063043</v>
      </c>
    </row>
    <row r="519" customFormat="false" ht="12.8" hidden="false" customHeight="false" outlineLevel="0" collapsed="false">
      <c r="DC519" s="0" t="n">
        <v>1.23299611039215</v>
      </c>
      <c r="DD519" s="0" t="n">
        <v>5.22464992470658</v>
      </c>
      <c r="DE519" s="0" t="n">
        <v>3.06174587184761</v>
      </c>
      <c r="DF519" s="0" t="n">
        <v>-2.16290405285897</v>
      </c>
      <c r="DJ519" s="0" t="n">
        <v>1.23299611039215</v>
      </c>
      <c r="DK519" s="0" t="n">
        <v>-0.342136270323687</v>
      </c>
      <c r="DL519" s="0" t="n">
        <v>1.70817954621746</v>
      </c>
      <c r="DM519" s="0" t="n">
        <v>2.05031581654115</v>
      </c>
    </row>
    <row r="520" customFormat="false" ht="12.8" hidden="false" customHeight="false" outlineLevel="0" collapsed="false">
      <c r="CA520" s="0" t="s">
        <v>146</v>
      </c>
      <c r="CB520" s="0" t="s">
        <v>106</v>
      </c>
      <c r="CC520" s="0" t="s">
        <v>147</v>
      </c>
      <c r="CD520" s="0" t="s">
        <v>148</v>
      </c>
      <c r="CE520" s="0" t="str">
        <f aca="false">_xlfn.CONCAT("Lower " , INT($CA$518 * 100) , "%")</f>
        <v>Lower 95%</v>
      </c>
      <c r="CF520" s="0" t="str">
        <f aca="false">_xlfn.CONCAT("Upper " , INT($CA$518 * 100) , "%")</f>
        <v>Upper 95%</v>
      </c>
      <c r="CH520" s="0" t="s">
        <v>146</v>
      </c>
      <c r="CI520" s="0" t="s">
        <v>106</v>
      </c>
      <c r="CJ520" s="0" t="s">
        <v>147</v>
      </c>
      <c r="CK520" s="0" t="s">
        <v>148</v>
      </c>
      <c r="CL520" s="0" t="str">
        <f aca="false">_xlfn.CONCAT("Lower " , INT($CH$518 * 100) , "%")</f>
        <v>Lower 95%</v>
      </c>
      <c r="CM520" s="0" t="str">
        <f aca="false">_xlfn.CONCAT("Upper " , INT($CH$518 * 100) , "%")</f>
        <v>Upper 95%</v>
      </c>
      <c r="CO520" s="0" t="s">
        <v>146</v>
      </c>
      <c r="CP520" s="0" t="s">
        <v>106</v>
      </c>
      <c r="CQ520" s="0" t="s">
        <v>147</v>
      </c>
      <c r="CR520" s="0" t="s">
        <v>148</v>
      </c>
      <c r="CS520" s="0" t="str">
        <f aca="false">_xlfn.CONCAT("Lower " , INT($CO$518 * 100) , "%")</f>
        <v>Lower 95%</v>
      </c>
      <c r="CT520" s="0" t="str">
        <f aca="false">_xlfn.CONCAT("Upper " , INT($CO$518 * 100) , "%")</f>
        <v>Upper 95%</v>
      </c>
      <c r="DC520" s="0" t="n">
        <v>1.23299611039215</v>
      </c>
      <c r="DD520" s="0" t="n">
        <v>5.22464992470658</v>
      </c>
      <c r="DE520" s="0" t="n">
        <v>2.3701921055245</v>
      </c>
      <c r="DF520" s="0" t="n">
        <v>-2.85445781918208</v>
      </c>
      <c r="DJ520" s="0" t="n">
        <v>1.23299611039215</v>
      </c>
      <c r="DK520" s="0" t="n">
        <v>-0.342136270323687</v>
      </c>
      <c r="DL520" s="0" t="n">
        <v>1.57968225691357</v>
      </c>
      <c r="DM520" s="0" t="n">
        <v>1.92181852723726</v>
      </c>
    </row>
    <row r="521" customFormat="false" ht="12.8" hidden="false" customHeight="false" outlineLevel="0" collapsed="false">
      <c r="BZ521" s="0" t="str">
        <f aca="false">"Intercept"</f>
        <v>Intercept</v>
      </c>
      <c r="CA521" s="0" t="n">
        <f aca="false" t="array" ref="CA521:CA524">INDEX($BZ$499:$CC$499, 1 , 525 - ROW())</f>
        <v>34.5378271964684</v>
      </c>
      <c r="CB521" s="0" t="n">
        <f aca="false" t="array" ref="CB521:CB524">INDEX($BZ$500:$CC$500, 1 , 525 - ROW())</f>
        <v>0.7483009085689</v>
      </c>
      <c r="CC521" s="0" t="n">
        <f aca="false" t="array" ref="CC521:CC524">$CA$521:$CA$524 / $CB$521:$CB$524</f>
        <v>46.1549983448782</v>
      </c>
      <c r="CD521" s="0" t="n">
        <f aca="false" t="array" ref="CD521:CD524">TDIST(ABS($CC$521:$CC$524) , $CA$502 , 2 )</f>
        <v>2.95837720201065E-032</v>
      </c>
      <c r="CE521" s="0" t="n">
        <f aca="false" t="array" ref="CE521:CE524">$CA$521:$CA$524 - $CB$521:$CB$524 * TINV(1 - $CA$518 , $CA$502)</f>
        <v>33.0170967837118</v>
      </c>
      <c r="CF521" s="0" t="n">
        <f aca="false" t="array" ref="CF521:CF524">$CA$521:$CA$524 + $CB$521:$CB$524 * TINV(1 - $CA$518 , $CA$502)</f>
        <v>36.058557609225</v>
      </c>
      <c r="CG521" s="0" t="str">
        <f aca="false">"Intercept"</f>
        <v>Intercept</v>
      </c>
      <c r="CH521" s="0" t="n">
        <f aca="false" t="array" ref="CH521:CH524">INDEX($CG$499:$CJ$499, 1 , 525 - ROW())</f>
        <v>36.3997311387295</v>
      </c>
      <c r="CI521" s="0" t="n">
        <f aca="false" t="array" ref="CI521:CI524">INDEX($CG$500:$CJ$500, 1 , 525 - ROW())</f>
        <v>0.915484996680457</v>
      </c>
      <c r="CJ521" s="0" t="n">
        <f aca="false" t="array" ref="CJ521:CJ524">$CH$521:$CH$524 / $CI$521:$CI$524</f>
        <v>39.760052071541</v>
      </c>
      <c r="CK521" s="0" t="n">
        <f aca="false" t="array" ref="CK521:CK524">TDIST(ABS($CJ$521:$CJ$524) , $CH$502 , 2 )</f>
        <v>4.30734910398332E-030</v>
      </c>
      <c r="CL521" s="0" t="n">
        <f aca="false" t="array" ref="CL521:CL524">$CH$521:$CH$524 - $CI$521:$CI$524 * TINV(1 - $CH$518 , $CH$502)</f>
        <v>34.5392417808629</v>
      </c>
      <c r="CM521" s="0" t="n">
        <f aca="false" t="array" ref="CM521:CM524">$CH$521:$CH$524 + $CI$521:$CI$524 * TINV(1 - $CH$518 , $CH$502)</f>
        <v>38.2602204965961</v>
      </c>
      <c r="CN521" s="0" t="str">
        <f aca="false">"Intercept"</f>
        <v>Intercept</v>
      </c>
      <c r="CO521" s="0" t="n">
        <f aca="false" t="array" ref="CO521:CO524">INDEX($CN$499:$CQ$499, 1 , 525 - ROW())</f>
        <v>35.7730409962397</v>
      </c>
      <c r="CP521" s="0" t="n">
        <f aca="false" t="array" ref="CP521:CP524">INDEX($CN$500:$CQ$500, 1 , 525 - ROW())</f>
        <v>0.884131347814266</v>
      </c>
      <c r="CQ521" s="0" t="n">
        <f aca="false" t="array" ref="CQ521:CQ524">$CO$521:$CO$524 / $CP$521:$CP$524</f>
        <v>40.4612290749301</v>
      </c>
      <c r="CR521" s="0" t="n">
        <f aca="false" t="array" ref="CR521:CR524">TDIST(ABS($CQ$521:$CQ$524) , $CO$502 , 2 )</f>
        <v>2.40587117289373E-030</v>
      </c>
      <c r="CS521" s="0" t="n">
        <f aca="false" t="array" ref="CS521:CS524">$CO$521:$CO$524 - $CP$521:$CP$524 * TINV(1 - $CO$518 , $CO$502)</f>
        <v>33.9762699191285</v>
      </c>
      <c r="CT521" s="0" t="n">
        <f aca="false" t="array" ref="CT521:CT524">$CO$521:$CO$524 + $CP$521:$CP$524 * TINV(1 - $CO$518 , $CO$502)</f>
        <v>37.5698120733509</v>
      </c>
      <c r="DC521" s="0" t="n">
        <v>1.48572142648158</v>
      </c>
      <c r="DD521" s="0" t="n">
        <v>5.81596367466479</v>
      </c>
      <c r="DE521" s="0" t="n">
        <v>3.01564094745514</v>
      </c>
      <c r="DF521" s="0" t="n">
        <v>-2.80032272720965</v>
      </c>
      <c r="DJ521" s="0" t="n">
        <v>1.48572142648158</v>
      </c>
      <c r="DK521" s="0" t="n">
        <v>-0.380858459162621</v>
      </c>
      <c r="DL521" s="0" t="n">
        <v>2.37246173690123</v>
      </c>
      <c r="DM521" s="0" t="n">
        <v>2.75332019606385</v>
      </c>
    </row>
    <row r="522" customFormat="false" ht="12.8" hidden="false" customHeight="false" outlineLevel="0" collapsed="false">
      <c r="BS522" s="24"/>
      <c r="BZ522" s="24" t="str">
        <f aca="false">$BK$94</f>
        <v>log (Whβ) FEROS</v>
      </c>
      <c r="CA522" s="0" t="n">
        <v>0.234463384101598</v>
      </c>
      <c r="CB522" s="0" t="n">
        <v>0.122291507398216</v>
      </c>
      <c r="CC522" s="0" t="n">
        <v>1.91724993084041</v>
      </c>
      <c r="CD522" s="0" t="n">
        <v>0.0636399892059317</v>
      </c>
      <c r="CE522" s="0" t="n">
        <v>-0.014062860344613</v>
      </c>
      <c r="CF522" s="0" t="n">
        <v>0.482989628547808</v>
      </c>
      <c r="CG522" s="24" t="str">
        <f aca="false">$BK$94</f>
        <v>log (Whβ) FEROS</v>
      </c>
      <c r="CH522" s="0" t="n">
        <v>0.142510537544196</v>
      </c>
      <c r="CI522" s="0" t="n">
        <v>0.149613663383913</v>
      </c>
      <c r="CJ522" s="0" t="n">
        <v>0.952523548457667</v>
      </c>
      <c r="CK522" s="0" t="n">
        <v>0.347554522824905</v>
      </c>
      <c r="CL522" s="0" t="n">
        <v>-0.16154100838667</v>
      </c>
      <c r="CM522" s="0" t="n">
        <v>0.446562083475062</v>
      </c>
      <c r="CN522" s="24" t="str">
        <f aca="false">$BK$94</f>
        <v>log (Whβ) FEROS</v>
      </c>
      <c r="CO522" s="0" t="n">
        <v>0.140696410509156</v>
      </c>
      <c r="CP522" s="0" t="n">
        <v>0.144489675241744</v>
      </c>
      <c r="CQ522" s="0" t="n">
        <v>0.973747157184473</v>
      </c>
      <c r="CR522" s="0" t="n">
        <v>0.337059392897524</v>
      </c>
      <c r="CS522" s="0" t="n">
        <v>-0.152941938653979</v>
      </c>
      <c r="CT522" s="0" t="n">
        <v>0.434334759672291</v>
      </c>
      <c r="DC522" s="0" t="n">
        <v>1.25527250510331</v>
      </c>
      <c r="DD522" s="0" t="n">
        <v>5.27677109205154</v>
      </c>
      <c r="DE522" s="0" t="n">
        <v>2.78979408705346</v>
      </c>
      <c r="DF522" s="0" t="n">
        <v>-2.48697700499808</v>
      </c>
      <c r="DJ522" s="0" t="n">
        <v>1.25527250510331</v>
      </c>
      <c r="DK522" s="0" t="n">
        <v>-0.345549425665635</v>
      </c>
      <c r="DL522" s="0" t="n">
        <v>2.00306036143839</v>
      </c>
      <c r="DM522" s="0" t="n">
        <v>2.34860978710402</v>
      </c>
    </row>
    <row r="523" customFormat="false" ht="12.8" hidden="false" customHeight="false" outlineLevel="0" collapsed="false">
      <c r="BS523" s="24"/>
      <c r="BZ523" s="24" t="str">
        <f aca="false">$BL$94</f>
        <v>log (σHβ) (Km s-¹)</v>
      </c>
      <c r="CA523" s="0" t="n">
        <v>2.98272881594503</v>
      </c>
      <c r="CB523" s="0" t="n">
        <v>0.369016865277815</v>
      </c>
      <c r="CC523" s="0" t="n">
        <v>8.08290649181977</v>
      </c>
      <c r="CD523" s="0" t="n">
        <v>2.00647153554784E-009</v>
      </c>
      <c r="CE523" s="0" t="n">
        <v>2.23279631763855</v>
      </c>
      <c r="CF523" s="0" t="n">
        <v>3.7326613142515</v>
      </c>
      <c r="CG523" s="24" t="str">
        <f aca="false">$BL$94</f>
        <v>log (σHβ) (Km s-¹)</v>
      </c>
      <c r="CH523" s="0" t="n">
        <v>2.31569951695457</v>
      </c>
      <c r="CI523" s="0" t="n">
        <v>0.451461971802199</v>
      </c>
      <c r="CJ523" s="0" t="n">
        <v>5.12933460975792</v>
      </c>
      <c r="CK523" s="0" t="n">
        <v>1.1673626800022E-005</v>
      </c>
      <c r="CL523" s="0" t="n">
        <v>1.39821840359381</v>
      </c>
      <c r="CM523" s="0" t="n">
        <v>3.23318063031535</v>
      </c>
      <c r="CN523" s="24" t="str">
        <f aca="false">$BL$94</f>
        <v>log (σHβ) (Km s-¹)</v>
      </c>
      <c r="CO523" s="0" t="n">
        <v>2.7687620719672</v>
      </c>
      <c r="CP523" s="0" t="n">
        <v>0.436000243656298</v>
      </c>
      <c r="CQ523" s="0" t="n">
        <v>6.35036817582569</v>
      </c>
      <c r="CR523" s="0" t="n">
        <v>3.0321521957887E-007</v>
      </c>
      <c r="CS523" s="0" t="n">
        <v>1.8827029707355</v>
      </c>
      <c r="CT523" s="0" t="n">
        <v>3.6548211731989</v>
      </c>
      <c r="DC523" s="0" t="n">
        <v>1.39269695325967</v>
      </c>
      <c r="DD523" s="0" t="n">
        <v>5.59830977694735</v>
      </c>
      <c r="DE523" s="0" t="n">
        <v>2.69731789498893</v>
      </c>
      <c r="DF523" s="0" t="n">
        <v>-2.90099188195842</v>
      </c>
      <c r="DJ523" s="0" t="n">
        <v>1.39269695325967</v>
      </c>
      <c r="DK523" s="0" t="n">
        <v>-0.366605390754284</v>
      </c>
      <c r="DL523" s="0" t="n">
        <v>2.15672838520209</v>
      </c>
      <c r="DM523" s="0" t="n">
        <v>2.52333377595637</v>
      </c>
    </row>
    <row r="524" customFormat="false" ht="12.8" hidden="false" customHeight="false" outlineLevel="0" collapsed="false">
      <c r="BS524" s="24"/>
      <c r="BZ524" s="24" t="str">
        <f aca="false">$BM$94</f>
        <v>log(O/H)</v>
      </c>
      <c r="CA524" s="0" t="n">
        <v>0.108540655952837</v>
      </c>
      <c r="CB524" s="0" t="n">
        <v>0.0451469467202428</v>
      </c>
      <c r="CC524" s="0" t="n">
        <v>2.40416382143004</v>
      </c>
      <c r="CD524" s="0" t="n">
        <v>0.0218054722370459</v>
      </c>
      <c r="CE524" s="0" t="n">
        <v>0.0167910213681644</v>
      </c>
      <c r="CF524" s="0" t="n">
        <v>0.20029029053751</v>
      </c>
      <c r="CG524" s="24" t="str">
        <f aca="false">$BM$94</f>
        <v>log(O/H)</v>
      </c>
      <c r="CH524" s="0" t="n">
        <v>0.0677140372697708</v>
      </c>
      <c r="CI524" s="0" t="n">
        <v>0.0552335990709393</v>
      </c>
      <c r="CJ524" s="0" t="n">
        <v>1.22595735944714</v>
      </c>
      <c r="CK524" s="0" t="n">
        <v>0.228638552202845</v>
      </c>
      <c r="CL524" s="0" t="n">
        <v>-0.0445341411720019</v>
      </c>
      <c r="CM524" s="0" t="n">
        <v>0.179962215711544</v>
      </c>
      <c r="CN524" s="24" t="str">
        <f aca="false">$BM$94</f>
        <v>log(O/H)</v>
      </c>
      <c r="CO524" s="0" t="n">
        <v>0.0439568083399089</v>
      </c>
      <c r="CP524" s="0" t="n">
        <v>0.0533419516084843</v>
      </c>
      <c r="CQ524" s="0" t="n">
        <v>0.824056994812265</v>
      </c>
      <c r="CR524" s="0" t="n">
        <v>0.415650714742285</v>
      </c>
      <c r="CS524" s="0" t="n">
        <v>-0.0644470799327249</v>
      </c>
      <c r="CT524" s="0" t="n">
        <v>0.152360696612543</v>
      </c>
      <c r="DC524" s="0" t="n">
        <v>1.50379068305718</v>
      </c>
      <c r="DD524" s="0" t="n">
        <v>5.8582411956904</v>
      </c>
      <c r="DE524" s="0" t="n">
        <v>2.87869411208692</v>
      </c>
      <c r="DF524" s="0" t="n">
        <v>-2.97954708360348</v>
      </c>
      <c r="DJ524" s="0" t="n">
        <v>1.50379068305718</v>
      </c>
      <c r="DK524" s="0" t="n">
        <v>-0.383627003193454</v>
      </c>
      <c r="DL524" s="0" t="n">
        <v>1.78422575681948</v>
      </c>
      <c r="DM524" s="0" t="n">
        <v>2.16785276001293</v>
      </c>
    </row>
    <row r="525" customFormat="false" ht="12.8" hidden="false" customHeight="false" outlineLevel="0" collapsed="false">
      <c r="DC525" s="0" t="n">
        <v>1.24303804868629</v>
      </c>
      <c r="DD525" s="0" t="n">
        <v>5.24814553757765</v>
      </c>
      <c r="DE525" s="0" t="n">
        <v>2.61580568669518</v>
      </c>
      <c r="DF525" s="0" t="n">
        <v>-2.63233985088247</v>
      </c>
      <c r="DJ525" s="0" t="n">
        <v>1.24303804868629</v>
      </c>
      <c r="DK525" s="0" t="n">
        <v>-0.343674880847363</v>
      </c>
      <c r="DL525" s="0" t="n">
        <v>1.79879437718644</v>
      </c>
      <c r="DM525" s="0" t="n">
        <v>2.1424692580338</v>
      </c>
    </row>
    <row r="526" customFormat="false" ht="12.8" hidden="false" customHeight="false" outlineLevel="0" collapsed="false">
      <c r="BZ526" s="0" t="str">
        <f aca="false">$BK$94</f>
        <v>log (Whβ) FEROS</v>
      </c>
      <c r="CA526" s="0" t="str">
        <f aca="false">$BL$94</f>
        <v>log (σHβ) (Km s-¹)</v>
      </c>
      <c r="CB526" s="0" t="str">
        <f aca="false">$BM$94</f>
        <v>log(O/H)</v>
      </c>
      <c r="CC526" s="0" t="s">
        <v>157</v>
      </c>
      <c r="CD526" s="0" t="str">
        <f aca="false">$BG$94</f>
        <v>log (LHβ) (erg s-¹) KTC</v>
      </c>
      <c r="CE526" s="0" t="s">
        <v>133</v>
      </c>
      <c r="CF526" s="26" t="s">
        <v>158</v>
      </c>
      <c r="CG526" s="0" t="str">
        <f aca="false">$BK$94</f>
        <v>log (Whβ) FEROS</v>
      </c>
      <c r="CH526" s="0" t="str">
        <f aca="false">$BL$94</f>
        <v>log (σHβ) (Km s-¹)</v>
      </c>
      <c r="CI526" s="0" t="str">
        <f aca="false">$BM$94</f>
        <v>log(O/H)</v>
      </c>
      <c r="CJ526" s="0" t="s">
        <v>157</v>
      </c>
      <c r="CK526" s="0" t="str">
        <f aca="false">$BH$94</f>
        <v>log (LHβ) (erg s-¹) NTT</v>
      </c>
      <c r="CL526" s="0" t="s">
        <v>133</v>
      </c>
      <c r="CM526" s="26" t="s">
        <v>158</v>
      </c>
      <c r="CN526" s="0" t="str">
        <f aca="false">$BK$94</f>
        <v>log (Whβ) FEROS</v>
      </c>
      <c r="CO526" s="0" t="str">
        <f aca="false">$BL$94</f>
        <v>log (σHβ) (Km s-¹)</v>
      </c>
      <c r="CP526" s="0" t="str">
        <f aca="false">$BM$94</f>
        <v>log(O/H)</v>
      </c>
      <c r="CQ526" s="0" t="s">
        <v>157</v>
      </c>
      <c r="CR526" s="0" t="str">
        <f aca="false">$BI$94</f>
        <v>log(LHβ) B.K (erg s-¹) NTT</v>
      </c>
      <c r="CS526" s="0" t="s">
        <v>133</v>
      </c>
      <c r="CT526" s="26" t="s">
        <v>158</v>
      </c>
      <c r="DC526" s="0" t="n">
        <v>1.3096301674259</v>
      </c>
      <c r="DD526" s="0" t="n">
        <v>5.40395436614648</v>
      </c>
      <c r="DE526" s="0" t="n">
        <v>2.67493557431311</v>
      </c>
      <c r="DF526" s="0" t="n">
        <v>-2.72901879183337</v>
      </c>
      <c r="DJ526" s="0" t="n">
        <v>1.3096301674259</v>
      </c>
      <c r="DK526" s="0" t="n">
        <v>-0.353878024073851</v>
      </c>
      <c r="DL526" s="0" t="n">
        <v>1.83140139602582</v>
      </c>
      <c r="DM526" s="0" t="n">
        <v>2.18527942009967</v>
      </c>
    </row>
    <row r="527" customFormat="false" ht="12.8" hidden="false" customHeight="false" outlineLevel="0" collapsed="false">
      <c r="BZ527" s="0" t="n">
        <f aca="false" t="array" ref="BZ527:CB564">$BK$95:$BM$132</f>
        <v>1.64345267648619</v>
      </c>
      <c r="CA527" s="0" t="n">
        <v>1.18752072083646</v>
      </c>
      <c r="CB527" s="0" t="n">
        <v>7.73</v>
      </c>
      <c r="CC527" s="0" t="n">
        <f aca="false" t="array" ref="CC527:CC564">MMULT($BZ$527:$CB$564 , $CA$522:$CA$524) + $CA$521</f>
        <v>39.3042282166943</v>
      </c>
      <c r="CD527" s="0" t="n">
        <f aca="false" t="array" ref="CD527:CD564">$BG$95:$BG$132</f>
        <v>39.4693811697741</v>
      </c>
      <c r="CE527" s="0" t="n">
        <f aca="false" t="array" ref="CE527:CE564">$CD$527:$CD$564 - $CC$527:$CC$564</f>
        <v>0.165152953079755</v>
      </c>
      <c r="CF527" s="20" t="n">
        <f aca="false">(CE527)^2</f>
        <v>0.0272754979109636</v>
      </c>
      <c r="CG527" s="0" t="n">
        <f aca="false" t="array" ref="CG527:CI564">$BK$95:$BM$132</f>
        <v>1.64345267648619</v>
      </c>
      <c r="CH527" s="0" t="n">
        <v>1.18752072083646</v>
      </c>
      <c r="CI527" s="0" t="n">
        <v>7.73</v>
      </c>
      <c r="CJ527" s="0" t="n">
        <f aca="false" t="array" ref="CJ527:CJ564">MMULT($CG$527:$CI$564 , $CH$522:$CH$524) + $CH$521</f>
        <v>39.9073111307939</v>
      </c>
      <c r="CK527" s="0" t="n">
        <f aca="false" t="array" ref="CK527:CK564">$BH$95:$BH$132</f>
        <v>39.926839874903</v>
      </c>
      <c r="CL527" s="0" t="n">
        <f aca="false" t="array" ref="CL527:CL564">$CK$527:$CK$564 - $CJ$527:$CJ$564</f>
        <v>0.0195287441091168</v>
      </c>
      <c r="CM527" s="20" t="n">
        <f aca="false">(CL527)^2</f>
        <v>0.000381371846479362</v>
      </c>
      <c r="CN527" s="0" t="n">
        <f aca="false" t="array" ref="CN527:CP564">$BK$95:$BM$132</f>
        <v>1.64345267648619</v>
      </c>
      <c r="CO527" s="0" t="n">
        <v>1.18752072083646</v>
      </c>
      <c r="CP527" s="0" t="n">
        <v>7.73</v>
      </c>
      <c r="CQ527" s="0" t="n">
        <f aca="false" t="array" ref="CQ527:CQ564">MMULT($CN$527:$CP$564 , $CO$522:$CO$524) + $CO$521</f>
        <v>39.6320173486576</v>
      </c>
      <c r="CR527" s="0" t="n">
        <f aca="false" t="array" ref="CR527:CR564">$BI$95:$BI$132</f>
        <v>39.926839874903</v>
      </c>
      <c r="CS527" s="0" t="n">
        <f aca="false" t="array" ref="CS527:CS564">$CR$527:$CR$564 - $CQ$527:$CQ$564</f>
        <v>0.294822526245419</v>
      </c>
      <c r="CT527" s="20" t="n">
        <f aca="false">(CS527)^2</f>
        <v>0.0869203219817306</v>
      </c>
      <c r="DC527" s="0" t="n">
        <v>1.54900326202579</v>
      </c>
      <c r="DD527" s="0" t="n">
        <v>5.96402727216621</v>
      </c>
      <c r="DE527" s="0" t="n">
        <v>2.79128793549291</v>
      </c>
      <c r="DF527" s="0" t="n">
        <v>-3.1727393366733</v>
      </c>
      <c r="DJ527" s="0" t="n">
        <v>1.54900326202579</v>
      </c>
      <c r="DK527" s="0" t="n">
        <v>-0.390554405828884</v>
      </c>
      <c r="DL527" s="0" t="n">
        <v>2.10676191127965</v>
      </c>
      <c r="DM527" s="0" t="n">
        <v>2.49731631710853</v>
      </c>
    </row>
    <row r="528" customFormat="false" ht="12.8" hidden="false" customHeight="false" outlineLevel="0" collapsed="false">
      <c r="BZ528" s="0" t="n">
        <v>1.96848294855394</v>
      </c>
      <c r="CA528" s="0" t="n">
        <v>1.32633586092875</v>
      </c>
      <c r="CB528" s="0" t="n">
        <v>8.18</v>
      </c>
      <c r="CC528" s="0" t="n">
        <v>39.8433271278403</v>
      </c>
      <c r="CD528" s="0" t="n">
        <v>40.1317447055601</v>
      </c>
      <c r="CE528" s="0" t="n">
        <v>0.288417577719791</v>
      </c>
      <c r="CF528" s="20" t="n">
        <f aca="false">(CE528)^2</f>
        <v>0.0831846991377517</v>
      </c>
      <c r="CG528" s="0" t="n">
        <v>1.96848294855394</v>
      </c>
      <c r="CH528" s="0" t="n">
        <v>1.32633586092875</v>
      </c>
      <c r="CI528" s="0" t="n">
        <v>8.18</v>
      </c>
      <c r="CJ528" s="0" t="n">
        <v>40.3055568392135</v>
      </c>
      <c r="CK528" s="0" t="n">
        <v>40.6654832485069</v>
      </c>
      <c r="CL528" s="0" t="n">
        <v>0.359926409293415</v>
      </c>
      <c r="CM528" s="20" t="n">
        <f aca="false">(CL528)^2</f>
        <v>0.129547020106851</v>
      </c>
      <c r="CN528" s="0" t="n">
        <v>1.96848294855394</v>
      </c>
      <c r="CO528" s="0" t="n">
        <v>1.32633586092875</v>
      </c>
      <c r="CP528" s="0" t="n">
        <v>8.18</v>
      </c>
      <c r="CQ528" s="0" t="n">
        <v>40.0818745998996</v>
      </c>
      <c r="CR528" s="0" t="n">
        <v>40.0250782651027</v>
      </c>
      <c r="CS528" s="0" t="n">
        <v>-0.0567963347969354</v>
      </c>
      <c r="CT528" s="20" t="n">
        <f aca="false">(CS528)^2</f>
        <v>0.00322582364636557</v>
      </c>
      <c r="DC528" s="0" t="n">
        <v>1.38021124171161</v>
      </c>
      <c r="DD528" s="0" t="n">
        <v>5.56909634858718</v>
      </c>
      <c r="DE528" s="0" t="n">
        <v>2.92471211300218</v>
      </c>
      <c r="DF528" s="0" t="n">
        <v>-2.644384235585</v>
      </c>
      <c r="DJ528" s="0" t="n">
        <v>1.38021124171161</v>
      </c>
      <c r="DK528" s="0" t="n">
        <v>-0.364692349006692</v>
      </c>
      <c r="DL528" s="0" t="n">
        <v>1.87422012754356</v>
      </c>
      <c r="DM528" s="0" t="n">
        <v>2.23891247655025</v>
      </c>
    </row>
    <row r="529" customFormat="false" ht="12.8" hidden="false" customHeight="false" outlineLevel="0" collapsed="false">
      <c r="BZ529" s="0" t="n">
        <v>1.57978359661681</v>
      </c>
      <c r="CA529" s="0" t="n">
        <v>1.52762990087134</v>
      </c>
      <c r="CB529" s="0" t="n">
        <v>8.08</v>
      </c>
      <c r="CC529" s="0" t="n">
        <v>40.3417428302065</v>
      </c>
      <c r="CD529" s="0" t="n">
        <v>39.9963150223595</v>
      </c>
      <c r="CE529" s="0" t="n">
        <v>-0.345427807847003</v>
      </c>
      <c r="CF529" s="20" t="n">
        <f aca="false">(CE529)^2</f>
        <v>0.119320370433986</v>
      </c>
      <c r="CG529" s="0" t="n">
        <v>1.57978359661681</v>
      </c>
      <c r="CH529" s="0" t="n">
        <v>1.52762990087134</v>
      </c>
      <c r="CI529" s="0" t="n">
        <v>8.08</v>
      </c>
      <c r="CJ529" s="0" t="n">
        <v>40.7095281929598</v>
      </c>
      <c r="CK529" s="0" t="n">
        <v>40.4667860464016</v>
      </c>
      <c r="CL529" s="0" t="n">
        <v>-0.242742146558157</v>
      </c>
      <c r="CM529" s="20" t="n">
        <f aca="false">(CL529)^2</f>
        <v>0.058923749715662</v>
      </c>
      <c r="CN529" s="0" t="n">
        <v>1.57978359661681</v>
      </c>
      <c r="CO529" s="0" t="n">
        <v>1.52762990087134</v>
      </c>
      <c r="CP529" s="0" t="n">
        <v>8.08</v>
      </c>
      <c r="CQ529" s="0" t="n">
        <v>40.580125618587</v>
      </c>
      <c r="CR529" s="0" t="n">
        <v>40.4667860464016</v>
      </c>
      <c r="CS529" s="0" t="n">
        <v>-0.113339572185353</v>
      </c>
      <c r="CT529" s="20" t="n">
        <f aca="false">(CS529)^2</f>
        <v>0.0128458586231589</v>
      </c>
      <c r="DC529" s="0" t="n">
        <v>1.23552844690755</v>
      </c>
      <c r="DD529" s="0" t="n">
        <v>5.23057495597866</v>
      </c>
      <c r="DE529" s="0" t="n">
        <v>2.78105642519169</v>
      </c>
      <c r="DF529" s="0" t="n">
        <v>-2.44951853078697</v>
      </c>
      <c r="DJ529" s="0" t="n">
        <v>1.23552844690755</v>
      </c>
      <c r="DK529" s="0" t="n">
        <v>-0.342524271075928</v>
      </c>
      <c r="DL529" s="0" t="n">
        <v>1.7010708609064</v>
      </c>
      <c r="DM529" s="0" t="n">
        <v>2.04359513198233</v>
      </c>
    </row>
    <row r="530" customFormat="false" ht="12.8" hidden="false" customHeight="false" outlineLevel="0" collapsed="false">
      <c r="BZ530" s="0" t="n">
        <v>1.41497334797082</v>
      </c>
      <c r="CA530" s="0" t="n">
        <v>1.54530711646582</v>
      </c>
      <c r="CB530" s="0" t="n">
        <v>8.36</v>
      </c>
      <c r="CC530" s="0" t="n">
        <v>40.3862185855805</v>
      </c>
      <c r="CD530" s="0" t="n">
        <v>40.3308782653967</v>
      </c>
      <c r="CE530" s="0" t="n">
        <v>-0.0553403201837597</v>
      </c>
      <c r="CF530" s="20" t="n">
        <f aca="false">(CE530)^2</f>
        <v>0.00306255103804104</v>
      </c>
      <c r="CG530" s="0" t="n">
        <v>1.41497334797082</v>
      </c>
      <c r="CH530" s="0" t="n">
        <v>1.54530711646582</v>
      </c>
      <c r="CI530" s="0" t="n">
        <v>8.36</v>
      </c>
      <c r="CJ530" s="0" t="n">
        <v>40.7459360458812</v>
      </c>
      <c r="CK530" s="0" t="n">
        <v>40.6750396842358</v>
      </c>
      <c r="CL530" s="0" t="n">
        <v>-0.0708963616454028</v>
      </c>
      <c r="CM530" s="20" t="n">
        <f aca="false">(CL530)^2</f>
        <v>0.00502629409455574</v>
      </c>
      <c r="CN530" s="0" t="n">
        <v>1.41497334797082</v>
      </c>
      <c r="CO530" s="0" t="n">
        <v>1.54530711646582</v>
      </c>
      <c r="CP530" s="0" t="n">
        <v>8.36</v>
      </c>
      <c r="CQ530" s="0" t="n">
        <v>40.6181893185985</v>
      </c>
      <c r="CR530" s="0" t="n">
        <v>40.6750396842358</v>
      </c>
      <c r="CS530" s="0" t="n">
        <v>0.0568503656373025</v>
      </c>
      <c r="CT530" s="20" t="n">
        <f aca="false">(CS530)^2</f>
        <v>0.00323196407309499</v>
      </c>
    </row>
    <row r="531" customFormat="false" ht="12.8" hidden="false" customHeight="false" outlineLevel="0" collapsed="false">
      <c r="BZ531" s="0" t="n">
        <v>2.20682587603185</v>
      </c>
      <c r="CA531" s="0" t="n">
        <v>1.44247976906445</v>
      </c>
      <c r="CB531" s="0" t="n">
        <v>7.98</v>
      </c>
      <c r="CC531" s="0" t="n">
        <v>40.2239274675957</v>
      </c>
      <c r="CD531" s="0" t="n">
        <v>40.4850090486329</v>
      </c>
      <c r="CE531" s="0" t="n">
        <v>0.261081581037175</v>
      </c>
      <c r="CF531" s="20" t="n">
        <f aca="false">(CE531)^2</f>
        <v>0.0681635919568708</v>
      </c>
      <c r="CG531" s="0" t="n">
        <v>2.20682587603185</v>
      </c>
      <c r="CH531" s="0" t="n">
        <v>1.44247976906445</v>
      </c>
      <c r="CI531" s="0" t="n">
        <v>7.98</v>
      </c>
      <c r="CJ531" s="0" t="n">
        <v>40.5949348024413</v>
      </c>
      <c r="CK531" s="0" t="n">
        <v>40.9096967114523</v>
      </c>
      <c r="CL531" s="0" t="n">
        <v>0.314761909010976</v>
      </c>
      <c r="CM531" s="20" t="n">
        <f aca="false">(CL531)^2</f>
        <v>0.0990750593642337</v>
      </c>
      <c r="CN531" s="0" t="n">
        <v>2.20682587603185</v>
      </c>
      <c r="CO531" s="0" t="n">
        <v>1.44247976906445</v>
      </c>
      <c r="CP531" s="0" t="n">
        <v>7.98</v>
      </c>
      <c r="CQ531" s="0" t="n">
        <v>40.4281920803342</v>
      </c>
      <c r="CR531" s="0" t="n">
        <v>40.9096967114523</v>
      </c>
      <c r="CS531" s="0" t="n">
        <v>0.481504631118085</v>
      </c>
      <c r="CT531" s="20" t="n">
        <f aca="false">(CS531)^2</f>
        <v>0.231846709788163</v>
      </c>
    </row>
    <row r="532" customFormat="false" ht="12.8" hidden="false" customHeight="false" outlineLevel="0" collapsed="false">
      <c r="BZ532" s="0" t="n">
        <v>2.03742649794062</v>
      </c>
      <c r="CA532" s="0" t="n">
        <v>1.53781909507327</v>
      </c>
      <c r="CB532" s="0" t="n">
        <v>8.25</v>
      </c>
      <c r="CC532" s="0" t="n">
        <v>40.4978868482303</v>
      </c>
      <c r="CD532" s="0" t="n">
        <v>40.5363222856562</v>
      </c>
      <c r="CE532" s="0" t="n">
        <v>0.0384354374259033</v>
      </c>
      <c r="CF532" s="20" t="n">
        <f aca="false">(CE532)^2</f>
        <v>0.00147728285012053</v>
      </c>
      <c r="CG532" s="0" t="n">
        <v>2.03742649794062</v>
      </c>
      <c r="CH532" s="0" t="n">
        <v>1.53781909507327</v>
      </c>
      <c r="CI532" s="0" t="n">
        <v>8.25</v>
      </c>
      <c r="CJ532" s="0" t="n">
        <v>40.8098536272581</v>
      </c>
      <c r="CK532" s="0" t="n">
        <v>40.8519069419647</v>
      </c>
      <c r="CL532" s="0" t="n">
        <v>0.0420533147065711</v>
      </c>
      <c r="CM532" s="20" t="n">
        <f aca="false">(CL532)^2</f>
        <v>0.00176848127780991</v>
      </c>
      <c r="CN532" s="0" t="n">
        <v>2.03742649794062</v>
      </c>
      <c r="CO532" s="0" t="n">
        <v>1.53781909507327</v>
      </c>
      <c r="CP532" s="0" t="n">
        <v>8.25</v>
      </c>
      <c r="CQ532" s="0" t="n">
        <v>40.6801984439662</v>
      </c>
      <c r="CR532" s="0" t="n">
        <v>40.8519069419647</v>
      </c>
      <c r="CS532" s="0" t="n">
        <v>0.171708497998495</v>
      </c>
      <c r="CT532" s="20" t="n">
        <f aca="false">(CS532)^2</f>
        <v>0.029483808284899</v>
      </c>
    </row>
    <row r="533" customFormat="false" ht="12.8" hidden="false" customHeight="false" outlineLevel="0" collapsed="false">
      <c r="BZ533" s="0" t="n">
        <v>1.75587485567249</v>
      </c>
      <c r="CA533" s="0" t="n">
        <v>1.3541084391474</v>
      </c>
      <c r="CB533" s="0" t="n">
        <v>8.09</v>
      </c>
      <c r="CC533" s="0" t="n">
        <v>39.866547725206</v>
      </c>
      <c r="CD533" s="0" t="n">
        <v>39.9166540391504</v>
      </c>
      <c r="CE533" s="0" t="n">
        <v>0.0501063139443616</v>
      </c>
      <c r="CF533" s="20" t="n">
        <f aca="false">(CE533)^2</f>
        <v>0.00251064269709093</v>
      </c>
      <c r="CG533" s="0" t="n">
        <v>1.75587485567249</v>
      </c>
      <c r="CH533" s="0" t="n">
        <v>1.3541084391474</v>
      </c>
      <c r="CI533" s="0" t="n">
        <v>8.09</v>
      </c>
      <c r="CJ533" s="0" t="n">
        <v>40.3334766282219</v>
      </c>
      <c r="CK533" s="0" t="n">
        <v>40.3823661888664</v>
      </c>
      <c r="CL533" s="0" t="n">
        <v>0.0488895606444615</v>
      </c>
      <c r="CM533" s="20" t="n">
        <f aca="false">(CL533)^2</f>
        <v>0.00239018914000848</v>
      </c>
      <c r="CN533" s="0" t="n">
        <v>1.75587485567249</v>
      </c>
      <c r="CO533" s="0" t="n">
        <v>1.3541084391474</v>
      </c>
      <c r="CP533" s="0" t="n">
        <v>8.09</v>
      </c>
      <c r="CQ533" s="0" t="n">
        <v>40.124900952848</v>
      </c>
      <c r="CR533" s="0" t="n">
        <v>40.3823661888664</v>
      </c>
      <c r="CS533" s="0" t="n">
        <v>0.257465236018426</v>
      </c>
      <c r="CT533" s="20" t="n">
        <f aca="false">(CS533)^2</f>
        <v>0.0662883477580238</v>
      </c>
    </row>
    <row r="534" customFormat="false" ht="12.8" hidden="false" customHeight="false" outlineLevel="0" collapsed="false">
      <c r="BZ534" s="0" t="n">
        <v>1.30102999566398</v>
      </c>
      <c r="CA534" s="0" t="n">
        <v>1.42488163663107</v>
      </c>
      <c r="CB534" s="0" t="n">
        <v>7.96</v>
      </c>
      <c r="CC534" s="0" t="n">
        <v>39.9568902303445</v>
      </c>
      <c r="CD534" s="0" t="n">
        <v>39.9203081956583</v>
      </c>
      <c r="CE534" s="0" t="n">
        <v>-0.0365820346861696</v>
      </c>
      <c r="CF534" s="20" t="n">
        <f aca="false">(CE534)^2</f>
        <v>0.00133824526178012</v>
      </c>
      <c r="CG534" s="0" t="n">
        <v>1.30102999566398</v>
      </c>
      <c r="CH534" s="0" t="n">
        <v>1.42488163663107</v>
      </c>
      <c r="CI534" s="0" t="n">
        <v>7.96</v>
      </c>
      <c r="CJ534" s="0" t="n">
        <v>40.4237430771041</v>
      </c>
      <c r="CK534" s="0" t="n">
        <v>39.8052047714277</v>
      </c>
      <c r="CL534" s="0" t="n">
        <v>-0.61853830567641</v>
      </c>
      <c r="CM534" s="20" t="n">
        <f aca="false">(CL534)^2</f>
        <v>0.382589635589043</v>
      </c>
      <c r="CN534" s="0" t="n">
        <v>1.30102999566398</v>
      </c>
      <c r="CO534" s="0" t="n">
        <v>1.42488163663107</v>
      </c>
      <c r="CP534" s="0" t="n">
        <v>7.96</v>
      </c>
      <c r="CQ534" s="0" t="n">
        <v>40.2511456735267</v>
      </c>
      <c r="CR534" s="0" t="n">
        <v>39.8052047714277</v>
      </c>
      <c r="CS534" s="0" t="n">
        <v>-0.445940902098975</v>
      </c>
      <c r="CT534" s="20" t="n">
        <f aca="false">(CS534)^2</f>
        <v>0.198863288164848</v>
      </c>
    </row>
    <row r="535" customFormat="false" ht="12.8" hidden="false" customHeight="false" outlineLevel="0" collapsed="false">
      <c r="BZ535" s="0" t="n">
        <v>1.79239168949825</v>
      </c>
      <c r="CA535" s="0" t="n">
        <v>1.43775056282039</v>
      </c>
      <c r="CB535" s="0" t="n">
        <v>8.01</v>
      </c>
      <c r="CC535" s="0" t="n">
        <v>40.1159081056715</v>
      </c>
      <c r="CD535" s="0" t="n">
        <v>40.0555420750015</v>
      </c>
      <c r="CE535" s="0" t="n">
        <v>-0.0603660306700391</v>
      </c>
      <c r="CF535" s="20" t="n">
        <f aca="false">(CE535)^2</f>
        <v>0.0036440576588561</v>
      </c>
      <c r="CG535" s="0" t="n">
        <v>1.79239168949825</v>
      </c>
      <c r="CH535" s="0" t="n">
        <v>1.43775056282039</v>
      </c>
      <c r="CI535" s="0" t="n">
        <v>8.01</v>
      </c>
      <c r="CJ535" s="0" t="n">
        <v>40.5269535642449</v>
      </c>
      <c r="CK535" s="0" t="n">
        <v>40.1409607062428</v>
      </c>
      <c r="CL535" s="0" t="n">
        <v>-0.385992858002076</v>
      </c>
      <c r="CM535" s="20" t="n">
        <f aca="false">(CL535)^2</f>
        <v>0.148990486428611</v>
      </c>
      <c r="CN535" s="0" t="n">
        <v>1.79239168949825</v>
      </c>
      <c r="CO535" s="0" t="n">
        <v>1.43775056282039</v>
      </c>
      <c r="CP535" s="0" t="n">
        <v>8.01</v>
      </c>
      <c r="CQ535" s="0" t="n">
        <v>40.3581073352678</v>
      </c>
      <c r="CR535" s="0" t="n">
        <v>40.1409607062428</v>
      </c>
      <c r="CS535" s="0" t="n">
        <v>-0.217146629024988</v>
      </c>
      <c r="CT535" s="20" t="n">
        <f aca="false">(CS535)^2</f>
        <v>0.0471526584969158</v>
      </c>
    </row>
    <row r="536" customFormat="false" ht="12.8" hidden="false" customHeight="false" outlineLevel="0" collapsed="false">
      <c r="BZ536" s="0" t="n">
        <v>1.98677173426624</v>
      </c>
      <c r="CA536" s="0" t="n">
        <v>1.31386722036915</v>
      </c>
      <c r="CB536" s="0" t="n">
        <v>7.99</v>
      </c>
      <c r="CC536" s="0" t="n">
        <v>39.7898018803057</v>
      </c>
      <c r="CD536" s="0" t="n">
        <v>39.6009701741581</v>
      </c>
      <c r="CE536" s="0" t="n">
        <v>-0.18883170614761</v>
      </c>
      <c r="CF536" s="20" t="n">
        <f aca="false">(CE536)^2</f>
        <v>0.0356574132466174</v>
      </c>
      <c r="CG536" s="0" t="n">
        <v>1.98677173426624</v>
      </c>
      <c r="CH536" s="0" t="n">
        <v>1.31386722036915</v>
      </c>
      <c r="CI536" s="0" t="n">
        <v>7.99</v>
      </c>
      <c r="CJ536" s="0" t="n">
        <v>40.2664238918942</v>
      </c>
      <c r="CK536" s="0" t="n">
        <v>39.9728485150304</v>
      </c>
      <c r="CL536" s="0" t="n">
        <v>-0.293575376863778</v>
      </c>
      <c r="CM536" s="20" t="n">
        <f aca="false">(CL536)^2</f>
        <v>0.0861865019007093</v>
      </c>
      <c r="CN536" s="0" t="n">
        <v>1.98677173426624</v>
      </c>
      <c r="CO536" s="0" t="n">
        <v>1.31386722036915</v>
      </c>
      <c r="CP536" s="0" t="n">
        <v>7.99</v>
      </c>
      <c r="CQ536" s="0" t="n">
        <v>40.0415732737469</v>
      </c>
      <c r="CR536" s="0" t="n">
        <v>39.9728485150304</v>
      </c>
      <c r="CS536" s="0" t="n">
        <v>-0.0687247587165345</v>
      </c>
      <c r="CT536" s="20" t="n">
        <f aca="false">(CS536)^2</f>
        <v>0.00472309246064588</v>
      </c>
    </row>
    <row r="537" customFormat="false" ht="12.8" hidden="false" customHeight="false" outlineLevel="0" collapsed="false">
      <c r="BZ537" s="0" t="n">
        <v>2.26481782300954</v>
      </c>
      <c r="CA537" s="0" t="n">
        <v>1.51719589794997</v>
      </c>
      <c r="CB537" s="0" t="n">
        <v>1</v>
      </c>
      <c r="CC537" s="0" t="n">
        <v>39.7027686278266</v>
      </c>
      <c r="CD537" s="0" t="n">
        <v>39.7119114592515</v>
      </c>
      <c r="CE537" s="0" t="n">
        <v>0.00914283142485317</v>
      </c>
      <c r="CF537" s="20" t="n">
        <f aca="false">(CE537)^2</f>
        <v>8.35913664632827E-005</v>
      </c>
      <c r="CG537" s="0" t="n">
        <v>2.26481782300954</v>
      </c>
      <c r="CH537" s="0" t="n">
        <v>1.51719589794997</v>
      </c>
      <c r="CI537" s="0" t="n">
        <v>1</v>
      </c>
      <c r="CJ537" s="0" t="n">
        <v>40.3035753894043</v>
      </c>
      <c r="CK537" s="0" t="n">
        <v>40.3675165950432</v>
      </c>
      <c r="CL537" s="0" t="n">
        <v>0.0639412056389332</v>
      </c>
      <c r="CM537" s="20" t="n">
        <f aca="false">(CL537)^2</f>
        <v>0.00408847777856035</v>
      </c>
      <c r="CN537" s="0" t="n">
        <v>2.26481782300954</v>
      </c>
      <c r="CO537" s="0" t="n">
        <v>1.51719589794997</v>
      </c>
      <c r="CP537" s="0" t="n">
        <v>1</v>
      </c>
      <c r="CQ537" s="0" t="n">
        <v>40.3364040007223</v>
      </c>
      <c r="CR537" s="0" t="n">
        <v>40.3675165950432</v>
      </c>
      <c r="CS537" s="0" t="n">
        <v>0.0311125943209092</v>
      </c>
      <c r="CT537" s="20" t="n">
        <f aca="false">(CS537)^2</f>
        <v>0.00096799352537747</v>
      </c>
    </row>
    <row r="538" customFormat="false" ht="12.8" hidden="false" customHeight="false" outlineLevel="0" collapsed="false">
      <c r="BZ538" s="0" t="n">
        <v>1.69019608002851</v>
      </c>
      <c r="CA538" s="0" t="n">
        <v>1.32221929473392</v>
      </c>
      <c r="CB538" s="0" t="n">
        <v>8.07</v>
      </c>
      <c r="CC538" s="0" t="n">
        <v>39.7538609741279</v>
      </c>
      <c r="CD538" s="0" t="n">
        <v>39.8158956218551</v>
      </c>
      <c r="CE538" s="0" t="n">
        <v>0.0620346477271738</v>
      </c>
      <c r="CF538" s="20" t="n">
        <f aca="false">(CE538)^2</f>
        <v>0.00384829751863455</v>
      </c>
      <c r="CG538" s="0" t="n">
        <v>1.69019608002851</v>
      </c>
      <c r="CH538" s="0" t="n">
        <v>1.32221929473392</v>
      </c>
      <c r="CI538" s="0" t="n">
        <v>8.07</v>
      </c>
      <c r="CJ538" s="0" t="n">
        <v>40.2489167535399</v>
      </c>
      <c r="CK538" s="0" t="n">
        <v>40.2813702480347</v>
      </c>
      <c r="CL538" s="0" t="n">
        <v>0.0324534944948098</v>
      </c>
      <c r="CM538" s="20" t="n">
        <f aca="false">(CL538)^2</f>
        <v>0.00105322930492465</v>
      </c>
      <c r="CN538" s="0" t="n">
        <v>1.69019608002851</v>
      </c>
      <c r="CO538" s="0" t="n">
        <v>1.32221929473392</v>
      </c>
      <c r="CP538" s="0" t="n">
        <v>8.07</v>
      </c>
      <c r="CQ538" s="0" t="n">
        <v>40.0264875951419</v>
      </c>
      <c r="CR538" s="0" t="n">
        <v>40.2813702480347</v>
      </c>
      <c r="CS538" s="0" t="n">
        <v>0.254882652892796</v>
      </c>
      <c r="CT538" s="20" t="n">
        <f aca="false">(CS538)^2</f>
        <v>0.0649651667456696</v>
      </c>
    </row>
    <row r="539" customFormat="false" ht="12.8" hidden="false" customHeight="false" outlineLevel="0" collapsed="false">
      <c r="BZ539" s="0" t="n">
        <v>1.83250891270624</v>
      </c>
      <c r="CA539" s="0" t="n">
        <v>1.23299611039215</v>
      </c>
      <c r="CB539" s="0" t="n">
        <v>8.27</v>
      </c>
      <c r="CC539" s="0" t="n">
        <v>39.5428076906826</v>
      </c>
      <c r="CD539" s="0" t="n">
        <v>39.9770046637507</v>
      </c>
      <c r="CE539" s="0" t="n">
        <v>0.434196973068069</v>
      </c>
      <c r="CF539" s="20" t="n">
        <f aca="false">(CE539)^2</f>
        <v>0.188527011421473</v>
      </c>
      <c r="CG539" s="0" t="n">
        <v>1.83250891270624</v>
      </c>
      <c r="CH539" s="0" t="n">
        <v>1.23299611039215</v>
      </c>
      <c r="CI539" s="0" t="n">
        <v>8.27</v>
      </c>
      <c r="CJ539" s="0" t="n">
        <v>40.0761265543968</v>
      </c>
      <c r="CK539" s="0" t="n">
        <v>40.5618565782759</v>
      </c>
      <c r="CL539" s="0" t="n">
        <v>0.485730023879107</v>
      </c>
      <c r="CM539" s="20" t="n">
        <f aca="false">(CL539)^2</f>
        <v>0.235933656097598</v>
      </c>
      <c r="CN539" s="0" t="n">
        <v>1.83250891270624</v>
      </c>
      <c r="CO539" s="0" t="n">
        <v>1.23299611039215</v>
      </c>
      <c r="CP539" s="0" t="n">
        <v>8.27</v>
      </c>
      <c r="CQ539" s="0" t="n">
        <v>39.8082640927914</v>
      </c>
      <c r="CR539" s="0" t="n">
        <v>40.2717584423895</v>
      </c>
      <c r="CS539" s="0" t="n">
        <v>0.463494349598101</v>
      </c>
      <c r="CT539" s="20" t="n">
        <f aca="false">(CS539)^2</f>
        <v>0.214827012109366</v>
      </c>
    </row>
    <row r="540" customFormat="false" ht="12.8" hidden="false" customHeight="false" outlineLevel="0" collapsed="false">
      <c r="BZ540" s="0" t="n">
        <v>1.79239168949825</v>
      </c>
      <c r="CA540" s="0" t="n">
        <v>1.23299611039215</v>
      </c>
      <c r="CB540" s="0" t="n">
        <v>7.89</v>
      </c>
      <c r="CC540" s="0" t="n">
        <v>39.4921562215064</v>
      </c>
      <c r="CD540" s="0" t="n">
        <v>39.0888685217564</v>
      </c>
      <c r="CE540" s="0" t="n">
        <v>-0.403287699750038</v>
      </c>
      <c r="CF540" s="20" t="n">
        <f aca="false">(CE540)^2</f>
        <v>0.162640968769677</v>
      </c>
      <c r="CG540" s="0" t="n">
        <v>1.79239168949825</v>
      </c>
      <c r="CH540" s="0" t="n">
        <v>1.23299611039215</v>
      </c>
      <c r="CI540" s="0" t="n">
        <v>7.89</v>
      </c>
      <c r="CJ540" s="0" t="n">
        <v>40.0446780931901</v>
      </c>
      <c r="CK540" s="0" t="n">
        <v>39.807392282766</v>
      </c>
      <c r="CL540" s="0" t="n">
        <v>-0.237285810424126</v>
      </c>
      <c r="CM540" s="20" t="n">
        <f aca="false">(CL540)^2</f>
        <v>0.0563045558286343</v>
      </c>
      <c r="CN540" s="0" t="n">
        <v>1.79239168949825</v>
      </c>
      <c r="CO540" s="0" t="n">
        <v>1.23299611039215</v>
      </c>
      <c r="CP540" s="0" t="n">
        <v>7.89</v>
      </c>
      <c r="CQ540" s="0" t="n">
        <v>39.7859161563173</v>
      </c>
      <c r="CR540" s="0" t="n">
        <v>39.2678630647137</v>
      </c>
      <c r="CS540" s="0" t="n">
        <v>-0.518053091603569</v>
      </c>
      <c r="CT540" s="20" t="n">
        <f aca="false">(CS540)^2</f>
        <v>0.268379005720016</v>
      </c>
    </row>
    <row r="541" customFormat="false" ht="12.8" hidden="false" customHeight="false" outlineLevel="0" collapsed="false">
      <c r="BZ541" s="0" t="n">
        <v>1.53147891704226</v>
      </c>
      <c r="CA541" s="0" t="n">
        <v>1.3541084391474</v>
      </c>
      <c r="CB541" s="0" t="n">
        <v>8.27</v>
      </c>
      <c r="CC541" s="0" t="n">
        <v>39.8334724121277</v>
      </c>
      <c r="CD541" s="0" t="n">
        <v>39.3364926286811</v>
      </c>
      <c r="CE541" s="0" t="n">
        <v>-0.496979783446555</v>
      </c>
      <c r="CF541" s="20" t="n">
        <f aca="false">(CE541)^2</f>
        <v>0.246988905154585</v>
      </c>
      <c r="CG541" s="0" t="n">
        <v>1.53147891704226</v>
      </c>
      <c r="CH541" s="0" t="n">
        <v>1.3541084391474</v>
      </c>
      <c r="CI541" s="0" t="n">
        <v>8.27</v>
      </c>
      <c r="CJ541" s="0" t="n">
        <v>40.3136863690936</v>
      </c>
      <c r="CK541" s="0" t="n">
        <v>39.6234285182525</v>
      </c>
      <c r="CL541" s="0" t="n">
        <v>-0.690257850841064</v>
      </c>
      <c r="CM541" s="20" t="n">
        <f aca="false">(CL541)^2</f>
        <v>0.476455900647725</v>
      </c>
      <c r="CN541" s="0" t="n">
        <v>1.53147891704226</v>
      </c>
      <c r="CO541" s="0" t="n">
        <v>1.3541084391474</v>
      </c>
      <c r="CP541" s="0" t="n">
        <v>8.27</v>
      </c>
      <c r="CQ541" s="0" t="n">
        <v>40.1012414752511</v>
      </c>
      <c r="CR541" s="0" t="n">
        <v>39.6234285182525</v>
      </c>
      <c r="CS541" s="0" t="n">
        <v>-0.477812956998548</v>
      </c>
      <c r="CT541" s="20" t="n">
        <f aca="false">(CS541)^2</f>
        <v>0.228305221875696</v>
      </c>
    </row>
    <row r="542" customFormat="false" ht="12.8" hidden="false" customHeight="false" outlineLevel="0" collapsed="false">
      <c r="BZ542" s="0" t="n">
        <v>1.34242268082221</v>
      </c>
      <c r="CA542" s="0" t="n">
        <v>1.48572142648158</v>
      </c>
      <c r="CB542" s="0" t="n">
        <v>8.49</v>
      </c>
      <c r="CC542" s="0" t="n">
        <v>40.2055904413819</v>
      </c>
      <c r="CD542" s="0" t="n">
        <v>40.3263420583806</v>
      </c>
      <c r="CE542" s="0" t="n">
        <v>0.120751616998717</v>
      </c>
      <c r="CF542" s="20" t="n">
        <f aca="false">(CE542)^2</f>
        <v>0.0145809530078049</v>
      </c>
      <c r="CG542" s="0" t="n">
        <v>1.34242268082221</v>
      </c>
      <c r="CH542" s="0" t="n">
        <v>1.48572142648158</v>
      </c>
      <c r="CI542" s="0" t="n">
        <v>8.49</v>
      </c>
      <c r="CJ542" s="0" t="n">
        <v>40.6064170826378</v>
      </c>
      <c r="CK542" s="0" t="n">
        <v>40.3264007404092</v>
      </c>
      <c r="CL542" s="0" t="n">
        <v>-0.280016342228627</v>
      </c>
      <c r="CM542" s="20" t="n">
        <f aca="false">(CL542)^2</f>
        <v>0.0784091519150998</v>
      </c>
      <c r="CN542" s="0" t="n">
        <v>1.34242268082221</v>
      </c>
      <c r="CO542" s="0" t="n">
        <v>1.48572142648158</v>
      </c>
      <c r="CP542" s="0" t="n">
        <v>8.49</v>
      </c>
      <c r="CQ542" s="0" t="n">
        <v>40.4487174867745</v>
      </c>
      <c r="CR542" s="0" t="n">
        <v>40.3264007404092</v>
      </c>
      <c r="CS542" s="0" t="n">
        <v>-0.122316746365271</v>
      </c>
      <c r="CT542" s="20" t="n">
        <f aca="false">(CS542)^2</f>
        <v>0.0149613864413861</v>
      </c>
    </row>
    <row r="543" customFormat="false" ht="12.8" hidden="false" customHeight="false" outlineLevel="0" collapsed="false">
      <c r="BZ543" s="0" t="n">
        <v>1.30102999566398</v>
      </c>
      <c r="CA543" s="0" t="n">
        <v>1.39967372148104</v>
      </c>
      <c r="CB543" s="0" t="n">
        <v>8.02</v>
      </c>
      <c r="CC543" s="0" t="n">
        <v>39.8882142947937</v>
      </c>
      <c r="CD543" s="0" t="n">
        <v>39.7238406799932</v>
      </c>
      <c r="CE543" s="0" t="n">
        <v>-0.164373614800546</v>
      </c>
      <c r="CF543" s="20" t="n">
        <f aca="false">(CE543)^2</f>
        <v>0.0270186852425982</v>
      </c>
      <c r="CG543" s="0" t="n">
        <v>1.30102999566398</v>
      </c>
      <c r="CH543" s="0" t="n">
        <v>1.39967372148104</v>
      </c>
      <c r="CI543" s="0" t="n">
        <v>8.02</v>
      </c>
      <c r="CJ543" s="0" t="n">
        <v>40.3694319624039</v>
      </c>
      <c r="CK543" s="0" t="n">
        <v>40.2529720067542</v>
      </c>
      <c r="CL543" s="0" t="n">
        <v>-0.116459955649738</v>
      </c>
      <c r="CM543" s="20" t="n">
        <f aca="false">(CL543)^2</f>
        <v>0.0135629212699389</v>
      </c>
      <c r="CN543" s="0" t="n">
        <v>1.30102999566398</v>
      </c>
      <c r="CO543" s="0" t="n">
        <v>1.39967372148104</v>
      </c>
      <c r="CP543" s="0" t="n">
        <v>8.02</v>
      </c>
      <c r="CQ543" s="0" t="n">
        <v>40.1839883626463</v>
      </c>
      <c r="CR543" s="0" t="n">
        <v>40.0756659371669</v>
      </c>
      <c r="CS543" s="0" t="n">
        <v>-0.108322425479393</v>
      </c>
      <c r="CT543" s="20" t="n">
        <f aca="false">(CS543)^2</f>
        <v>0.0117337478617387</v>
      </c>
    </row>
    <row r="544" customFormat="false" ht="12.8" hidden="false" customHeight="false" outlineLevel="0" collapsed="false">
      <c r="BZ544" s="0" t="n">
        <v>1</v>
      </c>
      <c r="CA544" s="0" t="n">
        <v>1.3384564936046</v>
      </c>
      <c r="CB544" s="0" t="n">
        <v>8.5</v>
      </c>
      <c r="CC544" s="0" t="n">
        <v>39.6871389085323</v>
      </c>
      <c r="CD544" s="0" t="n">
        <v>40.069553025812</v>
      </c>
      <c r="CE544" s="0" t="n">
        <v>0.382414117279687</v>
      </c>
      <c r="CF544" s="20" t="n">
        <f aca="false">(CE544)^2</f>
        <v>0.146240557094802</v>
      </c>
      <c r="CG544" s="0" t="n">
        <v>1</v>
      </c>
      <c r="CH544" s="0" t="n">
        <v>1.3384564936046</v>
      </c>
      <c r="CI544" s="0" t="n">
        <v>8.5</v>
      </c>
      <c r="CJ544" s="0" t="n">
        <v>40.2172740487717</v>
      </c>
      <c r="CK544" s="0" t="n">
        <v>41.2641577153917</v>
      </c>
      <c r="CL544" s="0" t="n">
        <v>1.04688366662004</v>
      </c>
      <c r="CM544" s="20" t="n">
        <f aca="false">(CL544)^2</f>
        <v>1.09596541143582</v>
      </c>
      <c r="CN544" s="0" t="n">
        <v>1</v>
      </c>
      <c r="CO544" s="0" t="n">
        <v>1.3384564936046</v>
      </c>
      <c r="CP544" s="0" t="n">
        <v>8.5</v>
      </c>
      <c r="CQ544" s="0" t="n">
        <v>39.9932378521087</v>
      </c>
      <c r="CR544" s="0" t="n">
        <v>40.7238661685937</v>
      </c>
      <c r="CS544" s="0" t="n">
        <v>0.730628316485017</v>
      </c>
      <c r="CT544" s="20" t="n">
        <f aca="false">(CS544)^2</f>
        <v>0.53381773684973</v>
      </c>
    </row>
    <row r="545" customFormat="false" ht="12.8" hidden="false" customHeight="false" outlineLevel="0" collapsed="false">
      <c r="BZ545" s="0" t="n">
        <v>1.32221929473392</v>
      </c>
      <c r="CA545" s="0" t="n">
        <v>1.25527250510331</v>
      </c>
      <c r="CB545" s="0" t="n">
        <v>7.96</v>
      </c>
      <c r="CC545" s="0" t="n">
        <v>39.4559603010559</v>
      </c>
      <c r="CD545" s="0" t="n">
        <v>39.8138398098754</v>
      </c>
      <c r="CE545" s="0" t="n">
        <v>0.357879508819508</v>
      </c>
      <c r="CF545" s="20" t="n">
        <f aca="false">(CE545)^2</f>
        <v>0.128077742832892</v>
      </c>
      <c r="CG545" s="0" t="n">
        <v>1.32221929473392</v>
      </c>
      <c r="CH545" s="0" t="n">
        <v>1.25527250510331</v>
      </c>
      <c r="CI545" s="0" t="n">
        <v>7.96</v>
      </c>
      <c r="CJ545" s="0" t="n">
        <v>40.0339989915548</v>
      </c>
      <c r="CK545" s="0" t="n">
        <v>40.2861528339909</v>
      </c>
      <c r="CL545" s="0" t="n">
        <v>0.252153842436066</v>
      </c>
      <c r="CM545" s="20" t="n">
        <f aca="false">(CL545)^2</f>
        <v>0.0635815602552722</v>
      </c>
      <c r="CN545" s="0" t="n">
        <v>1.32221929473392</v>
      </c>
      <c r="CO545" s="0" t="n">
        <v>1.25527250510331</v>
      </c>
      <c r="CP545" s="0" t="n">
        <v>7.96</v>
      </c>
      <c r="CQ545" s="0" t="n">
        <v>39.7845196014137</v>
      </c>
      <c r="CR545" s="0" t="n">
        <v>39.8999512285901</v>
      </c>
      <c r="CS545" s="0" t="n">
        <v>0.115431627176434</v>
      </c>
      <c r="CT545" s="20" t="n">
        <f aca="false">(CS545)^2</f>
        <v>0.0133244605525993</v>
      </c>
    </row>
    <row r="546" customFormat="false" ht="12.8" hidden="false" customHeight="false" outlineLevel="0" collapsed="false">
      <c r="BZ546" s="0" t="n">
        <v>0.602059991327962</v>
      </c>
      <c r="CA546" s="0" t="n">
        <v>1.22010808804006</v>
      </c>
      <c r="CB546" s="0" t="n">
        <v>8.56</v>
      </c>
      <c r="CC546" s="0" t="n">
        <v>39.2473477871883</v>
      </c>
      <c r="CD546" s="0" t="n">
        <v>39.0981383321098</v>
      </c>
      <c r="CE546" s="0" t="n">
        <v>-0.14920945507852</v>
      </c>
      <c r="CF546" s="20" t="n">
        <f aca="false">(CE546)^2</f>
        <v>0.0222634614848288</v>
      </c>
      <c r="CG546" s="0" t="n">
        <v>0.602059991327962</v>
      </c>
      <c r="CH546" s="0" t="n">
        <v>1.22010808804006</v>
      </c>
      <c r="CI546" s="0" t="n">
        <v>8.56</v>
      </c>
      <c r="CJ546" s="0" t="n">
        <v>39.8905669008635</v>
      </c>
      <c r="CK546" s="0" t="n">
        <v>39.9333875133335</v>
      </c>
      <c r="CL546" s="0" t="n">
        <v>0.0428206124700026</v>
      </c>
      <c r="CM546" s="20" t="n">
        <f aca="false">(CL546)^2</f>
        <v>0.00183360485230614</v>
      </c>
      <c r="CN546" s="0" t="n">
        <v>0.602059991327962</v>
      </c>
      <c r="CO546" s="0" t="n">
        <v>1.22010808804006</v>
      </c>
      <c r="CP546" s="0" t="n">
        <v>8.56</v>
      </c>
      <c r="CQ546" s="0" t="n">
        <v>39.6122079531861</v>
      </c>
      <c r="CR546" s="0" t="n">
        <v>39.7399913960693</v>
      </c>
      <c r="CS546" s="0" t="n">
        <v>0.127783442883249</v>
      </c>
      <c r="CT546" s="20" t="n">
        <f aca="false">(CS546)^2</f>
        <v>0.0163286082750966</v>
      </c>
    </row>
    <row r="547" customFormat="false" ht="12.8" hidden="false" customHeight="false" outlineLevel="0" collapsed="false">
      <c r="BZ547" s="0" t="n">
        <v>1.91907809237607</v>
      </c>
      <c r="CA547" s="0" t="n">
        <v>1.50514997831991</v>
      </c>
      <c r="CB547" s="0" t="n">
        <v>8.14</v>
      </c>
      <c r="CC547" s="0" t="n">
        <v>40.3607558924721</v>
      </c>
      <c r="CD547" s="0" t="n">
        <v>40.6295612869068</v>
      </c>
      <c r="CE547" s="0" t="n">
        <v>0.268805394434729</v>
      </c>
      <c r="CF547" s="20" t="n">
        <f aca="false">(CE547)^2</f>
        <v>0.0722563400772101</v>
      </c>
      <c r="CG547" s="0" t="n">
        <v>1.91907809237607</v>
      </c>
      <c r="CH547" s="0" t="n">
        <v>1.50514997831991</v>
      </c>
      <c r="CI547" s="0" t="n">
        <v>8.14</v>
      </c>
      <c r="CJ547" s="0" t="n">
        <v>40.7098873303789</v>
      </c>
      <c r="CK547" s="0" t="n">
        <v>40.9807675767649</v>
      </c>
      <c r="CL547" s="0" t="n">
        <v>0.270880246386035</v>
      </c>
      <c r="CM547" s="20" t="n">
        <f aca="false">(CL547)^2</f>
        <v>0.0733761078821591</v>
      </c>
      <c r="CN547" s="0" t="n">
        <v>1.91907809237607</v>
      </c>
      <c r="CO547" s="0" t="n">
        <v>1.50514997831991</v>
      </c>
      <c r="CP547" s="0" t="n">
        <v>8.14</v>
      </c>
      <c r="CQ547" s="0" t="n">
        <v>40.568258987805</v>
      </c>
      <c r="CR547" s="0" t="n">
        <v>40.9807675767649</v>
      </c>
      <c r="CS547" s="0" t="n">
        <v>0.412508588959867</v>
      </c>
      <c r="CT547" s="20" t="n">
        <f aca="false">(CS547)^2</f>
        <v>0.17016333596566</v>
      </c>
    </row>
    <row r="548" customFormat="false" ht="12.8" hidden="false" customHeight="false" outlineLevel="0" collapsed="false">
      <c r="BZ548" s="0" t="n">
        <v>1.44715803134222</v>
      </c>
      <c r="CA548" s="0" t="n">
        <v>1.45788189673399</v>
      </c>
      <c r="CB548" s="0" t="n">
        <v>7.77</v>
      </c>
      <c r="CC548" s="0" t="n">
        <v>40.0689600062133</v>
      </c>
      <c r="CD548" s="0" t="n">
        <v>40.2970404904863</v>
      </c>
      <c r="CE548" s="0" t="n">
        <v>0.228080484272972</v>
      </c>
      <c r="CF548" s="20" t="n">
        <f aca="false">(CE548)^2</f>
        <v>0.0520207073061935</v>
      </c>
      <c r="CG548" s="0" t="n">
        <v>1.44715803134222</v>
      </c>
      <c r="CH548" s="0" t="n">
        <v>1.45788189673399</v>
      </c>
      <c r="CI548" s="0" t="n">
        <v>7.77</v>
      </c>
      <c r="CJ548" s="0" t="n">
        <v>40.5081208813173</v>
      </c>
      <c r="CK548" s="0" t="n">
        <v>40.7309227353314</v>
      </c>
      <c r="CL548" s="0" t="n">
        <v>0.222801854014058</v>
      </c>
      <c r="CM548" s="20" t="n">
        <f aca="false">(CL548)^2</f>
        <v>0.0496406661521017</v>
      </c>
      <c r="CN548" s="0" t="n">
        <v>1.44715803134222</v>
      </c>
      <c r="CO548" s="0" t="n">
        <v>1.45788189673399</v>
      </c>
      <c r="CP548" s="0" t="n">
        <v>7.77</v>
      </c>
      <c r="CQ548" s="0" t="n">
        <v>40.3547234385748</v>
      </c>
      <c r="CR548" s="0" t="n">
        <v>40.7309227353314</v>
      </c>
      <c r="CS548" s="0" t="n">
        <v>0.376199296756603</v>
      </c>
      <c r="CT548" s="20" t="n">
        <f aca="false">(CS548)^2</f>
        <v>0.141525910880163</v>
      </c>
    </row>
    <row r="549" customFormat="false" ht="12.8" hidden="false" customHeight="false" outlineLevel="0" collapsed="false">
      <c r="BZ549" s="0" t="n">
        <v>1.55630250076729</v>
      </c>
      <c r="CA549" s="0" t="n">
        <v>1.39269695325967</v>
      </c>
      <c r="CB549" s="0" t="n">
        <v>8.02</v>
      </c>
      <c r="CC549" s="0" t="n">
        <v>39.9272565425923</v>
      </c>
      <c r="CD549" s="0" t="n">
        <v>39.5808250944804</v>
      </c>
      <c r="CE549" s="0" t="n">
        <v>-0.346431448111908</v>
      </c>
      <c r="CF549" s="20" t="n">
        <f aca="false">(CE549)^2</f>
        <v>0.120014748240913</v>
      </c>
      <c r="CG549" s="0" t="n">
        <v>1.55630250076729</v>
      </c>
      <c r="CH549" s="0" t="n">
        <v>1.39269695325967</v>
      </c>
      <c r="CI549" s="0" t="n">
        <v>8.02</v>
      </c>
      <c r="CJ549" s="0" t="n">
        <v>40.3896548855263</v>
      </c>
      <c r="CK549" s="0" t="n">
        <v>40.2880850465456</v>
      </c>
      <c r="CL549" s="0" t="n">
        <v>-0.10156983898073</v>
      </c>
      <c r="CM549" s="20" t="n">
        <f aca="false">(CL549)^2</f>
        <v>0.0103164321905714</v>
      </c>
      <c r="CN549" s="0" t="n">
        <v>1.55630250076729</v>
      </c>
      <c r="CO549" s="0" t="n">
        <v>1.39269695325967</v>
      </c>
      <c r="CP549" s="0" t="n">
        <v>8.02</v>
      </c>
      <c r="CQ549" s="0" t="n">
        <v>40.2005872765798</v>
      </c>
      <c r="CR549" s="0" t="n">
        <v>39.4996349548837</v>
      </c>
      <c r="CS549" s="0" t="n">
        <v>-0.700952321696079</v>
      </c>
      <c r="CT549" s="20" t="n">
        <f aca="false">(CS549)^2</f>
        <v>0.491334157291123</v>
      </c>
    </row>
    <row r="550" customFormat="false" ht="12.8" hidden="false" customHeight="false" outlineLevel="0" collapsed="false">
      <c r="BZ550" s="0" t="n">
        <v>1.79239168949825</v>
      </c>
      <c r="CA550" s="0" t="n">
        <v>1.50379068305718</v>
      </c>
      <c r="CB550" s="0" t="n">
        <v>8.28</v>
      </c>
      <c r="CC550" s="0" t="n">
        <v>40.3421938524176</v>
      </c>
      <c r="CD550" s="0" t="n">
        <v>40.3643638589132</v>
      </c>
      <c r="CE550" s="0" t="n">
        <v>0.0221700064956494</v>
      </c>
      <c r="CF550" s="20" t="n">
        <f aca="false">(CE550)^2</f>
        <v>0.000491509188017136</v>
      </c>
      <c r="CG550" s="0" t="n">
        <v>1.79239168949825</v>
      </c>
      <c r="CH550" s="0" t="n">
        <v>1.50379068305718</v>
      </c>
      <c r="CI550" s="0" t="n">
        <v>8.28</v>
      </c>
      <c r="CJ550" s="0" t="n">
        <v>40.6981654288397</v>
      </c>
      <c r="CK550" s="0" t="n">
        <v>41.0286745143046</v>
      </c>
      <c r="CL550" s="0" t="n">
        <v>0.330509085464925</v>
      </c>
      <c r="CM550" s="20" t="n">
        <f aca="false">(CL550)^2</f>
        <v>0.109236255574861</v>
      </c>
      <c r="CN550" s="0" t="n">
        <v>1.79239168949825</v>
      </c>
      <c r="CO550" s="0" t="n">
        <v>1.50379068305718</v>
      </c>
      <c r="CP550" s="0" t="n">
        <v>8.28</v>
      </c>
      <c r="CQ550" s="0" t="n">
        <v>40.5528250536593</v>
      </c>
      <c r="CR550" s="0" t="n">
        <v>40.3849932800756</v>
      </c>
      <c r="CS550" s="0" t="n">
        <v>-0.167831773583742</v>
      </c>
      <c r="CT550" s="20" t="n">
        <f aca="false">(CS550)^2</f>
        <v>0.0281675042242646</v>
      </c>
    </row>
    <row r="551" customFormat="false" ht="12.8" hidden="false" customHeight="false" outlineLevel="0" collapsed="false">
      <c r="BZ551" s="0" t="n">
        <v>0.954242509439325</v>
      </c>
      <c r="CA551" s="0" t="n">
        <v>1.76937732607614</v>
      </c>
      <c r="CB551" s="0" t="n">
        <v>8.71</v>
      </c>
      <c r="CC551" s="0" t="n">
        <v>40.9845239746014</v>
      </c>
      <c r="CD551" s="0" t="n">
        <v>41.0032839602938</v>
      </c>
      <c r="CE551" s="0" t="n">
        <v>0.0187599856923626</v>
      </c>
      <c r="CF551" s="20" t="n">
        <f aca="false">(CE551)^2</f>
        <v>0.000351937063177649</v>
      </c>
      <c r="CG551" s="0" t="n">
        <v>0.954242509439325</v>
      </c>
      <c r="CH551" s="0" t="n">
        <v>1.76937732607614</v>
      </c>
      <c r="CI551" s="0" t="n">
        <v>8.71</v>
      </c>
      <c r="CJ551" s="0" t="n">
        <v>41.2228562356218</v>
      </c>
      <c r="CK551" s="0" t="n">
        <v>41.1844537060535</v>
      </c>
      <c r="CL551" s="0" t="n">
        <v>-0.0384025295683372</v>
      </c>
      <c r="CM551" s="20" t="n">
        <f aca="false">(CL551)^2</f>
        <v>0.00147475427724702</v>
      </c>
      <c r="CN551" s="0" t="n">
        <v>0.954242509439325</v>
      </c>
      <c r="CO551" s="0" t="n">
        <v>1.76937732607614</v>
      </c>
      <c r="CP551" s="0" t="n">
        <v>8.71</v>
      </c>
      <c r="CQ551" s="0" t="n">
        <v>41.189148124152</v>
      </c>
      <c r="CR551" s="0" t="n">
        <v>41.1844537060535</v>
      </c>
      <c r="CS551" s="0" t="n">
        <v>-0.00469441809850224</v>
      </c>
      <c r="CT551" s="20" t="n">
        <f aca="false">(CS551)^2</f>
        <v>2.20375612835454E-005</v>
      </c>
    </row>
    <row r="552" customFormat="false" ht="12.8" hidden="false" customHeight="false" outlineLevel="0" collapsed="false">
      <c r="BZ552" s="0" t="n">
        <v>1.60205999132796</v>
      </c>
      <c r="CA552" s="0" t="n">
        <v>1.23044892137827</v>
      </c>
      <c r="CB552" s="0" t="n">
        <v>7.88</v>
      </c>
      <c r="CC552" s="0" t="n">
        <v>39.4388474268207</v>
      </c>
      <c r="CD552" s="0" t="n">
        <v>39.4879266153321</v>
      </c>
      <c r="CE552" s="0" t="n">
        <v>0.0490791885113566</v>
      </c>
      <c r="CF552" s="20" t="n">
        <f aca="false">(CE552)^2</f>
        <v>0.00240876674493328</v>
      </c>
      <c r="CG552" s="0" t="n">
        <v>1.60205999132796</v>
      </c>
      <c r="CH552" s="0" t="n">
        <v>1.23044892137827</v>
      </c>
      <c r="CI552" s="0" t="n">
        <v>7.88</v>
      </c>
      <c r="CJ552" s="0" t="n">
        <v>40.0109781558305</v>
      </c>
      <c r="CK552" s="0" t="n">
        <v>39.8774043417796</v>
      </c>
      <c r="CL552" s="0" t="n">
        <v>-0.133573814050848</v>
      </c>
      <c r="CM552" s="20" t="n">
        <f aca="false">(CL552)^2</f>
        <v>0.0178419638000906</v>
      </c>
      <c r="CN552" s="0" t="n">
        <v>1.60205999132796</v>
      </c>
      <c r="CO552" s="0" t="n">
        <v>1.23044892137827</v>
      </c>
      <c r="CP552" s="0" t="n">
        <v>7.88</v>
      </c>
      <c r="CQ552" s="0" t="n">
        <v>39.7516450411634</v>
      </c>
      <c r="CR552" s="0" t="n">
        <v>39.4378067534722</v>
      </c>
      <c r="CS552" s="0" t="n">
        <v>-0.31383828769124</v>
      </c>
      <c r="CT552" s="20" t="n">
        <f aca="false">(CS552)^2</f>
        <v>0.0984944708209697</v>
      </c>
    </row>
    <row r="553" customFormat="false" ht="12.8" hidden="false" customHeight="false" outlineLevel="0" collapsed="false">
      <c r="BZ553" s="0" t="n">
        <v>2.11058971029925</v>
      </c>
      <c r="CA553" s="0" t="n">
        <v>1.24303804868629</v>
      </c>
      <c r="CB553" s="0" t="n">
        <v>7.54</v>
      </c>
      <c r="CC553" s="0" t="n">
        <v>39.5587251554123</v>
      </c>
      <c r="CD553" s="0" t="n">
        <v>39.8907352023789</v>
      </c>
      <c r="CE553" s="0" t="n">
        <v>0.332010046966644</v>
      </c>
      <c r="CF553" s="20" t="n">
        <f aca="false">(CE553)^2</f>
        <v>0.110230671286793</v>
      </c>
      <c r="CG553" s="0" t="n">
        <v>2.11058971029925</v>
      </c>
      <c r="CH553" s="0" t="n">
        <v>1.24303804868629</v>
      </c>
      <c r="CI553" s="0" t="n">
        <v>7.54</v>
      </c>
      <c r="CJ553" s="0" t="n">
        <v>40.0895788627926</v>
      </c>
      <c r="CK553" s="0" t="n">
        <v>40.3666338830954</v>
      </c>
      <c r="CL553" s="0" t="n">
        <v>0.277055020302818</v>
      </c>
      <c r="CM553" s="20" t="n">
        <f aca="false">(CL553)^2</f>
        <v>0.0767594842749949</v>
      </c>
      <c r="CN553" s="0" t="n">
        <v>2.11058971029925</v>
      </c>
      <c r="CO553" s="0" t="n">
        <v>1.24303804868629</v>
      </c>
      <c r="CP553" s="0" t="n">
        <v>7.54</v>
      </c>
      <c r="CQ553" s="0" t="n">
        <v>39.843104330634</v>
      </c>
      <c r="CR553" s="0" t="n">
        <v>40.0674853105121</v>
      </c>
      <c r="CS553" s="0" t="n">
        <v>0.22438097987812</v>
      </c>
      <c r="CT553" s="20" t="n">
        <f aca="false">(CS553)^2</f>
        <v>0.0503468241310653</v>
      </c>
    </row>
    <row r="554" customFormat="false" ht="12.8" hidden="false" customHeight="false" outlineLevel="0" collapsed="false">
      <c r="BZ554" s="0" t="n">
        <v>1.70757017609794</v>
      </c>
      <c r="CA554" s="0" t="n">
        <v>1.3096301674259</v>
      </c>
      <c r="CB554" s="0" t="n">
        <v>8.26</v>
      </c>
      <c r="CC554" s="0" t="n">
        <v>39.7410073353299</v>
      </c>
      <c r="CD554" s="0" t="n">
        <v>39.8855611883631</v>
      </c>
      <c r="CE554" s="0" t="n">
        <v>0.144553853033216</v>
      </c>
      <c r="CF554" s="20" t="n">
        <f aca="false">(CE554)^2</f>
        <v>0.0208958164267485</v>
      </c>
      <c r="CG554" s="0" t="n">
        <v>1.70757017609794</v>
      </c>
      <c r="CH554" s="0" t="n">
        <v>1.3096301674259</v>
      </c>
      <c r="CI554" s="0" t="n">
        <v>8.26</v>
      </c>
      <c r="CJ554" s="0" t="n">
        <v>40.2351057763653</v>
      </c>
      <c r="CK554" s="0" t="n">
        <v>40.3210963526474</v>
      </c>
      <c r="CL554" s="0" t="n">
        <v>0.0859905762821214</v>
      </c>
      <c r="CM554" s="20" t="n">
        <f aca="false">(CL554)^2</f>
        <v>0.00739437920933133</v>
      </c>
      <c r="CN554" s="0" t="n">
        <v>1.70757017609794</v>
      </c>
      <c r="CO554" s="0" t="n">
        <v>1.3096301674259</v>
      </c>
      <c r="CP554" s="0" t="n">
        <v>8.26</v>
      </c>
      <c r="CQ554" s="0" t="n">
        <v>40.0024275634697</v>
      </c>
      <c r="CR554" s="0" t="n">
        <v>40.3210963526474</v>
      </c>
      <c r="CS554" s="0" t="n">
        <v>0.318668789177721</v>
      </c>
      <c r="CT554" s="20" t="n">
        <f aca="false">(CS554)^2</f>
        <v>0.101549797195995</v>
      </c>
    </row>
    <row r="555" customFormat="false" ht="12.8" hidden="false" customHeight="false" outlineLevel="0" collapsed="false">
      <c r="BZ555" s="0" t="n">
        <v>2</v>
      </c>
      <c r="CA555" s="0" t="n">
        <v>1.54900326202579</v>
      </c>
      <c r="CB555" s="0" t="n">
        <v>8.01</v>
      </c>
      <c r="CC555" s="0" t="n">
        <v>40.496421284491</v>
      </c>
      <c r="CD555" s="0" t="n">
        <v>40.8602418490241</v>
      </c>
      <c r="CE555" s="0" t="n">
        <v>0.363820564533093</v>
      </c>
      <c r="CF555" s="20" t="n">
        <f aca="false">(CE555)^2</f>
        <v>0.132365403177178</v>
      </c>
      <c r="CG555" s="0" t="n">
        <v>2</v>
      </c>
      <c r="CH555" s="0" t="n">
        <v>1.54900326202579</v>
      </c>
      <c r="CI555" s="0" t="n">
        <v>8.01</v>
      </c>
      <c r="CJ555" s="0" t="n">
        <v>40.814167757983</v>
      </c>
      <c r="CK555" s="0" t="n">
        <v>41.2889669095893</v>
      </c>
      <c r="CL555" s="0" t="n">
        <v>0.474799151606341</v>
      </c>
      <c r="CM555" s="20" t="n">
        <f aca="false">(CL555)^2</f>
        <v>0.225434234366101</v>
      </c>
      <c r="CN555" s="0" t="n">
        <v>2</v>
      </c>
      <c r="CO555" s="0" t="n">
        <v>1.54900326202579</v>
      </c>
      <c r="CP555" s="0" t="n">
        <v>8.01</v>
      </c>
      <c r="CQ555" s="0" t="n">
        <v>40.6953493333111</v>
      </c>
      <c r="CR555" s="0" t="n">
        <v>40.7432526092177</v>
      </c>
      <c r="CS555" s="0" t="n">
        <v>0.0479032759065561</v>
      </c>
      <c r="CT555" s="20" t="n">
        <f aca="false">(CS555)^2</f>
        <v>0.00229472384257964</v>
      </c>
    </row>
    <row r="556" customFormat="false" ht="12.8" hidden="false" customHeight="false" outlineLevel="0" collapsed="false">
      <c r="BZ556" s="0" t="n">
        <v>0.698970004336019</v>
      </c>
      <c r="CA556" s="0" t="n">
        <v>1.38021124171161</v>
      </c>
      <c r="CB556" s="0" t="n">
        <v>8.48</v>
      </c>
      <c r="CC556" s="0" t="n">
        <v>39.7389306742951</v>
      </c>
      <c r="CD556" s="0" t="n">
        <v>39.5307026003539</v>
      </c>
      <c r="CE556" s="0" t="n">
        <v>-0.208228073941193</v>
      </c>
      <c r="CF556" s="20" t="n">
        <f aca="false">(CE556)^2</f>
        <v>0.0433589307772589</v>
      </c>
      <c r="CG556" s="0" t="n">
        <v>0.698970004336019</v>
      </c>
      <c r="CH556" s="0" t="n">
        <v>1.38021124171161</v>
      </c>
      <c r="CI556" s="0" t="n">
        <v>8.48</v>
      </c>
      <c r="CJ556" s="0" t="n">
        <v>40.2697112715492</v>
      </c>
      <c r="CK556" s="0" t="n">
        <v>40.3112205857885</v>
      </c>
      <c r="CL556" s="0" t="n">
        <v>0.0415093142392777</v>
      </c>
      <c r="CM556" s="20" t="n">
        <f aca="false">(CL556)^2</f>
        <v>0.0017230231686151</v>
      </c>
      <c r="CN556" s="0" t="n">
        <v>0.698970004336019</v>
      </c>
      <c r="CO556" s="0" t="n">
        <v>1.38021124171161</v>
      </c>
      <c r="CP556" s="0" t="n">
        <v>8.48</v>
      </c>
      <c r="CQ556" s="0" t="n">
        <v>40.0656138389796</v>
      </c>
      <c r="CR556" s="0" t="n">
        <v>39.8411325938</v>
      </c>
      <c r="CS556" s="0" t="n">
        <v>-0.224481245179618</v>
      </c>
      <c r="CT556" s="20" t="n">
        <f aca="false">(CS556)^2</f>
        <v>0.0503918294373917</v>
      </c>
    </row>
    <row r="557" customFormat="false" ht="12.8" hidden="false" customHeight="false" outlineLevel="0" collapsed="false">
      <c r="BZ557" s="0" t="n">
        <v>1.04139268515823</v>
      </c>
      <c r="CA557" s="0" t="n">
        <v>1.41161970596323</v>
      </c>
      <c r="CB557" s="0" t="n">
        <v>7.99</v>
      </c>
      <c r="CC557" s="0" t="n">
        <v>39.8597142648048</v>
      </c>
      <c r="CD557" s="0" t="n">
        <v>39.4259659076773</v>
      </c>
      <c r="CE557" s="0" t="n">
        <v>-0.433748357127506</v>
      </c>
      <c r="CF557" s="20" t="n">
        <f aca="false">(CE557)^2</f>
        <v>0.18813763731081</v>
      </c>
      <c r="CG557" s="0" t="n">
        <v>1.04139268515823</v>
      </c>
      <c r="CH557" s="0" t="n">
        <v>1.41161970596323</v>
      </c>
      <c r="CI557" s="0" t="n">
        <v>7.99</v>
      </c>
      <c r="CJ557" s="0" t="n">
        <v>40.3580627990941</v>
      </c>
      <c r="CK557" s="0" t="n">
        <v>39.794334988839</v>
      </c>
      <c r="CL557" s="0" t="n">
        <v>-0.563727810255095</v>
      </c>
      <c r="CM557" s="20" t="n">
        <f aca="false">(CL557)^2</f>
        <v>0.317789044055004</v>
      </c>
      <c r="CN557" s="0" t="n">
        <v>1.04139268515823</v>
      </c>
      <c r="CO557" s="0" t="n">
        <v>1.41161970596323</v>
      </c>
      <c r="CP557" s="0" t="n">
        <v>7.99</v>
      </c>
      <c r="CQ557" s="0" t="n">
        <v>40.1792152095203</v>
      </c>
      <c r="CR557" s="0" t="n">
        <v>39.794334988839</v>
      </c>
      <c r="CS557" s="0" t="n">
        <v>-0.384880220681289</v>
      </c>
      <c r="CT557" s="20" t="n">
        <f aca="false">(CS557)^2</f>
        <v>0.148132784271678</v>
      </c>
    </row>
    <row r="558" customFormat="false" ht="12.8" hidden="false" customHeight="false" outlineLevel="0" collapsed="false">
      <c r="BZ558" s="0" t="n">
        <v>1.69019608002851</v>
      </c>
      <c r="CA558" s="0" t="n">
        <v>1.24797326636181</v>
      </c>
      <c r="CB558" s="0" t="n">
        <v>8.01</v>
      </c>
      <c r="CC558" s="0" t="n">
        <v>39.5258927664758</v>
      </c>
      <c r="CD558" s="0" t="n">
        <v>39.3876198532141</v>
      </c>
      <c r="CE558" s="0" t="n">
        <v>-0.138272913261694</v>
      </c>
      <c r="CF558" s="20" t="n">
        <f aca="false">(CE558)^2</f>
        <v>0.0191193985418761</v>
      </c>
      <c r="CG558" s="0" t="n">
        <v>1.69019608002851</v>
      </c>
      <c r="CH558" s="0" t="n">
        <v>1.24797326636181</v>
      </c>
      <c r="CI558" s="0" t="n">
        <v>8.01</v>
      </c>
      <c r="CJ558" s="0" t="n">
        <v>40.0729224192666</v>
      </c>
      <c r="CK558" s="0" t="n">
        <v>39.9396196552323</v>
      </c>
      <c r="CL558" s="0" t="n">
        <v>-0.133302764034305</v>
      </c>
      <c r="CM558" s="20" t="n">
        <f aca="false">(CL558)^2</f>
        <v>0.0177696268991855</v>
      </c>
      <c r="CN558" s="0" t="n">
        <v>1.69019608002851</v>
      </c>
      <c r="CO558" s="0" t="n">
        <v>1.24797326636181</v>
      </c>
      <c r="CP558" s="0" t="n">
        <v>8.01</v>
      </c>
      <c r="CQ558" s="0" t="n">
        <v>39.8182805992906</v>
      </c>
      <c r="CR558" s="0" t="n">
        <v>39.6143001977675</v>
      </c>
      <c r="CS558" s="0" t="n">
        <v>-0.203980401523104</v>
      </c>
      <c r="CT558" s="20" t="n">
        <f aca="false">(CS558)^2</f>
        <v>0.0416080042055268</v>
      </c>
    </row>
    <row r="559" customFormat="false" ht="12.8" hidden="false" customHeight="false" outlineLevel="0" collapsed="false">
      <c r="BZ559" s="0" t="n">
        <v>1.46239799789896</v>
      </c>
      <c r="CA559" s="0" t="n">
        <v>1.3541084391474</v>
      </c>
      <c r="CB559" s="0" t="n">
        <v>7.74</v>
      </c>
      <c r="CC559" s="0" t="n">
        <v>39.7597489183935</v>
      </c>
      <c r="CD559" s="0" t="n">
        <v>39.7992940202333</v>
      </c>
      <c r="CE559" s="0" t="n">
        <v>0.0395451018398347</v>
      </c>
      <c r="CF559" s="20" t="n">
        <f aca="false">(CE559)^2</f>
        <v>0.0015638150795229</v>
      </c>
      <c r="CG559" s="0" t="n">
        <v>1.46239799789896</v>
      </c>
      <c r="CH559" s="0" t="n">
        <v>1.3541084391474</v>
      </c>
      <c r="CI559" s="0" t="n">
        <v>7.74</v>
      </c>
      <c r="CJ559" s="0" t="n">
        <v>40.2679531704194</v>
      </c>
      <c r="CK559" s="0" t="n">
        <v>40.5671950296227</v>
      </c>
      <c r="CL559" s="0" t="n">
        <v>0.299241859203271</v>
      </c>
      <c r="CM559" s="20" t="n">
        <f aca="false">(CL559)^2</f>
        <v>0.08954569029943</v>
      </c>
      <c r="CN559" s="0" t="n">
        <v>1.46239799789896</v>
      </c>
      <c r="CO559" s="0" t="n">
        <v>1.3541084391474</v>
      </c>
      <c r="CP559" s="0" t="n">
        <v>7.74</v>
      </c>
      <c r="CQ559" s="0" t="n">
        <v>40.0682249294728</v>
      </c>
      <c r="CR559" s="0" t="n">
        <v>40.5671950296227</v>
      </c>
      <c r="CS559" s="0" t="n">
        <v>0.49897010014994</v>
      </c>
      <c r="CT559" s="20" t="n">
        <f aca="false">(CS559)^2</f>
        <v>0.248971160843641</v>
      </c>
    </row>
    <row r="560" customFormat="false" ht="12.8" hidden="false" customHeight="false" outlineLevel="0" collapsed="false">
      <c r="BZ560" s="0" t="n">
        <v>1.64345267648619</v>
      </c>
      <c r="CA560" s="0" t="n">
        <v>1.20682587603185</v>
      </c>
      <c r="CB560" s="0" t="n">
        <v>7.95</v>
      </c>
      <c r="CC560" s="0" t="n">
        <v>39.3856892037016</v>
      </c>
      <c r="CD560" s="0" t="n">
        <v>39.5414546476421</v>
      </c>
      <c r="CE560" s="0" t="n">
        <v>0.155765443940545</v>
      </c>
      <c r="CF560" s="20" t="n">
        <f aca="false">(CE560)^2</f>
        <v>0.0242628735259952</v>
      </c>
      <c r="CG560" s="0" t="n">
        <v>1.64345267648619</v>
      </c>
      <c r="CH560" s="0" t="n">
        <v>1.20682587603185</v>
      </c>
      <c r="CI560" s="0" t="n">
        <v>7.95</v>
      </c>
      <c r="CJ560" s="0" t="n">
        <v>39.9669131575539</v>
      </c>
      <c r="CK560" s="0" t="n">
        <v>39.9994654634455</v>
      </c>
      <c r="CL560" s="0" t="n">
        <v>0.0325523058915707</v>
      </c>
      <c r="CM560" s="20" t="n">
        <f aca="false">(CL560)^2</f>
        <v>0.00105965261885839</v>
      </c>
      <c r="CN560" s="0" t="n">
        <v>1.64345267648619</v>
      </c>
      <c r="CO560" s="0" t="n">
        <v>1.20682587603185</v>
      </c>
      <c r="CP560" s="0" t="n">
        <v>7.95</v>
      </c>
      <c r="CQ560" s="0" t="n">
        <v>39.6951392279908</v>
      </c>
      <c r="CR560" s="0" t="n">
        <v>39.4317743737488</v>
      </c>
      <c r="CS560" s="0" t="n">
        <v>-0.263364854241999</v>
      </c>
      <c r="CT560" s="20" t="n">
        <f aca="false">(CS560)^2</f>
        <v>0.0693610464499094</v>
      </c>
    </row>
    <row r="561" customFormat="false" ht="12.8" hidden="false" customHeight="false" outlineLevel="0" collapsed="false">
      <c r="BZ561" s="0" t="n">
        <v>2.19033169817029</v>
      </c>
      <c r="CA561" s="0" t="n">
        <v>1.09691001300806</v>
      </c>
      <c r="CB561" s="0" t="n">
        <v>7.77</v>
      </c>
      <c r="CC561" s="0" t="n">
        <v>39.1665257797777</v>
      </c>
      <c r="CD561" s="0" t="n">
        <v>39.2951320767752</v>
      </c>
      <c r="CE561" s="0" t="n">
        <v>0.128606296997454</v>
      </c>
      <c r="CF561" s="20" t="n">
        <f aca="false">(CE561)^2</f>
        <v>0.0165395796273973</v>
      </c>
      <c r="CG561" s="0" t="n">
        <v>2.19033169817029</v>
      </c>
      <c r="CH561" s="0" t="n">
        <v>1.09691001300806</v>
      </c>
      <c r="CI561" s="0" t="n">
        <v>7.77</v>
      </c>
      <c r="CJ561" s="0" t="n">
        <v>39.7781285432874</v>
      </c>
      <c r="CK561" s="0" t="n">
        <v>39.8338814731209</v>
      </c>
      <c r="CL561" s="0" t="n">
        <v>0.0557529298335169</v>
      </c>
      <c r="CM561" s="20" t="n">
        <f aca="false">(CL561)^2</f>
        <v>0.00310838918502106</v>
      </c>
      <c r="CN561" s="0" t="n">
        <v>2.19033169817029</v>
      </c>
      <c r="CO561" s="0" t="n">
        <v>1.09691001300806</v>
      </c>
      <c r="CP561" s="0" t="n">
        <v>7.77</v>
      </c>
      <c r="CQ561" s="0" t="n">
        <v>39.4598400451755</v>
      </c>
      <c r="CR561" s="0" t="n">
        <v>39.7495605874209</v>
      </c>
      <c r="CS561" s="0" t="n">
        <v>0.289720542245384</v>
      </c>
      <c r="CT561" s="20" t="n">
        <f aca="false">(CS561)^2</f>
        <v>0.0839379925989591</v>
      </c>
    </row>
    <row r="562" customFormat="false" ht="12.8" hidden="false" customHeight="false" outlineLevel="0" collapsed="false">
      <c r="BZ562" s="0" t="n">
        <v>1.86923171973098</v>
      </c>
      <c r="CA562" s="0" t="n">
        <v>1.28330122870355</v>
      </c>
      <c r="CB562" s="0" t="n">
        <v>7.92</v>
      </c>
      <c r="CC562" s="0" t="n">
        <v>39.6634751406848</v>
      </c>
      <c r="CD562" s="0" t="n">
        <v>39.0423920343584</v>
      </c>
      <c r="CE562" s="0" t="n">
        <v>-0.621083106326402</v>
      </c>
      <c r="CF562" s="20" t="n">
        <f aca="false">(CE562)^2</f>
        <v>0.385744224964053</v>
      </c>
      <c r="CG562" s="0" t="n">
        <v>1.86923171973098</v>
      </c>
      <c r="CH562" s="0" t="n">
        <v>1.28330122870355</v>
      </c>
      <c r="CI562" s="0" t="n">
        <v>7.92</v>
      </c>
      <c r="CJ562" s="0" t="n">
        <v>40.1741515664957</v>
      </c>
      <c r="CK562" s="0" t="n">
        <v>39.4843141944881</v>
      </c>
      <c r="CL562" s="0" t="n">
        <v>-0.689837372007553</v>
      </c>
      <c r="CM562" s="20" t="n">
        <f aca="false">(CL562)^2</f>
        <v>0.475875599818286</v>
      </c>
      <c r="CN562" s="0" t="n">
        <v>1.86923171973098</v>
      </c>
      <c r="CO562" s="0" t="n">
        <v>1.28330122870355</v>
      </c>
      <c r="CP562" s="0" t="n">
        <v>7.92</v>
      </c>
      <c r="CQ562" s="0" t="n">
        <v>39.9373288806111</v>
      </c>
      <c r="CR562" s="0" t="n">
        <v>39.4843141944881</v>
      </c>
      <c r="CS562" s="0" t="n">
        <v>-0.453014686122963</v>
      </c>
      <c r="CT562" s="20" t="n">
        <f aca="false">(CS562)^2</f>
        <v>0.205222305843086</v>
      </c>
    </row>
    <row r="563" customFormat="false" ht="12.8" hidden="false" customHeight="false" outlineLevel="0" collapsed="false">
      <c r="BZ563" s="0" t="n">
        <v>1.27875360095283</v>
      </c>
      <c r="CA563" s="0" t="n">
        <v>1.23552844690755</v>
      </c>
      <c r="CB563" s="0" t="n">
        <v>7.85</v>
      </c>
      <c r="CC563" s="0" t="n">
        <v>39.3749385439206</v>
      </c>
      <c r="CD563" s="0" t="n">
        <v>39.7584397069598</v>
      </c>
      <c r="CE563" s="0" t="n">
        <v>0.383501163039149</v>
      </c>
      <c r="CF563" s="20" t="n">
        <f aca="false">(CE563)^2</f>
        <v>0.14707314205238</v>
      </c>
      <c r="CG563" s="0" t="n">
        <v>1.27875360095283</v>
      </c>
      <c r="CH563" s="0" t="n">
        <v>1.23552844690755</v>
      </c>
      <c r="CI563" s="0" t="n">
        <v>7.85</v>
      </c>
      <c r="CJ563" s="0" t="n">
        <v>39.974634822043</v>
      </c>
      <c r="CK563" s="0" t="n">
        <v>40.1263375099171</v>
      </c>
      <c r="CL563" s="0" t="n">
        <v>0.151702687874064</v>
      </c>
      <c r="CM563" s="20" t="n">
        <f aca="false">(CL563)^2</f>
        <v>0.0230137055082156</v>
      </c>
      <c r="CN563" s="0" t="n">
        <v>1.27875360095283</v>
      </c>
      <c r="CO563" s="0" t="n">
        <v>1.23552844690755</v>
      </c>
      <c r="CP563" s="0" t="n">
        <v>7.85</v>
      </c>
      <c r="CQ563" s="0" t="n">
        <v>39.7189022859218</v>
      </c>
      <c r="CR563" s="0" t="n">
        <v>39.9044887603007</v>
      </c>
      <c r="CS563" s="0" t="n">
        <v>0.185586474378852</v>
      </c>
      <c r="CT563" s="20" t="n">
        <f aca="false">(CS563)^2</f>
        <v>0.0344423394723721</v>
      </c>
    </row>
    <row r="564" customFormat="false" ht="12.8" hidden="false" customHeight="false" outlineLevel="0" collapsed="false">
      <c r="BZ564" s="0" t="n">
        <v>2.72835378202123</v>
      </c>
      <c r="CA564" s="0" t="n">
        <v>1.22788670461367</v>
      </c>
      <c r="CB564" s="0" t="n">
        <v>7.72</v>
      </c>
      <c r="CC564" s="0" t="n">
        <v>39.6779131777504</v>
      </c>
      <c r="CD564" s="0" t="n">
        <v>39.0217644408478</v>
      </c>
      <c r="CE564" s="0" t="n">
        <v>-0.656148736902587</v>
      </c>
      <c r="CF564" s="20" t="n">
        <f aca="false">(CE564)^2</f>
        <v>0.43053116493886</v>
      </c>
      <c r="CG564" s="0" t="n">
        <v>2.72835378202123</v>
      </c>
      <c r="CH564" s="0" t="n">
        <v>1.22788670461367</v>
      </c>
      <c r="CI564" s="0" t="n">
        <v>7.72</v>
      </c>
      <c r="CJ564" s="0" t="n">
        <v>40.1547193192876</v>
      </c>
      <c r="CK564" s="0" t="n">
        <v>39.7989606416723</v>
      </c>
      <c r="CL564" s="0" t="n">
        <v>-0.355758677615256</v>
      </c>
      <c r="CM564" s="20" t="n">
        <f aca="false">(CL564)^2</f>
        <v>0.126564236698556</v>
      </c>
      <c r="CN564" s="0" t="n">
        <v>2.72835378202123</v>
      </c>
      <c r="CO564" s="0" t="n">
        <v>1.22788670461367</v>
      </c>
      <c r="CP564" s="0" t="n">
        <v>7.72</v>
      </c>
      <c r="CQ564" s="0" t="n">
        <v>39.8959832767604</v>
      </c>
      <c r="CR564" s="0" t="n">
        <v>39.4018526150208</v>
      </c>
      <c r="CS564" s="0" t="n">
        <v>-0.494130661739568</v>
      </c>
      <c r="CT564" s="20" t="n">
        <f aca="false">(CS564)^2</f>
        <v>0.244165110871184</v>
      </c>
    </row>
    <row r="565" customFormat="false" ht="12.8" hidden="false" customHeight="false" outlineLevel="0" collapsed="false">
      <c r="CF565" s="0" t="n">
        <f aca="false">SQRT(SUM(CF527:CF564)/38)</f>
        <v>0.283459418445854</v>
      </c>
      <c r="CM565" s="0" t="n">
        <f aca="false">SQRT(SUM(CM527:CM564)/38)</f>
        <v>0.346789428936065</v>
      </c>
      <c r="CT565" s="0" t="n">
        <f aca="false">SQRT(SUM(CT527:CT564)/38)</f>
        <v>0.334912539609867</v>
      </c>
    </row>
    <row r="566" customFormat="false" ht="12.8" hidden="false" customHeight="false" outlineLevel="0" collapsed="false">
      <c r="BS566" s="14"/>
      <c r="BZ566" s="14" t="s">
        <v>538</v>
      </c>
      <c r="CG566" s="14" t="s">
        <v>539</v>
      </c>
      <c r="CN566" s="14" t="s">
        <v>540</v>
      </c>
      <c r="CU566" s="14" t="s">
        <v>541</v>
      </c>
    </row>
    <row r="567" customFormat="false" ht="12.8" hidden="false" customHeight="false" outlineLevel="0" collapsed="false">
      <c r="BZ567" s="0" t="s">
        <v>78</v>
      </c>
      <c r="CA567" s="0" t="s">
        <v>79</v>
      </c>
      <c r="CG567" s="0" t="s">
        <v>78</v>
      </c>
      <c r="CH567" s="0" t="s">
        <v>79</v>
      </c>
      <c r="CN567" s="0" t="s">
        <v>78</v>
      </c>
      <c r="CO567" s="0" t="s">
        <v>79</v>
      </c>
      <c r="CU567" s="0" t="s">
        <v>78</v>
      </c>
      <c r="CV567" s="0" t="s">
        <v>79</v>
      </c>
    </row>
    <row r="569" customFormat="false" ht="12.8" hidden="false" customHeight="false" outlineLevel="0" collapsed="false">
      <c r="BZ569" s="0" t="s">
        <v>84</v>
      </c>
      <c r="CG569" s="0" t="s">
        <v>84</v>
      </c>
      <c r="CN569" s="0" t="s">
        <v>84</v>
      </c>
      <c r="CU569" s="0" t="s">
        <v>84</v>
      </c>
    </row>
    <row r="570" customFormat="false" ht="12.8" hidden="false" customHeight="false" outlineLevel="0" collapsed="false">
      <c r="BZ570" s="0" t="n">
        <f aca="false" t="array" ref="BZ570:CC574">LINEST($BJ$95:$BJ$132 , $BK$95:$BM$132 , 1 , 1)</f>
        <v>0.044296349131549</v>
      </c>
      <c r="CA570" s="0" t="n">
        <v>0.653198713416055</v>
      </c>
      <c r="CB570" s="0" t="n">
        <v>-0.262614488873107</v>
      </c>
      <c r="CC570" s="0" t="n">
        <v>1.87424336219041</v>
      </c>
      <c r="CG570" s="0" t="n">
        <f aca="false" t="array" ref="CG570:CJ574">LINEST($BN$95:$BN$132 , $BK$95:$BM$132 , 1 , 1)</f>
        <v>0.102935632488144</v>
      </c>
      <c r="CH570" s="0" t="n">
        <v>1.22038372675142</v>
      </c>
      <c r="CI570" s="0" t="n">
        <v>-0.0617409051850465</v>
      </c>
      <c r="CJ570" s="0" t="n">
        <v>-0.402133990906693</v>
      </c>
      <c r="CN570" s="0" t="n">
        <f aca="false" t="array" ref="CN570:CO574">LINEST($BF$53:$BF$91 , $BE$53:$BE$91 , 1 , 1)</f>
        <v>-0.309090626966513</v>
      </c>
      <c r="CO570" s="0" t="n">
        <v>3.18262796449129</v>
      </c>
      <c r="CU570" s="0" t="n">
        <f aca="false" t="array" ref="CU570:CV574">LINEST($BI$53:$BI$91 , $BE$53:$BE$91 , 1 , 1)</f>
        <v>-0.229373773232936</v>
      </c>
      <c r="CV570" s="0" t="n">
        <v>2.35280476895734</v>
      </c>
    </row>
    <row r="571" customFormat="false" ht="12.8" hidden="false" customHeight="false" outlineLevel="0" collapsed="false">
      <c r="BZ571" s="0" t="n">
        <v>0.035211888980069</v>
      </c>
      <c r="CA571" s="0" t="n">
        <v>0.287810845159755</v>
      </c>
      <c r="CB571" s="0" t="n">
        <v>0.095379982358375</v>
      </c>
      <c r="CC571" s="0" t="n">
        <v>0.583629468444177</v>
      </c>
      <c r="CG571" s="0" t="n">
        <v>0.0284730869079512</v>
      </c>
      <c r="CH571" s="0" t="n">
        <v>0.232730008092526</v>
      </c>
      <c r="CI571" s="0" t="n">
        <v>0.0771262947155737</v>
      </c>
      <c r="CJ571" s="0" t="n">
        <v>0.47193527693043</v>
      </c>
      <c r="CN571" s="0" t="n">
        <v>0.09761249557973</v>
      </c>
      <c r="CO571" s="0" t="n">
        <v>0.162513679521676</v>
      </c>
      <c r="CU571" s="0" t="n">
        <v>0.102378324456312</v>
      </c>
      <c r="CV571" s="0" t="n">
        <v>0.170448241404395</v>
      </c>
    </row>
    <row r="572" customFormat="false" ht="12.8" hidden="false" customHeight="false" outlineLevel="0" collapsed="false">
      <c r="BZ572" s="0" t="n">
        <v>0.37657520275005</v>
      </c>
      <c r="CA572" s="0" t="n">
        <v>0.233724463239061</v>
      </c>
      <c r="CB572" s="0" t="e">
        <v>#N/A</v>
      </c>
      <c r="CC572" s="0" t="e">
        <v>#N/A</v>
      </c>
      <c r="CG572" s="0" t="n">
        <v>0.570680917580396</v>
      </c>
      <c r="CH572" s="0" t="n">
        <v>0.188994602308524</v>
      </c>
      <c r="CI572" s="0" t="e">
        <v>#N/A</v>
      </c>
      <c r="CJ572" s="0" t="e">
        <v>#N/A</v>
      </c>
      <c r="CN572" s="0" t="n">
        <v>0.213214007822572</v>
      </c>
      <c r="CO572" s="0" t="n">
        <v>0.251962573527235</v>
      </c>
      <c r="CU572" s="0" t="n">
        <v>0.119459112913721</v>
      </c>
      <c r="CV572" s="0" t="n">
        <v>0.264264384904993</v>
      </c>
    </row>
    <row r="573" customFormat="false" ht="12.8" hidden="false" customHeight="false" outlineLevel="0" collapsed="false">
      <c r="BZ573" s="0" t="n">
        <v>6.84581735705772</v>
      </c>
      <c r="CA573" s="0" t="n">
        <v>34</v>
      </c>
      <c r="CB573" s="0" t="e">
        <v>#N/A</v>
      </c>
      <c r="CC573" s="0" t="e">
        <v>#N/A</v>
      </c>
      <c r="CG573" s="0" t="n">
        <v>15.0650584396568</v>
      </c>
      <c r="CH573" s="0" t="n">
        <v>34</v>
      </c>
      <c r="CI573" s="0" t="e">
        <v>#N/A</v>
      </c>
      <c r="CJ573" s="0" t="e">
        <v>#N/A</v>
      </c>
      <c r="CN573" s="0" t="n">
        <v>10.0267650515773</v>
      </c>
      <c r="CO573" s="0" t="n">
        <v>37</v>
      </c>
      <c r="CU573" s="0" t="n">
        <v>5.01962741609133</v>
      </c>
      <c r="CV573" s="0" t="n">
        <v>37</v>
      </c>
    </row>
    <row r="574" customFormat="false" ht="12.8" hidden="false" customHeight="false" outlineLevel="0" collapsed="false">
      <c r="BZ574" s="0" t="n">
        <v>1.1219019556488</v>
      </c>
      <c r="CA574" s="0" t="n">
        <v>1.85732224035716</v>
      </c>
      <c r="CB574" s="0" t="e">
        <v>#N/A</v>
      </c>
      <c r="CC574" s="0" t="e">
        <v>#N/A</v>
      </c>
      <c r="CG574" s="0" t="n">
        <v>1.61432464593214</v>
      </c>
      <c r="CH574" s="0" t="n">
        <v>1.21444462985974</v>
      </c>
      <c r="CI574" s="0" t="e">
        <v>#N/A</v>
      </c>
      <c r="CJ574" s="0" t="e">
        <v>#N/A</v>
      </c>
      <c r="CN574" s="0" t="n">
        <v>0.636550567589907</v>
      </c>
      <c r="CO574" s="0" t="n">
        <v>2.3489501229633</v>
      </c>
      <c r="CU574" s="0" t="n">
        <v>0.350549019303577</v>
      </c>
      <c r="CV574" s="0" t="n">
        <v>2.58391960978092</v>
      </c>
    </row>
    <row r="576" customFormat="false" ht="12.8" hidden="false" customHeight="false" outlineLevel="0" collapsed="false">
      <c r="BZ576" s="0" t="s">
        <v>100</v>
      </c>
      <c r="CG576" s="0" t="s">
        <v>100</v>
      </c>
      <c r="CN576" s="0" t="s">
        <v>100</v>
      </c>
      <c r="CU576" s="0" t="s">
        <v>100</v>
      </c>
    </row>
    <row r="577" customFormat="false" ht="12.8" hidden="false" customHeight="false" outlineLevel="0" collapsed="false">
      <c r="BZ577" s="0" t="s">
        <v>103</v>
      </c>
      <c r="CA577" s="0" t="n">
        <f aca="false">$BZ$572</f>
        <v>0.37657520275005</v>
      </c>
      <c r="CG577" s="0" t="s">
        <v>103</v>
      </c>
      <c r="CH577" s="0" t="n">
        <f aca="false">$CG$572</f>
        <v>0.570680917580396</v>
      </c>
      <c r="CN577" s="0" t="s">
        <v>103</v>
      </c>
      <c r="CO577" s="0" t="n">
        <f aca="false">$CN$572</f>
        <v>0.213214007822572</v>
      </c>
      <c r="CU577" s="0" t="s">
        <v>103</v>
      </c>
      <c r="CV577" s="0" t="n">
        <f aca="false">$CU$572</f>
        <v>0.119459112913721</v>
      </c>
    </row>
    <row r="578" customFormat="false" ht="12.8" hidden="false" customHeight="false" outlineLevel="0" collapsed="false">
      <c r="BZ578" s="0" t="s">
        <v>106</v>
      </c>
      <c r="CA578" s="0" t="n">
        <f aca="false">$CA$572</f>
        <v>0.233724463239061</v>
      </c>
      <c r="CG578" s="0" t="s">
        <v>106</v>
      </c>
      <c r="CH578" s="0" t="n">
        <f aca="false">$CH$572</f>
        <v>0.188994602308524</v>
      </c>
      <c r="CN578" s="0" t="s">
        <v>106</v>
      </c>
      <c r="CO578" s="0" t="n">
        <f aca="false">$CO$572</f>
        <v>0.251962573527235</v>
      </c>
      <c r="CU578" s="0" t="s">
        <v>106</v>
      </c>
      <c r="CV578" s="0" t="n">
        <f aca="false">$CV$572</f>
        <v>0.264264384904993</v>
      </c>
    </row>
    <row r="579" customFormat="false" ht="12.8" hidden="false" customHeight="false" outlineLevel="0" collapsed="false">
      <c r="BZ579" s="0" t="s">
        <v>109</v>
      </c>
      <c r="CA579" s="0" t="n">
        <f aca="false">3</f>
        <v>3</v>
      </c>
      <c r="CG579" s="0" t="s">
        <v>109</v>
      </c>
      <c r="CH579" s="0" t="n">
        <f aca="false">3</f>
        <v>3</v>
      </c>
      <c r="CN579" s="0" t="s">
        <v>109</v>
      </c>
      <c r="CO579" s="0" t="n">
        <f aca="false">1</f>
        <v>1</v>
      </c>
      <c r="CU579" s="0" t="s">
        <v>109</v>
      </c>
      <c r="CV579" s="0" t="n">
        <f aca="false">1</f>
        <v>1</v>
      </c>
    </row>
    <row r="580" customFormat="false" ht="12.8" hidden="false" customHeight="false" outlineLevel="0" collapsed="false">
      <c r="BZ580" s="0" t="s">
        <v>112</v>
      </c>
      <c r="CA580" s="0" t="n">
        <f aca="false">38</f>
        <v>38</v>
      </c>
      <c r="CG580" s="0" t="s">
        <v>112</v>
      </c>
      <c r="CH580" s="0" t="n">
        <f aca="false">38</f>
        <v>38</v>
      </c>
      <c r="CN580" s="0" t="s">
        <v>112</v>
      </c>
      <c r="CO580" s="0" t="n">
        <f aca="false">39</f>
        <v>39</v>
      </c>
      <c r="CU580" s="0" t="s">
        <v>112</v>
      </c>
      <c r="CV580" s="0" t="n">
        <f aca="false">39</f>
        <v>39</v>
      </c>
    </row>
    <row r="581" customFormat="false" ht="12.8" hidden="false" customHeight="false" outlineLevel="0" collapsed="false">
      <c r="BZ581" s="0" t="s">
        <v>115</v>
      </c>
      <c r="CA581" s="0" t="n">
        <f aca="false">1 - (1 - $BZ$572)*($CA$580 - 1)/($CA$580 - $CA$579 - 1)</f>
        <v>0.321567132404466</v>
      </c>
      <c r="CG581" s="0" t="s">
        <v>115</v>
      </c>
      <c r="CH581" s="0" t="n">
        <f aca="false">1 - (1 - $CG$572)*($CH$580 - 1)/($CH$580 - $CH$579 - 1)</f>
        <v>0.532799822072784</v>
      </c>
      <c r="CN581" s="0" t="s">
        <v>115</v>
      </c>
      <c r="CO581" s="0" t="n">
        <f aca="false">1 - (1 - $CN$572)*($CO$580 - 1)/($CO$580 - $CO$579 - 1)</f>
        <v>0.191949521547507</v>
      </c>
      <c r="CU581" s="0" t="s">
        <v>115</v>
      </c>
      <c r="CV581" s="0" t="n">
        <f aca="false">1 - (1 - $CU$572)*($CV$580 - 1)/($CV$580 - $CV$579 - 1)</f>
        <v>0.0956607105600377</v>
      </c>
    </row>
    <row r="583" customFormat="false" ht="12.8" hidden="false" customHeight="false" outlineLevel="0" collapsed="false">
      <c r="BZ583" s="0" t="s">
        <v>120</v>
      </c>
      <c r="CG583" s="0" t="s">
        <v>120</v>
      </c>
      <c r="CN583" s="0" t="s">
        <v>120</v>
      </c>
      <c r="CU583" s="0" t="s">
        <v>120</v>
      </c>
    </row>
    <row r="584" customFormat="false" ht="12.8" hidden="false" customHeight="false" outlineLevel="0" collapsed="false">
      <c r="CA584" s="0" t="s">
        <v>123</v>
      </c>
      <c r="CB584" s="0" t="s">
        <v>124</v>
      </c>
      <c r="CC584" s="0" t="s">
        <v>125</v>
      </c>
      <c r="CD584" s="0" t="s">
        <v>126</v>
      </c>
      <c r="CE584" s="0" t="s">
        <v>127</v>
      </c>
      <c r="CH584" s="0" t="s">
        <v>123</v>
      </c>
      <c r="CI584" s="0" t="s">
        <v>124</v>
      </c>
      <c r="CJ584" s="0" t="s">
        <v>125</v>
      </c>
      <c r="CK584" s="0" t="s">
        <v>126</v>
      </c>
      <c r="CL584" s="0" t="s">
        <v>127</v>
      </c>
      <c r="CO584" s="0" t="s">
        <v>123</v>
      </c>
      <c r="CP584" s="0" t="s">
        <v>124</v>
      </c>
      <c r="CQ584" s="0" t="s">
        <v>125</v>
      </c>
      <c r="CR584" s="0" t="s">
        <v>126</v>
      </c>
      <c r="CS584" s="0" t="s">
        <v>127</v>
      </c>
      <c r="CV584" s="0" t="s">
        <v>123</v>
      </c>
      <c r="CW584" s="0" t="s">
        <v>124</v>
      </c>
      <c r="CX584" s="0" t="s">
        <v>125</v>
      </c>
      <c r="CY584" s="0" t="s">
        <v>126</v>
      </c>
      <c r="CZ584" s="0" t="s">
        <v>127</v>
      </c>
    </row>
    <row r="585" customFormat="false" ht="12.8" hidden="false" customHeight="false" outlineLevel="0" collapsed="false">
      <c r="BZ585" s="0" t="s">
        <v>130</v>
      </c>
      <c r="CA585" s="0" t="n">
        <f aca="false">$CA$579</f>
        <v>3</v>
      </c>
      <c r="CB585" s="0" t="n">
        <f aca="false">$BZ$574</f>
        <v>1.1219019556488</v>
      </c>
      <c r="CC585" s="0" t="n">
        <f aca="false">$BZ$574 / $CA$585</f>
        <v>0.3739673185496</v>
      </c>
      <c r="CD585" s="0" t="n">
        <f aca="false">$BZ$573</f>
        <v>6.84581735705772</v>
      </c>
      <c r="CE585" s="0" t="n">
        <f aca="false">FDIST($BZ$573 , $CA$585 , $CA$573)</f>
        <v>0.000988806839874602</v>
      </c>
      <c r="CG585" s="0" t="s">
        <v>130</v>
      </c>
      <c r="CH585" s="0" t="n">
        <f aca="false">$CH$579</f>
        <v>3</v>
      </c>
      <c r="CI585" s="0" t="n">
        <f aca="false">$CG$574</f>
        <v>1.61432464593214</v>
      </c>
      <c r="CJ585" s="0" t="n">
        <f aca="false">$CG$574 / $CH$585</f>
        <v>0.538108215310714</v>
      </c>
      <c r="CK585" s="0" t="n">
        <f aca="false">$CG$573</f>
        <v>15.0650584396568</v>
      </c>
      <c r="CL585" s="0" t="n">
        <f aca="false">FDIST($CG$573 , $CH$585 , $CH$573)</f>
        <v>2.09580445572772E-006</v>
      </c>
      <c r="CN585" s="0" t="s">
        <v>130</v>
      </c>
      <c r="CO585" s="0" t="n">
        <f aca="false">$CO$579</f>
        <v>1</v>
      </c>
      <c r="CP585" s="0" t="n">
        <f aca="false">$CN$574</f>
        <v>0.636550567589907</v>
      </c>
      <c r="CQ585" s="0" t="n">
        <f aca="false">$CN$574 / $CO$585</f>
        <v>0.636550567589907</v>
      </c>
      <c r="CR585" s="0" t="n">
        <f aca="false">$CN$573</f>
        <v>10.0267650515773</v>
      </c>
      <c r="CS585" s="0" t="n">
        <f aca="false">FDIST($CN$573 , $CO$585 , $CO$573)</f>
        <v>0.00308605868732111</v>
      </c>
      <c r="CU585" s="0" t="s">
        <v>130</v>
      </c>
      <c r="CV585" s="0" t="n">
        <f aca="false">$CV$579</f>
        <v>1</v>
      </c>
      <c r="CW585" s="0" t="n">
        <f aca="false">$CU$574</f>
        <v>0.350549019303577</v>
      </c>
      <c r="CX585" s="0" t="n">
        <f aca="false">$CU$574 / $CV$585</f>
        <v>0.350549019303577</v>
      </c>
      <c r="CY585" s="0" t="n">
        <f aca="false">$CU$573</f>
        <v>5.01962741609133</v>
      </c>
      <c r="CZ585" s="0" t="n">
        <f aca="false">FDIST($CU$573 , $CV$585 , $CV$573)</f>
        <v>0.0311513991125264</v>
      </c>
    </row>
    <row r="586" customFormat="false" ht="12.8" hidden="false" customHeight="false" outlineLevel="0" collapsed="false">
      <c r="BZ586" s="0" t="s">
        <v>133</v>
      </c>
      <c r="CA586" s="0" t="n">
        <f aca="false">$CA$573</f>
        <v>34</v>
      </c>
      <c r="CB586" s="0" t="n">
        <f aca="false">$CA$574</f>
        <v>1.85732224035716</v>
      </c>
      <c r="CC586" s="0" t="n">
        <f aca="false">$CA$574 / $CA$573</f>
        <v>0.0546271247163871</v>
      </c>
      <c r="CG586" s="0" t="s">
        <v>133</v>
      </c>
      <c r="CH586" s="0" t="n">
        <f aca="false">$CH$573</f>
        <v>34</v>
      </c>
      <c r="CI586" s="0" t="n">
        <f aca="false">$CH$574</f>
        <v>1.21444462985974</v>
      </c>
      <c r="CJ586" s="0" t="n">
        <f aca="false">$CH$574 / $CH$573</f>
        <v>0.035718959701757</v>
      </c>
      <c r="CN586" s="0" t="s">
        <v>133</v>
      </c>
      <c r="CO586" s="0" t="n">
        <f aca="false">$CO$573</f>
        <v>37</v>
      </c>
      <c r="CP586" s="0" t="n">
        <f aca="false">$CO$574</f>
        <v>2.3489501229633</v>
      </c>
      <c r="CQ586" s="0" t="n">
        <f aca="false">$CO$574 / $CO$573</f>
        <v>0.0634851384584675</v>
      </c>
      <c r="CU586" s="0" t="s">
        <v>133</v>
      </c>
      <c r="CV586" s="0" t="n">
        <f aca="false">$CV$573</f>
        <v>37</v>
      </c>
      <c r="CW586" s="0" t="n">
        <f aca="false">$CV$574</f>
        <v>2.58391960978092</v>
      </c>
      <c r="CX586" s="0" t="n">
        <f aca="false">$CV$574 / $CV$573</f>
        <v>0.0698356651292142</v>
      </c>
    </row>
    <row r="587" customFormat="false" ht="12.8" hidden="false" customHeight="false" outlineLevel="0" collapsed="false">
      <c r="BZ587" s="0" t="s">
        <v>136</v>
      </c>
      <c r="CA587" s="0" t="n">
        <f aca="false">$CA$585 + $CA$573</f>
        <v>37</v>
      </c>
      <c r="CB587" s="0" t="n">
        <f aca="false">$BZ$574 + $CA$574</f>
        <v>2.97922419600596</v>
      </c>
      <c r="CG587" s="0" t="s">
        <v>136</v>
      </c>
      <c r="CH587" s="0" t="n">
        <f aca="false">$CH$585 + $CH$573</f>
        <v>37</v>
      </c>
      <c r="CI587" s="0" t="n">
        <f aca="false">$CG$574 + $CH$574</f>
        <v>2.82876927579188</v>
      </c>
      <c r="CN587" s="0" t="s">
        <v>136</v>
      </c>
      <c r="CO587" s="0" t="n">
        <f aca="false">$CO$585 + $CO$573</f>
        <v>38</v>
      </c>
      <c r="CP587" s="0" t="n">
        <f aca="false">$CN$574 + $CO$574</f>
        <v>2.98550069055321</v>
      </c>
      <c r="CU587" s="0" t="s">
        <v>136</v>
      </c>
      <c r="CV587" s="0" t="n">
        <f aca="false">$CV$585 + $CV$573</f>
        <v>38</v>
      </c>
      <c r="CW587" s="0" t="n">
        <f aca="false">$CU$574 + $CV$574</f>
        <v>2.9344686290845</v>
      </c>
    </row>
    <row r="589" customFormat="false" ht="12.8" hidden="false" customHeight="false" outlineLevel="0" collapsed="false">
      <c r="BZ589" s="0" t="s">
        <v>141</v>
      </c>
      <c r="CA589" s="0" t="n">
        <v>0.95</v>
      </c>
      <c r="CG589" s="0" t="s">
        <v>141</v>
      </c>
      <c r="CH589" s="0" t="n">
        <v>0.95</v>
      </c>
      <c r="CN589" s="0" t="s">
        <v>141</v>
      </c>
      <c r="CO589" s="0" t="n">
        <v>0.95</v>
      </c>
      <c r="CU589" s="0" t="s">
        <v>141</v>
      </c>
      <c r="CV589" s="0" t="n">
        <v>0.95</v>
      </c>
    </row>
    <row r="591" customFormat="false" ht="12.8" hidden="false" customHeight="false" outlineLevel="0" collapsed="false">
      <c r="CA591" s="0" t="s">
        <v>146</v>
      </c>
      <c r="CB591" s="0" t="s">
        <v>106</v>
      </c>
      <c r="CC591" s="0" t="s">
        <v>147</v>
      </c>
      <c r="CD591" s="0" t="s">
        <v>148</v>
      </c>
      <c r="CE591" s="0" t="str">
        <f aca="false">_xlfn.CONCAT("Lower " , INT($CA$589 * 100) , "%")</f>
        <v>Lower 95%</v>
      </c>
      <c r="CF591" s="0" t="str">
        <f aca="false">_xlfn.CONCAT("Upper " , INT($CA$589 * 100) , "%")</f>
        <v>Upper 95%</v>
      </c>
      <c r="CH591" s="0" t="s">
        <v>146</v>
      </c>
      <c r="CI591" s="0" t="s">
        <v>106</v>
      </c>
      <c r="CJ591" s="0" t="s">
        <v>147</v>
      </c>
      <c r="CK591" s="0" t="s">
        <v>148</v>
      </c>
      <c r="CL591" s="0" t="str">
        <f aca="false">_xlfn.CONCAT("Lower " , INT($CH$589 * 100) , "%")</f>
        <v>Lower 95%</v>
      </c>
      <c r="CM591" s="0" t="str">
        <f aca="false">_xlfn.CONCAT("Upper " , INT($CH$589 * 100) , "%")</f>
        <v>Upper 95%</v>
      </c>
      <c r="CO591" s="0" t="s">
        <v>146</v>
      </c>
      <c r="CP591" s="0" t="s">
        <v>106</v>
      </c>
      <c r="CQ591" s="0" t="s">
        <v>147</v>
      </c>
      <c r="CR591" s="0" t="s">
        <v>148</v>
      </c>
      <c r="CS591" s="0" t="str">
        <f aca="false">_xlfn.CONCAT("Lower " , INT($CO$589 * 100) , "%")</f>
        <v>Lower 95%</v>
      </c>
      <c r="CT591" s="0" t="str">
        <f aca="false">_xlfn.CONCAT("Upper " , INT($CO$589 * 100) , "%")</f>
        <v>Upper 95%</v>
      </c>
      <c r="CV591" s="0" t="s">
        <v>146</v>
      </c>
      <c r="CW591" s="0" t="s">
        <v>106</v>
      </c>
      <c r="CX591" s="0" t="s">
        <v>147</v>
      </c>
      <c r="CY591" s="0" t="s">
        <v>148</v>
      </c>
      <c r="CZ591" s="0" t="str">
        <f aca="false">_xlfn.CONCAT("Lower " , INT($CV$589 * 100) , "%")</f>
        <v>Lower 95%</v>
      </c>
      <c r="DA591" s="0" t="str">
        <f aca="false">_xlfn.CONCAT("Upper " , INT($CV$589 * 100) , "%")</f>
        <v>Upper 95%</v>
      </c>
    </row>
    <row r="592" customFormat="false" ht="12.8" hidden="false" customHeight="false" outlineLevel="0" collapsed="false">
      <c r="BZ592" s="0" t="str">
        <f aca="false">"Intercept"</f>
        <v>Intercept</v>
      </c>
      <c r="CA592" s="0" t="n">
        <f aca="false" t="array" ref="CA592:CA595">INDEX($BZ$570:$CC$570, 1 , 596 - ROW())</f>
        <v>1.87424336219041</v>
      </c>
      <c r="CB592" s="0" t="n">
        <f aca="false" t="array" ref="CB592:CB595">INDEX($BZ$571:$CC$571, 1 , 596 - ROW())</f>
        <v>0.583629468444177</v>
      </c>
      <c r="CC592" s="0" t="n">
        <f aca="false" t="array" ref="CC592:CC595">$CA$592:$CA$595 / $CB$592:$CB$595</f>
        <v>3.21135834211168</v>
      </c>
      <c r="CD592" s="0" t="n">
        <f aca="false" t="array" ref="CD592:CD595">TDIST(ABS($CC$592:$CC$595) , $CA$573 , 2 )</f>
        <v>0.00288546619894438</v>
      </c>
      <c r="CE592" s="0" t="n">
        <f aca="false" t="array" ref="CE592:CE595">$CA$592:$CA$595 - $CB$592:$CB$595 * TINV(1 - $CA$589 , $CA$573)</f>
        <v>0.688165579468715</v>
      </c>
      <c r="CF592" s="0" t="n">
        <f aca="false" t="array" ref="CF592:CF595">$CA$592:$CA$595 + $CB$592:$CB$595 * TINV(1 - $CA$589 , $CA$573)</f>
        <v>3.06032114491211</v>
      </c>
      <c r="CG592" s="0" t="str">
        <f aca="false">"Intercept"</f>
        <v>Intercept</v>
      </c>
      <c r="CH592" s="0" t="n">
        <f aca="false" t="array" ref="CH592:CH595">INDEX($CG$570:$CJ$570, 1 , 596 - ROW())</f>
        <v>-0.402133990906693</v>
      </c>
      <c r="CI592" s="0" t="n">
        <f aca="false" t="array" ref="CI592:CI595">INDEX($CG$571:$CJ$571, 1 , 596 - ROW())</f>
        <v>0.47193527693043</v>
      </c>
      <c r="CJ592" s="0" t="n">
        <f aca="false" t="array" ref="CJ592:CJ595">$CH$592:$CH$595 / $CI$592:$CI$595</f>
        <v>-0.852095638033799</v>
      </c>
      <c r="CK592" s="0" t="n">
        <f aca="false" t="array" ref="CK592:CK595">TDIST(ABS($CJ$592:$CJ$595) , $CH$573 , 2 )</f>
        <v>0.400123401270429</v>
      </c>
      <c r="CL592" s="0" t="n">
        <f aca="false" t="array" ref="CL592:CL595">$CH$592:$CH$595 - $CI$592:$CI$595 * TINV(1 - $CH$589 , $CH$573)</f>
        <v>-1.3612218662019</v>
      </c>
      <c r="CM592" s="0" t="n">
        <f aca="false" t="array" ref="CM592:CM595">$CH$592:$CH$595 + $CI$592:$CI$595 * TINV(1 - $CH$589 , $CH$573)</f>
        <v>0.556953884388511</v>
      </c>
      <c r="CN592" s="0" t="str">
        <f aca="false">"Intercept"</f>
        <v>Intercept</v>
      </c>
      <c r="CO592" s="0" t="n">
        <f aca="false" t="array" ref="CO592:CO593">INDEX($CN$570:$CO$570, 1 , 594 - ROW())</f>
        <v>3.18262796449129</v>
      </c>
      <c r="CP592" s="0" t="n">
        <f aca="false" t="array" ref="CP592:CP593">INDEX($CN$571:$CO$571, 1 , 594 - ROW())</f>
        <v>0.162513679521676</v>
      </c>
      <c r="CQ592" s="0" t="n">
        <f aca="false" t="array" ref="CQ592:CQ593">$CO$592:$CO$593 / $CP$592:$CP$593</f>
        <v>19.5837542652327</v>
      </c>
      <c r="CR592" s="0" t="n">
        <f aca="false" t="array" ref="CR592:CR593">TDIST(ABS($CQ$592:$CQ$593) , $CO$573 , 2 )</f>
        <v>4.03133946180884E-021</v>
      </c>
      <c r="CS592" s="0" t="n">
        <f aca="false" t="array" ref="CS592:CS593">$CO$592:$CO$593 - $CP$592:$CP$593 * TINV(1 - $CO$589 , $CO$573)</f>
        <v>2.85334397190534</v>
      </c>
      <c r="CT592" s="0" t="n">
        <f aca="false" t="array" ref="CT592:CT593">$CO$592:$CO$593 + $CP$592:$CP$593 * TINV(1 - $CO$589 , $CO$573)</f>
        <v>3.51191195707724</v>
      </c>
      <c r="CU592" s="0" t="str">
        <f aca="false">"Intercept"</f>
        <v>Intercept</v>
      </c>
      <c r="CV592" s="0" t="n">
        <f aca="false" t="array" ref="CV592:CV593">INDEX($CU$570:$CV$570, 1 , 594 - ROW())</f>
        <v>2.35280476895734</v>
      </c>
      <c r="CW592" s="0" t="n">
        <f aca="false" t="array" ref="CW592:CW593">INDEX($CU$571:$CV$571, 1 , 594 - ROW())</f>
        <v>0.170448241404395</v>
      </c>
      <c r="CX592" s="0" t="n">
        <f aca="false" t="array" ref="CX592:CX593">$CV$592:$CV$593 / $CW$592:$CW$593</f>
        <v>13.803631821435</v>
      </c>
      <c r="CY592" s="0" t="n">
        <f aca="false" t="array" ref="CY592:CY593">TDIST(ABS($CX$592:$CX$593) , $CV$573 , 2 )</f>
        <v>3.60958989006275E-016</v>
      </c>
      <c r="CZ592" s="0" t="n">
        <f aca="false" t="array" ref="CZ592:CZ593">$CV$592:$CV$593 - $CW$592:$CW$593 * TINV(1 - $CV$589 , $CV$573)</f>
        <v>2.00744382688719</v>
      </c>
      <c r="DA592" s="0" t="n">
        <f aca="false" t="array" ref="DA592:DA593">$CV$592:$CV$593 + $CW$592:$CW$593 * TINV(1 - $CV$589 , $CV$573)</f>
        <v>2.69816571102749</v>
      </c>
    </row>
    <row r="593" customFormat="false" ht="12.8" hidden="false" customHeight="false" outlineLevel="0" collapsed="false">
      <c r="BS593" s="24"/>
      <c r="BZ593" s="24" t="str">
        <f aca="false">$BK$94</f>
        <v>log (Whβ) FEROS</v>
      </c>
      <c r="CA593" s="0" t="n">
        <v>-0.262614488873107</v>
      </c>
      <c r="CB593" s="0" t="n">
        <v>0.095379982358375</v>
      </c>
      <c r="CC593" s="0" t="n">
        <v>-2.75335015146443</v>
      </c>
      <c r="CD593" s="0" t="n">
        <v>0.00939917934579934</v>
      </c>
      <c r="CE593" s="0" t="n">
        <v>-0.456449934319735</v>
      </c>
      <c r="CF593" s="0" t="n">
        <v>-0.0687790434264783</v>
      </c>
      <c r="CG593" s="24" t="str">
        <f aca="false">$BK$94</f>
        <v>log (Whβ) FEROS</v>
      </c>
      <c r="CH593" s="0" t="n">
        <v>-0.0617409051850465</v>
      </c>
      <c r="CI593" s="0" t="n">
        <v>0.0771262947155737</v>
      </c>
      <c r="CJ593" s="0" t="n">
        <v>-0.800516936704072</v>
      </c>
      <c r="CK593" s="0" t="n">
        <v>0.428969807111103</v>
      </c>
      <c r="CL593" s="0" t="n">
        <v>-0.218480394144791</v>
      </c>
      <c r="CM593" s="0" t="n">
        <v>0.0949985837746984</v>
      </c>
      <c r="CN593" s="24" t="str">
        <f aca="false">$BE$52</f>
        <v>log (Whβ) NTT</v>
      </c>
      <c r="CO593" s="0" t="n">
        <v>-0.309090626966513</v>
      </c>
      <c r="CP593" s="0" t="n">
        <v>0.09761249557973</v>
      </c>
      <c r="CQ593" s="0" t="n">
        <v>-3.16650675849228</v>
      </c>
      <c r="CR593" s="0" t="n">
        <v>0.0030860586873211</v>
      </c>
      <c r="CS593" s="0" t="n">
        <v>-0.506872329807624</v>
      </c>
      <c r="CT593" s="0" t="n">
        <v>-0.111308924125401</v>
      </c>
      <c r="CU593" s="24" t="str">
        <f aca="false">$BE$52</f>
        <v>log (Whβ) NTT</v>
      </c>
      <c r="CV593" s="0" t="n">
        <v>-0.229373773232936</v>
      </c>
      <c r="CW593" s="0" t="n">
        <v>0.102378324456312</v>
      </c>
      <c r="CX593" s="0" t="n">
        <v>-2.24045250252964</v>
      </c>
      <c r="CY593" s="0" t="n">
        <v>0.0311513991125264</v>
      </c>
      <c r="CZ593" s="0" t="n">
        <v>-0.436811962623864</v>
      </c>
      <c r="DA593" s="0" t="n">
        <v>-0.0219355838420074</v>
      </c>
    </row>
    <row r="594" customFormat="false" ht="12.8" hidden="false" customHeight="false" outlineLevel="0" collapsed="false">
      <c r="BS594" s="24"/>
      <c r="BZ594" s="24" t="str">
        <f aca="false">$BL$94</f>
        <v>log (σHβ) (Km s-¹)</v>
      </c>
      <c r="CA594" s="0" t="n">
        <v>0.653198713416055</v>
      </c>
      <c r="CB594" s="0" t="n">
        <v>0.287810845159755</v>
      </c>
      <c r="CC594" s="0" t="n">
        <v>2.26954169518346</v>
      </c>
      <c r="CD594" s="0" t="n">
        <v>0.029694491901948</v>
      </c>
      <c r="CE594" s="0" t="n">
        <v>0.0682967036180513</v>
      </c>
      <c r="CF594" s="0" t="n">
        <v>1.23810072321406</v>
      </c>
      <c r="CG594" s="24" t="str">
        <f aca="false">$BL$94</f>
        <v>log (σHβ) (Km s-¹)</v>
      </c>
      <c r="CH594" s="0" t="n">
        <v>1.22038372675142</v>
      </c>
      <c r="CI594" s="0" t="n">
        <v>0.232730008092526</v>
      </c>
      <c r="CJ594" s="0" t="n">
        <v>5.24377469306077</v>
      </c>
      <c r="CK594" s="0" t="n">
        <v>8.28949084233641E-006</v>
      </c>
      <c r="CL594" s="0" t="n">
        <v>0.747419445651913</v>
      </c>
      <c r="CM594" s="0" t="n">
        <v>1.69334800785092</v>
      </c>
      <c r="CN594" s="46"/>
    </row>
    <row r="595" customFormat="false" ht="12.8" hidden="false" customHeight="false" outlineLevel="0" collapsed="false">
      <c r="BS595" s="24"/>
      <c r="BZ595" s="24" t="str">
        <f aca="false">$BM$94</f>
        <v>log(O/H)</v>
      </c>
      <c r="CA595" s="0" t="n">
        <v>0.044296349131549</v>
      </c>
      <c r="CB595" s="0" t="n">
        <v>0.035211888980069</v>
      </c>
      <c r="CC595" s="0" t="n">
        <v>1.25799411547111</v>
      </c>
      <c r="CD595" s="0" t="n">
        <v>0.216965147840561</v>
      </c>
      <c r="CE595" s="0" t="n">
        <v>-0.0272628189109014</v>
      </c>
      <c r="CF595" s="0" t="n">
        <v>0.115855517173999</v>
      </c>
      <c r="CG595" s="24" t="str">
        <f aca="false">$BM$94</f>
        <v>log(O/H)</v>
      </c>
      <c r="CH595" s="0" t="n">
        <v>0.102935632488144</v>
      </c>
      <c r="CI595" s="0" t="n">
        <v>0.0284730869079512</v>
      </c>
      <c r="CJ595" s="0" t="n">
        <v>3.61519047165199</v>
      </c>
      <c r="CK595" s="0" t="n">
        <v>0.000960577020937594</v>
      </c>
      <c r="CL595" s="0" t="n">
        <v>0.0450713579561343</v>
      </c>
      <c r="CM595" s="0" t="n">
        <v>0.160799907020155</v>
      </c>
      <c r="CN595" s="46" t="str">
        <f aca="false">$BE$52</f>
        <v>log (Whβ) NTT</v>
      </c>
      <c r="CO595" s="0" t="s">
        <v>157</v>
      </c>
      <c r="CP595" s="0" t="str">
        <f aca="false">$BF$52</f>
        <v>log (R)</v>
      </c>
      <c r="CQ595" s="0" t="s">
        <v>133</v>
      </c>
      <c r="CR595" s="26" t="s">
        <v>158</v>
      </c>
      <c r="CU595" s="0" t="str">
        <f aca="false">$BE$52</f>
        <v>log (Whβ) NTT</v>
      </c>
      <c r="CV595" s="0" t="s">
        <v>157</v>
      </c>
      <c r="CW595" s="0" t="str">
        <f aca="false">$BI$52</f>
        <v>log (r)</v>
      </c>
      <c r="CX595" s="0" t="s">
        <v>133</v>
      </c>
      <c r="CY595" s="26" t="s">
        <v>158</v>
      </c>
    </row>
    <row r="596" customFormat="false" ht="12.8" hidden="false" customHeight="false" outlineLevel="0" collapsed="false">
      <c r="BS596" s="24"/>
      <c r="BZ596" s="24"/>
      <c r="CG596" s="24"/>
      <c r="CN596" s="46" t="n">
        <f aca="false" t="array" ref="CN596:CN634">$BE$53:$BE$91</f>
        <v>1.63346845557959</v>
      </c>
      <c r="CO596" s="0" t="n">
        <f aca="false" t="array" ref="CO596:CO634">MMULT($CN$596:$CN$634 , $CO$593) + $CO$592</f>
        <v>2.67773817542617</v>
      </c>
      <c r="CP596" s="0" t="n">
        <f aca="false" t="array" ref="CP596:CP634">$BF$53:$BF$91</f>
        <v>2.62956092768934</v>
      </c>
      <c r="CQ596" s="0" t="n">
        <f aca="false" t="array" ref="CQ596:CQ634">$CP$596:$CP$634 - $CO$596:$CO$634</f>
        <v>-0.0481772477368336</v>
      </c>
      <c r="CR596" s="20" t="n">
        <f aca="false">(CQ596)^2</f>
        <v>0.00232104719949624</v>
      </c>
      <c r="CU596" s="0" t="n">
        <f aca="false" t="array" ref="CU596:CU634">$BE$53:$BE$91</f>
        <v>1.63346845557959</v>
      </c>
      <c r="CV596" s="0" t="n">
        <f aca="false" t="array" ref="CV596:CV634">MMULT($CU$596:$CU$634 , $CV$593) + $CV$592</f>
        <v>1.97812994584407</v>
      </c>
      <c r="CW596" s="0" t="n">
        <f aca="false" t="array" ref="CW596:CW634">$BI$53:$BI$91</f>
        <v>2.05463340928398</v>
      </c>
      <c r="CX596" s="0" t="n">
        <f aca="false" t="array" ref="CX596:CX634">$CW$596:$CW$634 - $CV$596:$CV$634</f>
        <v>0.0765034634399078</v>
      </c>
      <c r="CY596" s="20" t="n">
        <f aca="false">(CX596)^2</f>
        <v>0.0058527799183013</v>
      </c>
    </row>
    <row r="597" customFormat="false" ht="12.8" hidden="false" customHeight="false" outlineLevel="0" collapsed="false">
      <c r="BZ597" s="0" t="str">
        <f aca="false">$BK$94</f>
        <v>log (Whβ) FEROS</v>
      </c>
      <c r="CA597" s="0" t="str">
        <f aca="false">$BL$94</f>
        <v>log (σHβ) (Km s-¹)</v>
      </c>
      <c r="CB597" s="0" t="str">
        <f aca="false">$BM$94</f>
        <v>log(O/H)</v>
      </c>
      <c r="CC597" s="0" t="s">
        <v>157</v>
      </c>
      <c r="CD597" s="0" t="str">
        <f aca="false">$BJ$94</f>
        <v>log (R)</v>
      </c>
      <c r="CE597" s="0" t="s">
        <v>133</v>
      </c>
      <c r="CF597" s="26" t="s">
        <v>158</v>
      </c>
      <c r="CG597" s="0" t="str">
        <f aca="false">$BK$94</f>
        <v>log (Whβ) FEROS</v>
      </c>
      <c r="CH597" s="0" t="str">
        <f aca="false">$BL$94</f>
        <v>log (σHβ) (Km s-¹)</v>
      </c>
      <c r="CI597" s="0" t="str">
        <f aca="false">$BM$94</f>
        <v>log(O/H)</v>
      </c>
      <c r="CJ597" s="0" t="s">
        <v>157</v>
      </c>
      <c r="CK597" s="0" t="str">
        <f aca="false">$BN$94</f>
        <v>log (r)</v>
      </c>
      <c r="CL597" s="0" t="s">
        <v>133</v>
      </c>
      <c r="CM597" s="26" t="s">
        <v>158</v>
      </c>
      <c r="CN597" s="0" t="n">
        <v>1.92427928606188</v>
      </c>
      <c r="CO597" s="0" t="n">
        <v>2.58785127350375</v>
      </c>
      <c r="CP597" s="0" t="n">
        <v>2.78221676211721</v>
      </c>
      <c r="CQ597" s="0" t="n">
        <v>0.19436548861346</v>
      </c>
      <c r="CR597" s="20" t="n">
        <f aca="false">(CQ597)^2</f>
        <v>0.037777943163949</v>
      </c>
      <c r="CU597" s="0" t="n">
        <v>1.92427928606188</v>
      </c>
      <c r="CV597" s="0" t="n">
        <v>1.91142556835935</v>
      </c>
      <c r="CW597" s="0" t="n">
        <v>2.08700408042741</v>
      </c>
      <c r="CX597" s="0" t="n">
        <v>0.175578512068064</v>
      </c>
      <c r="CY597" s="20" t="n">
        <f aca="false">(CX597)^2</f>
        <v>0.0308278139000354</v>
      </c>
    </row>
    <row r="598" customFormat="false" ht="12.8" hidden="false" customHeight="false" outlineLevel="0" collapsed="false">
      <c r="BZ598" s="0" t="n">
        <f aca="false" t="array" ref="BZ598:CB635">$BK$95:$BM$132</f>
        <v>1.64345267648619</v>
      </c>
      <c r="CA598" s="0" t="n">
        <v>1.18752072083646</v>
      </c>
      <c r="CB598" s="0" t="n">
        <v>7.73</v>
      </c>
      <c r="CC598" s="0" t="n">
        <f aca="false" t="array" ref="CC598:CC635">MMULT($BZ$598:$CB$635 , $CA$593:$CA$595) + $CA$592</f>
        <v>2.56074666336001</v>
      </c>
      <c r="CD598" s="0" t="n">
        <f aca="false" t="array" ref="CD598:CD635">$BJ$95:$BJ$132</f>
        <v>2.62956092768934</v>
      </c>
      <c r="CE598" s="0" t="n">
        <f aca="false" t="array" ref="CE598:CE635">$CD$598:$CD$635 - $CC$598:$CC$635</f>
        <v>0.0688142643293319</v>
      </c>
      <c r="CF598" s="20" t="n">
        <f aca="false">(CE598)^2</f>
        <v>0.00473540297518716</v>
      </c>
      <c r="CG598" s="0" t="n">
        <f aca="false" t="array" ref="CG598:CI635">$BK$95:$BM$132</f>
        <v>1.64345267648619</v>
      </c>
      <c r="CH598" s="0" t="n">
        <v>1.18752072083646</v>
      </c>
      <c r="CI598" s="0" t="n">
        <v>7.73</v>
      </c>
      <c r="CJ598" s="0" t="n">
        <f aca="false" t="array" ref="CJ598:CJ635">MMULT($CG$598:$CI$635 , $CH$593:$CH$595) + $CH$592</f>
        <v>1.74132115524055</v>
      </c>
      <c r="CK598" s="0" t="n">
        <f aca="false" t="array" ref="CK598:CK635">$BN$95:$BN$132</f>
        <v>2.05463340928398</v>
      </c>
      <c r="CL598" s="0" t="n">
        <f aca="false" t="array" ref="CL598:CL635">$CK$598:$CK$635 - $CJ$598:$CJ$635</f>
        <v>0.313312254043433</v>
      </c>
      <c r="CM598" s="20" t="n">
        <f aca="false">(CL598)^2</f>
        <v>0.098164568533777</v>
      </c>
      <c r="CN598" s="0" t="n">
        <v>2.10037054511756</v>
      </c>
      <c r="CO598" s="0" t="n">
        <v>2.53342311583891</v>
      </c>
      <c r="CP598" s="0" t="n">
        <v>2.87283479667699</v>
      </c>
      <c r="CQ598" s="0" t="n">
        <v>0.339411680838082</v>
      </c>
      <c r="CR598" s="20" t="n">
        <f aca="false">(CQ598)^2</f>
        <v>0.115200289089332</v>
      </c>
      <c r="CU598" s="0" t="n">
        <v>2.10037054511756</v>
      </c>
      <c r="CV598" s="0" t="n">
        <v>1.87103485183641</v>
      </c>
      <c r="CW598" s="0" t="n">
        <v>2.3176102420111</v>
      </c>
      <c r="CX598" s="0" t="n">
        <v>0.446575390174694</v>
      </c>
      <c r="CY598" s="20" t="n">
        <f aca="false">(CX598)^2</f>
        <v>0.19942957910968</v>
      </c>
    </row>
    <row r="599" customFormat="false" ht="12.8" hidden="false" customHeight="false" outlineLevel="0" collapsed="false">
      <c r="BZ599" s="0" t="n">
        <v>1.96848294855394</v>
      </c>
      <c r="CA599" s="0" t="n">
        <v>1.32633586092875</v>
      </c>
      <c r="CB599" s="0" t="n">
        <v>8.18</v>
      </c>
      <c r="CC599" s="0" t="n">
        <v>2.5859962326128</v>
      </c>
      <c r="CD599" s="0" t="n">
        <v>2.78221676211721</v>
      </c>
      <c r="CE599" s="0" t="n">
        <v>0.196220529504411</v>
      </c>
      <c r="CF599" s="20" t="n">
        <f aca="false">(CE599)^2</f>
        <v>0.0385024961989914</v>
      </c>
      <c r="CG599" s="0" t="n">
        <v>1.96848294855394</v>
      </c>
      <c r="CH599" s="0" t="n">
        <v>1.32633586092875</v>
      </c>
      <c r="CI599" s="0" t="n">
        <v>8.18</v>
      </c>
      <c r="CJ599" s="0" t="n">
        <v>1.93698226464556</v>
      </c>
      <c r="CK599" s="0" t="n">
        <v>2.08700408042741</v>
      </c>
      <c r="CL599" s="0" t="n">
        <v>0.150021815781854</v>
      </c>
      <c r="CM599" s="20" t="n">
        <f aca="false">(CL599)^2</f>
        <v>0.0225065452104847</v>
      </c>
      <c r="CN599" s="0" t="n">
        <v>1.43136376415899</v>
      </c>
      <c r="CO599" s="0" t="n">
        <v>2.74020684121024</v>
      </c>
      <c r="CP599" s="0" t="n">
        <v>2.8057379010057</v>
      </c>
      <c r="CQ599" s="0" t="n">
        <v>0.0655310597954597</v>
      </c>
      <c r="CR599" s="20" t="n">
        <f aca="false">(CQ599)^2</f>
        <v>0.00429431979791611</v>
      </c>
      <c r="CU599" s="0" t="n">
        <v>1.43136376415899</v>
      </c>
      <c r="CV599" s="0" t="n">
        <v>2.02448746150329</v>
      </c>
      <c r="CW599" s="0" t="n">
        <v>2.39479758741265</v>
      </c>
      <c r="CX599" s="0" t="n">
        <v>0.370310125909357</v>
      </c>
      <c r="CY599" s="20" t="n">
        <f aca="false">(CX599)^2</f>
        <v>0.137129589351004</v>
      </c>
    </row>
    <row r="600" customFormat="false" ht="12.8" hidden="false" customHeight="false" outlineLevel="0" collapsed="false">
      <c r="BZ600" s="0" t="n">
        <v>1.57978359661681</v>
      </c>
      <c r="CA600" s="0" t="n">
        <v>1.52762990087134</v>
      </c>
      <c r="CB600" s="0" t="n">
        <v>8.08</v>
      </c>
      <c r="CC600" s="0" t="n">
        <v>2.81512968724274</v>
      </c>
      <c r="CD600" s="0" t="n">
        <v>2.87283479667699</v>
      </c>
      <c r="CE600" s="0" t="n">
        <v>0.0577051094342487</v>
      </c>
      <c r="CF600" s="20" t="n">
        <f aca="false">(CE600)^2</f>
        <v>0.00332987965481861</v>
      </c>
      <c r="CG600" s="0" t="n">
        <v>1.57978359661681</v>
      </c>
      <c r="CH600" s="0" t="n">
        <v>1.52762990087134</v>
      </c>
      <c r="CI600" s="0" t="n">
        <v>8.08</v>
      </c>
      <c r="CJ600" s="0" t="n">
        <v>2.19634332186817</v>
      </c>
      <c r="CK600" s="0" t="n">
        <v>2.3176102420111</v>
      </c>
      <c r="CL600" s="0" t="n">
        <v>0.121266920142934</v>
      </c>
      <c r="CM600" s="20" t="n">
        <f aca="false">(CL600)^2</f>
        <v>0.0147056659209527</v>
      </c>
      <c r="CN600" s="0" t="n">
        <v>2.26717172840301</v>
      </c>
      <c r="CO600" s="0" t="n">
        <v>2.48186643351845</v>
      </c>
      <c r="CP600" s="0" t="n">
        <v>2.72333943354249</v>
      </c>
      <c r="CQ600" s="0" t="n">
        <v>0.241473000024039</v>
      </c>
      <c r="CR600" s="20" t="n">
        <f aca="false">(CQ600)^2</f>
        <v>0.0583092097406093</v>
      </c>
      <c r="CU600" s="0" t="n">
        <v>2.26717172840301</v>
      </c>
      <c r="CV600" s="0" t="n">
        <v>1.8327750350465</v>
      </c>
      <c r="CW600" s="0" t="n">
        <v>2.41617635379349</v>
      </c>
      <c r="CX600" s="0" t="n">
        <v>0.583401318746986</v>
      </c>
      <c r="CY600" s="20" t="n">
        <f aca="false">(CX600)^2</f>
        <v>0.340357098715723</v>
      </c>
    </row>
    <row r="601" customFormat="false" ht="12.8" hidden="false" customHeight="false" outlineLevel="0" collapsed="false">
      <c r="BZ601" s="0" t="n">
        <v>1.41497334797082</v>
      </c>
      <c r="CA601" s="0" t="n">
        <v>1.54530711646582</v>
      </c>
      <c r="CB601" s="0" t="n">
        <v>8.36</v>
      </c>
      <c r="CC601" s="0" t="n">
        <v>2.88236095869188</v>
      </c>
      <c r="CD601" s="0" t="n">
        <v>2.8057379010057</v>
      </c>
      <c r="CE601" s="0" t="n">
        <v>-0.0766230576861844</v>
      </c>
      <c r="CF601" s="20" t="n">
        <f aca="false">(CE601)^2</f>
        <v>0.00587109296918034</v>
      </c>
      <c r="CG601" s="0" t="n">
        <v>1.41497334797082</v>
      </c>
      <c r="CH601" s="0" t="n">
        <v>1.54530711646582</v>
      </c>
      <c r="CI601" s="0" t="n">
        <v>8.36</v>
      </c>
      <c r="CJ601" s="0" t="n">
        <v>2.2569138191458</v>
      </c>
      <c r="CK601" s="0" t="n">
        <v>2.39479758741265</v>
      </c>
      <c r="CL601" s="0" t="n">
        <v>0.137883768266847</v>
      </c>
      <c r="CM601" s="20" t="n">
        <f aca="false">(CL601)^2</f>
        <v>0.0190119335514657</v>
      </c>
      <c r="CN601" s="0" t="n">
        <v>1.93449845124357</v>
      </c>
      <c r="CO601" s="0" t="n">
        <v>2.58469262533067</v>
      </c>
      <c r="CP601" s="0" t="n">
        <v>2.52960348518892</v>
      </c>
      <c r="CQ601" s="0" t="n">
        <v>-0.0550891401417473</v>
      </c>
      <c r="CR601" s="20" t="n">
        <f aca="false">(CQ601)^2</f>
        <v>0.00303481336155707</v>
      </c>
      <c r="CU601" s="0" t="n">
        <v>1.93449845124357</v>
      </c>
      <c r="CV601" s="0" t="n">
        <v>1.90908155988233</v>
      </c>
      <c r="CW601" s="0" t="n">
        <v>2.17640387683549</v>
      </c>
      <c r="CX601" s="0" t="n">
        <v>0.267322316953159</v>
      </c>
      <c r="CY601" s="20" t="n">
        <f aca="false">(CX601)^2</f>
        <v>0.0714612211412054</v>
      </c>
    </row>
    <row r="602" customFormat="false" ht="12.8" hidden="false" customHeight="false" outlineLevel="0" collapsed="false">
      <c r="BZ602" s="0" t="n">
        <v>2.20682587603185</v>
      </c>
      <c r="CA602" s="0" t="n">
        <v>1.44247976906445</v>
      </c>
      <c r="CB602" s="0" t="n">
        <v>7.98</v>
      </c>
      <c r="CC602" s="0" t="n">
        <v>2.59040970807571</v>
      </c>
      <c r="CD602" s="0" t="n">
        <v>2.72333943354249</v>
      </c>
      <c r="CE602" s="0" t="n">
        <v>0.13292972546678</v>
      </c>
      <c r="CF602" s="20" t="n">
        <f aca="false">(CE602)^2</f>
        <v>0.0176703119126735</v>
      </c>
      <c r="CG602" s="0" t="n">
        <v>2.20682587603185</v>
      </c>
      <c r="CH602" s="0" t="n">
        <v>1.44247976906445</v>
      </c>
      <c r="CI602" s="0" t="n">
        <v>7.98</v>
      </c>
      <c r="CJ602" s="0" t="n">
        <v>2.04341976551111</v>
      </c>
      <c r="CK602" s="0" t="n">
        <v>2.41617635379349</v>
      </c>
      <c r="CL602" s="0" t="n">
        <v>0.372756588282384</v>
      </c>
      <c r="CM602" s="20" t="n">
        <f aca="false">(CL602)^2</f>
        <v>0.138947474107923</v>
      </c>
      <c r="CN602" s="0" t="n">
        <v>1.70757017609794</v>
      </c>
      <c r="CO602" s="0" t="n">
        <v>2.65483402817186</v>
      </c>
      <c r="CP602" s="0" t="n">
        <v>2.40587460839648</v>
      </c>
      <c r="CQ602" s="0" t="n">
        <v>-0.248959419775379</v>
      </c>
      <c r="CR602" s="20" t="n">
        <f aca="false">(CQ602)^2</f>
        <v>0.0619807926948936</v>
      </c>
      <c r="CU602" s="0" t="n">
        <v>1.70757017609794</v>
      </c>
      <c r="CV602" s="0" t="n">
        <v>1.96113295460573</v>
      </c>
      <c r="CW602" s="0" t="n">
        <v>2.06468635947822</v>
      </c>
      <c r="CX602" s="0" t="n">
        <v>0.103553404872494</v>
      </c>
      <c r="CY602" s="20" t="n">
        <f aca="false">(CX602)^2</f>
        <v>0.0107233076606868</v>
      </c>
    </row>
    <row r="603" customFormat="false" ht="12.8" hidden="false" customHeight="false" outlineLevel="0" collapsed="false">
      <c r="BZ603" s="0" t="n">
        <v>2.03742649794062</v>
      </c>
      <c r="CA603" s="0" t="n">
        <v>1.53781909507327</v>
      </c>
      <c r="CB603" s="0" t="n">
        <v>8.25</v>
      </c>
      <c r="CC603" s="0" t="n">
        <v>2.70913197852099</v>
      </c>
      <c r="CD603" s="0" t="n">
        <v>2.52960348518892</v>
      </c>
      <c r="CE603" s="0" t="n">
        <v>-0.179528493332074</v>
      </c>
      <c r="CF603" s="20" t="n">
        <f aca="false">(CE603)^2</f>
        <v>0.0322304799180846</v>
      </c>
      <c r="CG603" s="0" t="n">
        <v>2.03742649794062</v>
      </c>
      <c r="CH603" s="0" t="n">
        <v>1.53781909507327</v>
      </c>
      <c r="CI603" s="0" t="n">
        <v>8.25</v>
      </c>
      <c r="CJ603" s="0" t="n">
        <v>2.19802181920465</v>
      </c>
      <c r="CK603" s="0" t="n">
        <v>2.17640387683549</v>
      </c>
      <c r="CL603" s="0" t="n">
        <v>-0.0216179423691631</v>
      </c>
      <c r="CM603" s="20" t="n">
        <f aca="false">(CL603)^2</f>
        <v>0.000467335432276459</v>
      </c>
      <c r="CN603" s="0" t="n">
        <v>0.778151250383644</v>
      </c>
      <c r="CO603" s="0" t="n">
        <v>2.94210870663543</v>
      </c>
      <c r="CP603" s="0" t="n">
        <v>3.06295399039048</v>
      </c>
      <c r="CQ603" s="0" t="n">
        <v>0.120845283755046</v>
      </c>
      <c r="CR603" s="20" t="n">
        <f aca="false">(CQ603)^2</f>
        <v>0.0146035826058376</v>
      </c>
      <c r="CU603" s="0" t="n">
        <v>0.778151250383644</v>
      </c>
      <c r="CV603" s="0" t="n">
        <v>2.17431728051092</v>
      </c>
      <c r="CW603" s="0" t="n">
        <v>2.28534020026503</v>
      </c>
      <c r="CX603" s="0" t="n">
        <v>0.111022919754115</v>
      </c>
      <c r="CY603" s="20" t="n">
        <f aca="false">(CX603)^2</f>
        <v>0.0123260887107286</v>
      </c>
    </row>
    <row r="604" customFormat="false" ht="12.8" hidden="false" customHeight="false" outlineLevel="0" collapsed="false">
      <c r="BZ604" s="0" t="n">
        <v>1.75587485567249</v>
      </c>
      <c r="CA604" s="0" t="n">
        <v>1.3541084391474</v>
      </c>
      <c r="CB604" s="0" t="n">
        <v>8.09</v>
      </c>
      <c r="CC604" s="0" t="n">
        <v>2.65598453919398</v>
      </c>
      <c r="CD604" s="0" t="n">
        <v>2.40587460839648</v>
      </c>
      <c r="CE604" s="0" t="n">
        <v>-0.250109930797497</v>
      </c>
      <c r="CF604" s="20" t="n">
        <f aca="false">(CE604)^2</f>
        <v>0.0625549774835287</v>
      </c>
      <c r="CG604" s="0" t="n">
        <v>1.75587485567249</v>
      </c>
      <c r="CH604" s="0" t="n">
        <v>1.3541084391474</v>
      </c>
      <c r="CI604" s="0" t="n">
        <v>8.09</v>
      </c>
      <c r="CJ604" s="0" t="n">
        <v>1.97473787633376</v>
      </c>
      <c r="CK604" s="0" t="n">
        <v>2.06468635947822</v>
      </c>
      <c r="CL604" s="0" t="n">
        <v>0.0899484831444595</v>
      </c>
      <c r="CM604" s="20" t="n">
        <f aca="false">(CL604)^2</f>
        <v>0.00809072961998911</v>
      </c>
      <c r="CN604" s="0" t="n">
        <v>1.47712125471966</v>
      </c>
      <c r="CO604" s="0" t="n">
        <v>2.72606362976443</v>
      </c>
      <c r="CP604" s="0" t="n">
        <v>2.96671683363053</v>
      </c>
      <c r="CQ604" s="0" t="n">
        <v>0.240653203866101</v>
      </c>
      <c r="CR604" s="20" t="n">
        <f aca="false">(CQ604)^2</f>
        <v>0.0579139645310193</v>
      </c>
      <c r="CU604" s="0" t="n">
        <v>1.47712125471966</v>
      </c>
      <c r="CV604" s="0" t="n">
        <v>2.01399189323972</v>
      </c>
      <c r="CW604" s="0" t="n">
        <v>2.24404692251784</v>
      </c>
      <c r="CX604" s="0" t="n">
        <v>0.230055029278118</v>
      </c>
      <c r="CY604" s="20" t="n">
        <f aca="false">(CX604)^2</f>
        <v>0.0529253164961557</v>
      </c>
    </row>
    <row r="605" customFormat="false" ht="12.8" hidden="false" customHeight="false" outlineLevel="0" collapsed="false">
      <c r="BZ605" s="0" t="n">
        <v>1.30102999566398</v>
      </c>
      <c r="CA605" s="0" t="n">
        <v>1.42488163663107</v>
      </c>
      <c r="CB605" s="0" t="n">
        <v>7.96</v>
      </c>
      <c r="CC605" s="0" t="n">
        <v>2.81590382577524</v>
      </c>
      <c r="CD605" s="0" t="n">
        <v>3.06295399039048</v>
      </c>
      <c r="CE605" s="0" t="n">
        <v>0.247050164615236</v>
      </c>
      <c r="CF605" s="20" t="n">
        <f aca="false">(CE605)^2</f>
        <v>0.0610337838364151</v>
      </c>
      <c r="CG605" s="0" t="n">
        <v>1.30102999566398</v>
      </c>
      <c r="CH605" s="0" t="n">
        <v>1.42488163663107</v>
      </c>
      <c r="CI605" s="0" t="n">
        <v>7.96</v>
      </c>
      <c r="CJ605" s="0" t="n">
        <v>2.07580923598523</v>
      </c>
      <c r="CK605" s="0" t="n">
        <v>2.28534020026503</v>
      </c>
      <c r="CL605" s="0" t="n">
        <v>0.209530964279802</v>
      </c>
      <c r="CM605" s="20" t="n">
        <f aca="false">(CL605)^2</f>
        <v>0.0439032249920236</v>
      </c>
      <c r="CN605" s="0" t="n">
        <v>2.22530928172586</v>
      </c>
      <c r="CO605" s="0" t="n">
        <v>2.49480572340824</v>
      </c>
      <c r="CP605" s="0" t="n">
        <v>2.33023762449035</v>
      </c>
      <c r="CQ605" s="0" t="n">
        <v>-0.164568098917894</v>
      </c>
      <c r="CR605" s="20" t="n">
        <f aca="false">(CQ605)^2</f>
        <v>0.0270826591814497</v>
      </c>
      <c r="CU605" s="0" t="n">
        <v>2.22530928172586</v>
      </c>
      <c r="CV605" s="0" t="n">
        <v>1.8423771823976</v>
      </c>
      <c r="CW605" s="0" t="n">
        <v>1.60008622473531</v>
      </c>
      <c r="CX605" s="0" t="n">
        <v>-0.242290957662294</v>
      </c>
      <c r="CY605" s="20" t="n">
        <f aca="false">(CX605)^2</f>
        <v>0.0587049081649117</v>
      </c>
    </row>
    <row r="606" customFormat="false" ht="12.8" hidden="false" customHeight="false" outlineLevel="0" collapsed="false">
      <c r="BZ606" s="0" t="n">
        <v>1.79239168949825</v>
      </c>
      <c r="CA606" s="0" t="n">
        <v>1.43775056282039</v>
      </c>
      <c r="CB606" s="0" t="n">
        <v>8.01</v>
      </c>
      <c r="CC606" s="0" t="n">
        <v>2.69748590918362</v>
      </c>
      <c r="CD606" s="0" t="n">
        <v>2.96671683363053</v>
      </c>
      <c r="CE606" s="0" t="n">
        <v>0.269230924446909</v>
      </c>
      <c r="CF606" s="20" t="n">
        <f aca="false">(CE606)^2</f>
        <v>0.0724852906785373</v>
      </c>
      <c r="CG606" s="0" t="n">
        <v>1.79239168949825</v>
      </c>
      <c r="CH606" s="0" t="n">
        <v>1.43775056282039</v>
      </c>
      <c r="CI606" s="0" t="n">
        <v>8.01</v>
      </c>
      <c r="CJ606" s="0" t="n">
        <v>2.06632392996126</v>
      </c>
      <c r="CK606" s="0" t="n">
        <v>2.24404692251784</v>
      </c>
      <c r="CL606" s="0" t="n">
        <v>0.177722992556578</v>
      </c>
      <c r="CM606" s="20" t="n">
        <f aca="false">(CL606)^2</f>
        <v>0.0315854620832656</v>
      </c>
      <c r="CN606" s="0" t="n">
        <v>2.32428245529769</v>
      </c>
      <c r="CO606" s="0" t="n">
        <v>2.46421404313606</v>
      </c>
      <c r="CP606" s="0" t="n">
        <v>2.28501935429668</v>
      </c>
      <c r="CQ606" s="0" t="n">
        <v>-0.179194688839382</v>
      </c>
      <c r="CR606" s="20" t="n">
        <f aca="false">(CQ606)^2</f>
        <v>0.0321107365082429</v>
      </c>
      <c r="CU606" s="0" t="n">
        <v>2.32428245529769</v>
      </c>
      <c r="CV606" s="0" t="n">
        <v>1.8196753321266</v>
      </c>
      <c r="CW606" s="0" t="n">
        <v>1.37561164684667</v>
      </c>
      <c r="CX606" s="0" t="n">
        <v>-0.444063685279925</v>
      </c>
      <c r="CY606" s="20" t="n">
        <f aca="false">(CX606)^2</f>
        <v>0.197192556584389</v>
      </c>
    </row>
    <row r="607" customFormat="false" ht="12.8" hidden="false" customHeight="false" outlineLevel="0" collapsed="false">
      <c r="BZ607" s="0" t="n">
        <v>1.98677173426624</v>
      </c>
      <c r="CA607" s="0" t="n">
        <v>1.31386722036915</v>
      </c>
      <c r="CB607" s="0" t="n">
        <v>7.99</v>
      </c>
      <c r="CC607" s="0" t="n">
        <v>2.56463252619428</v>
      </c>
      <c r="CD607" s="0" t="n">
        <v>2.33023762449035</v>
      </c>
      <c r="CE607" s="0" t="n">
        <v>-0.234394901703932</v>
      </c>
      <c r="CF607" s="20" t="n">
        <f aca="false">(CE607)^2</f>
        <v>0.0549409699447959</v>
      </c>
      <c r="CG607" s="0" t="n">
        <v>1.98677173426624</v>
      </c>
      <c r="CH607" s="0" t="n">
        <v>1.31386722036915</v>
      </c>
      <c r="CI607" s="0" t="n">
        <v>7.99</v>
      </c>
      <c r="CJ607" s="0" t="n">
        <v>1.90107880225455</v>
      </c>
      <c r="CK607" s="0" t="n">
        <v>1.60008622473531</v>
      </c>
      <c r="CL607" s="0" t="n">
        <v>-0.300992577519237</v>
      </c>
      <c r="CM607" s="20" t="n">
        <f aca="false">(CL607)^2</f>
        <v>0.0905965317216736</v>
      </c>
      <c r="CN607" s="0" t="n">
        <v>1.74036268949424</v>
      </c>
      <c r="CO607" s="0" t="n">
        <v>2.64469816964639</v>
      </c>
      <c r="CP607" s="0" t="n">
        <v>2.18948247828467</v>
      </c>
      <c r="CQ607" s="0" t="n">
        <v>-0.455215691361719</v>
      </c>
      <c r="CR607" s="20" t="n">
        <f aca="false">(CQ607)^2</f>
        <v>0.207221325661928</v>
      </c>
      <c r="CU607" s="0" t="n">
        <v>1.74036268949424</v>
      </c>
      <c r="CV607" s="0" t="n">
        <v>1.95361121207422</v>
      </c>
      <c r="CW607" s="0" t="n">
        <v>1.68490801536986</v>
      </c>
      <c r="CX607" s="0" t="n">
        <v>-0.268703196704365</v>
      </c>
      <c r="CY607" s="20" t="n">
        <f aca="false">(CX607)^2</f>
        <v>0.0722014079191445</v>
      </c>
    </row>
    <row r="608" customFormat="false" ht="12.8" hidden="false" customHeight="false" outlineLevel="0" collapsed="false">
      <c r="BZ608" s="0" t="n">
        <v>2.26481782300954</v>
      </c>
      <c r="CA608" s="0" t="n">
        <v>1.51719589794997</v>
      </c>
      <c r="CB608" s="0" t="n">
        <v>1</v>
      </c>
      <c r="CC608" s="0" t="n">
        <v>2.31479614488265</v>
      </c>
      <c r="CD608" s="0" t="n">
        <v>2.28501935429668</v>
      </c>
      <c r="CE608" s="0" t="n">
        <v>-0.0297767905859652</v>
      </c>
      <c r="CF608" s="20" t="n">
        <f aca="false">(CE608)^2</f>
        <v>0.000886657257600423</v>
      </c>
      <c r="CG608" s="0" t="n">
        <v>2.26481782300954</v>
      </c>
      <c r="CH608" s="0" t="n">
        <v>1.51719589794997</v>
      </c>
      <c r="CI608" s="0" t="n">
        <v>1</v>
      </c>
      <c r="CJ608" s="0" t="n">
        <v>1.41253092326176</v>
      </c>
      <c r="CK608" s="0" t="n">
        <v>1.37561164684667</v>
      </c>
      <c r="CL608" s="0" t="n">
        <v>-0.0369192764150927</v>
      </c>
      <c r="CM608" s="20" t="n">
        <f aca="false">(CL608)^2</f>
        <v>0.00136303297101402</v>
      </c>
      <c r="CN608" s="0" t="n">
        <v>1.39794000867204</v>
      </c>
      <c r="CO608" s="0" t="n">
        <v>2.75053781074928</v>
      </c>
      <c r="CP608" s="0" t="n">
        <v>3.01277417174865</v>
      </c>
      <c r="CQ608" s="0" t="n">
        <v>0.262236360999373</v>
      </c>
      <c r="CR608" s="20" t="n">
        <f aca="false">(CQ608)^2</f>
        <v>0.0687679090301933</v>
      </c>
      <c r="CU608" s="0" t="n">
        <v>1.39794000867204</v>
      </c>
      <c r="CV608" s="0" t="n">
        <v>2.03215399441495</v>
      </c>
      <c r="CW608" s="0" t="n">
        <v>1.85057428008802</v>
      </c>
      <c r="CX608" s="0" t="n">
        <v>-0.18157971432693</v>
      </c>
      <c r="CY608" s="20" t="n">
        <f aca="false">(CX608)^2</f>
        <v>0.0329711926550495</v>
      </c>
    </row>
    <row r="609" customFormat="false" ht="12.8" hidden="false" customHeight="false" outlineLevel="0" collapsed="false">
      <c r="BZ609" s="0" t="n">
        <v>1.69019608002851</v>
      </c>
      <c r="CA609" s="0" t="n">
        <v>1.32221929473392</v>
      </c>
      <c r="CB609" s="0" t="n">
        <v>8.07</v>
      </c>
      <c r="CC609" s="0" t="n">
        <v>2.65151686220408</v>
      </c>
      <c r="CD609" s="0" t="n">
        <v>2.18948247828467</v>
      </c>
      <c r="CE609" s="0" t="n">
        <v>-0.462034383919407</v>
      </c>
      <c r="CF609" s="20" t="n">
        <f aca="false">(CE609)^2</f>
        <v>0.213475771923786</v>
      </c>
      <c r="CG609" s="0" t="n">
        <v>1.69019608002851</v>
      </c>
      <c r="CH609" s="0" t="n">
        <v>1.32221929473392</v>
      </c>
      <c r="CI609" s="0" t="n">
        <v>8.07</v>
      </c>
      <c r="CJ609" s="0" t="n">
        <v>1.93781723784147</v>
      </c>
      <c r="CK609" s="0" t="n">
        <v>1.68490801536986</v>
      </c>
      <c r="CL609" s="0" t="n">
        <v>-0.252909222471606</v>
      </c>
      <c r="CM609" s="20" t="n">
        <f aca="false">(CL609)^2</f>
        <v>0.0639630748111923</v>
      </c>
      <c r="CN609" s="0" t="n">
        <v>2.03742649794062</v>
      </c>
      <c r="CO609" s="0" t="n">
        <v>2.55287853084464</v>
      </c>
      <c r="CP609" s="0" t="n">
        <v>2.23419219759188</v>
      </c>
      <c r="CQ609" s="0" t="n">
        <v>-0.318686333252758</v>
      </c>
      <c r="CR609" s="20" t="n">
        <f aca="false">(CQ609)^2</f>
        <v>0.101560979002088</v>
      </c>
      <c r="CU609" s="0" t="n">
        <v>2.03742649794062</v>
      </c>
      <c r="CV609" s="0" t="n">
        <v>1.88547256543993</v>
      </c>
      <c r="CW609" s="0" t="n">
        <v>1.54507120196056</v>
      </c>
      <c r="CX609" s="0" t="n">
        <v>-0.340401363479373</v>
      </c>
      <c r="CY609" s="20" t="n">
        <f aca="false">(CX609)^2</f>
        <v>0.115873088258616</v>
      </c>
    </row>
    <row r="610" customFormat="false" ht="12.8" hidden="false" customHeight="false" outlineLevel="0" collapsed="false">
      <c r="BZ610" s="0" t="n">
        <v>1.83250891270624</v>
      </c>
      <c r="CA610" s="0" t="n">
        <v>1.23299611039215</v>
      </c>
      <c r="CB610" s="0" t="n">
        <v>8.27</v>
      </c>
      <c r="CC610" s="0" t="n">
        <v>2.56472225099771</v>
      </c>
      <c r="CD610" s="0" t="n">
        <v>3.01277417174865</v>
      </c>
      <c r="CE610" s="0" t="n">
        <v>0.448051920750936</v>
      </c>
      <c r="CF610" s="20" t="n">
        <f aca="false">(CE610)^2</f>
        <v>0.200750523688603</v>
      </c>
      <c r="CG610" s="0" t="n">
        <v>1.83250891270624</v>
      </c>
      <c r="CH610" s="0" t="n">
        <v>1.23299611039215</v>
      </c>
      <c r="CI610" s="0" t="n">
        <v>8.27</v>
      </c>
      <c r="CJ610" s="0" t="n">
        <v>1.84073131901049</v>
      </c>
      <c r="CK610" s="0" t="n">
        <v>1.85057428008802</v>
      </c>
      <c r="CL610" s="0" t="n">
        <v>0.00984296107753391</v>
      </c>
      <c r="CM610" s="20" t="n">
        <f aca="false">(CL610)^2</f>
        <v>9.68838827738474E-005</v>
      </c>
      <c r="CN610" s="0" t="n">
        <v>1.36172783601759</v>
      </c>
      <c r="CO610" s="0" t="n">
        <v>2.76173065389886</v>
      </c>
      <c r="CP610" s="0" t="n">
        <v>2.51128671835605</v>
      </c>
      <c r="CQ610" s="0" t="n">
        <v>-0.250443935542811</v>
      </c>
      <c r="CR610" s="20" t="n">
        <f aca="false">(CQ610)^2</f>
        <v>0.0627221648501717</v>
      </c>
      <c r="CU610" s="0" t="n">
        <v>1.36172783601759</v>
      </c>
      <c r="CV610" s="0" t="n">
        <v>2.04046011709366</v>
      </c>
      <c r="CW610" s="0" t="n">
        <v>1.96442405905461</v>
      </c>
      <c r="CX610" s="0" t="n">
        <v>-0.0760360580390536</v>
      </c>
      <c r="CY610" s="20" t="n">
        <f aca="false">(CX610)^2</f>
        <v>0.00578148212211832</v>
      </c>
    </row>
    <row r="611" customFormat="false" ht="12.8" hidden="false" customHeight="false" outlineLevel="0" collapsed="false">
      <c r="BZ611" s="0" t="n">
        <v>1.79239168949825</v>
      </c>
      <c r="CA611" s="0" t="n">
        <v>1.23299611039215</v>
      </c>
      <c r="CB611" s="0" t="n">
        <v>7.89</v>
      </c>
      <c r="CC611" s="0" t="n">
        <v>2.5584250023955</v>
      </c>
      <c r="CD611" s="0" t="n">
        <v>2.23419219759188</v>
      </c>
      <c r="CE611" s="0" t="n">
        <v>-0.32423280480362</v>
      </c>
      <c r="CF611" s="20" t="n">
        <f aca="false">(CE611)^2</f>
        <v>0.105126911710822</v>
      </c>
      <c r="CG611" s="0" t="n">
        <v>1.79239168949825</v>
      </c>
      <c r="CH611" s="0" t="n">
        <v>1.23299611039215</v>
      </c>
      <c r="CI611" s="0" t="n">
        <v>7.89</v>
      </c>
      <c r="CJ611" s="0" t="n">
        <v>1.80409265233936</v>
      </c>
      <c r="CK611" s="0" t="n">
        <v>1.54507120196056</v>
      </c>
      <c r="CL611" s="0" t="n">
        <v>-0.259021450378803</v>
      </c>
      <c r="CM611" s="20" t="n">
        <f aca="false">(CL611)^2</f>
        <v>0.0670921117563388</v>
      </c>
      <c r="CN611" s="0" t="n">
        <v>1.07918124604762</v>
      </c>
      <c r="CO611" s="0" t="n">
        <v>2.84906315653993</v>
      </c>
      <c r="CP611" s="0" t="n">
        <v>2.98461060088215</v>
      </c>
      <c r="CQ611" s="0" t="n">
        <v>0.135547444342222</v>
      </c>
      <c r="CR611" s="20" t="n">
        <f aca="false">(CQ611)^2</f>
        <v>0.0183731096677076</v>
      </c>
      <c r="CU611" s="0" t="n">
        <v>1.07918124604762</v>
      </c>
      <c r="CV611" s="0" t="n">
        <v>2.10526889454917</v>
      </c>
      <c r="CW611" s="0" t="n">
        <v>2.35784156259318</v>
      </c>
      <c r="CX611" s="0" t="n">
        <v>0.252572668044005</v>
      </c>
      <c r="CY611" s="20" t="n">
        <f aca="false">(CX611)^2</f>
        <v>0.0637929526428673</v>
      </c>
    </row>
    <row r="612" customFormat="false" ht="12.8" hidden="false" customHeight="false" outlineLevel="0" collapsed="false">
      <c r="BZ612" s="0" t="n">
        <v>1.53147891704226</v>
      </c>
      <c r="CA612" s="0" t="n">
        <v>1.3541084391474</v>
      </c>
      <c r="CB612" s="0" t="n">
        <v>8.27</v>
      </c>
      <c r="CC612" s="0" t="n">
        <v>2.72288750676623</v>
      </c>
      <c r="CD612" s="0" t="n">
        <v>2.51128671835605</v>
      </c>
      <c r="CE612" s="0" t="n">
        <v>-0.211600788410185</v>
      </c>
      <c r="CF612" s="20" t="n">
        <f aca="false">(CE612)^2</f>
        <v>0.0447748936558119</v>
      </c>
      <c r="CG612" s="0" t="n">
        <v>1.53147891704226</v>
      </c>
      <c r="CH612" s="0" t="n">
        <v>1.3541084391474</v>
      </c>
      <c r="CI612" s="0" t="n">
        <v>8.27</v>
      </c>
      <c r="CJ612" s="0" t="n">
        <v>2.00712069855251</v>
      </c>
      <c r="CK612" s="0" t="n">
        <v>1.96442405905461</v>
      </c>
      <c r="CL612" s="0" t="n">
        <v>-0.0426966394978952</v>
      </c>
      <c r="CM612" s="20" t="n">
        <f aca="false">(CL612)^2</f>
        <v>0.00182300302441322</v>
      </c>
      <c r="CN612" s="0" t="n">
        <v>1.25527250510331</v>
      </c>
      <c r="CO612" s="0" t="n">
        <v>2.79463499887508</v>
      </c>
      <c r="CP612" s="0" t="n">
        <v>2.65208067517048</v>
      </c>
      <c r="CQ612" s="0" t="n">
        <v>-0.142554323704603</v>
      </c>
      <c r="CR612" s="20" t="n">
        <f aca="false">(CQ612)^2</f>
        <v>0.0203217352068767</v>
      </c>
      <c r="CU612" s="0" t="n">
        <v>1.25527250510331</v>
      </c>
      <c r="CV612" s="0" t="n">
        <v>2.06487817802623</v>
      </c>
      <c r="CW612" s="0" t="n">
        <v>2.04990126579397</v>
      </c>
      <c r="CX612" s="0" t="n">
        <v>-0.0149769122322629</v>
      </c>
      <c r="CY612" s="20" t="n">
        <f aca="false">(CX612)^2</f>
        <v>0.000224307900012907</v>
      </c>
    </row>
    <row r="613" customFormat="false" ht="12.8" hidden="false" customHeight="false" outlineLevel="0" collapsed="false">
      <c r="BZ613" s="0" t="n">
        <v>1.34242268082221</v>
      </c>
      <c r="CA613" s="0" t="n">
        <v>1.48572142648158</v>
      </c>
      <c r="CB613" s="0" t="n">
        <v>8.49</v>
      </c>
      <c r="CC613" s="0" t="n">
        <v>2.86825104441391</v>
      </c>
      <c r="CD613" s="0" t="n">
        <v>2.98461060088215</v>
      </c>
      <c r="CE613" s="0" t="n">
        <v>0.116359556468243</v>
      </c>
      <c r="CF613" s="20" t="n">
        <f aca="false">(CE613)^2</f>
        <v>0.0135395463814862</v>
      </c>
      <c r="CG613" s="0" t="n">
        <v>1.34242268082221</v>
      </c>
      <c r="CH613" s="0" t="n">
        <v>1.48572142648158</v>
      </c>
      <c r="CI613" s="0" t="n">
        <v>8.49</v>
      </c>
      <c r="CJ613" s="0" t="n">
        <v>2.20205738882678</v>
      </c>
      <c r="CK613" s="0" t="n">
        <v>2.35784156259318</v>
      </c>
      <c r="CL613" s="0" t="n">
        <v>0.155784173766405</v>
      </c>
      <c r="CM613" s="20" t="n">
        <f aca="false">(CL613)^2</f>
        <v>0.0242687087960815</v>
      </c>
      <c r="CN613" s="0" t="n">
        <v>1.54406804435028</v>
      </c>
      <c r="CO613" s="0" t="n">
        <v>2.7053710045841</v>
      </c>
      <c r="CP613" s="0" t="n">
        <v>3.14327666168951</v>
      </c>
      <c r="CQ613" s="0" t="n">
        <v>0.437905657105405</v>
      </c>
      <c r="CR613" s="20" t="n">
        <f aca="false">(CQ613)^2</f>
        <v>0.191761364524917</v>
      </c>
      <c r="CU613" s="0" t="n">
        <v>1.54406804435028</v>
      </c>
      <c r="CV613" s="0" t="n">
        <v>1.99863605549632</v>
      </c>
      <c r="CW613" s="0" t="n">
        <v>2.20522175876517</v>
      </c>
      <c r="CX613" s="0" t="n">
        <v>0.206585703268855</v>
      </c>
      <c r="CY613" s="20" t="n">
        <f aca="false">(CX613)^2</f>
        <v>0.0426776527950875</v>
      </c>
    </row>
    <row r="614" customFormat="false" ht="12.8" hidden="false" customHeight="false" outlineLevel="0" collapsed="false">
      <c r="BZ614" s="0" t="n">
        <v>1.30102999566398</v>
      </c>
      <c r="CA614" s="0" t="n">
        <v>1.39967372148104</v>
      </c>
      <c r="CB614" s="0" t="n">
        <v>8.02</v>
      </c>
      <c r="CC614" s="0" t="n">
        <v>2.80209582897924</v>
      </c>
      <c r="CD614" s="0" t="n">
        <v>2.65208067517048</v>
      </c>
      <c r="CE614" s="0" t="n">
        <v>-0.150015153808756</v>
      </c>
      <c r="CF614" s="20" t="n">
        <f aca="false">(CE614)^2</f>
        <v>0.0225045463722648</v>
      </c>
      <c r="CG614" s="0" t="n">
        <v>1.30102999566398</v>
      </c>
      <c r="CH614" s="0" t="n">
        <v>1.39967372148104</v>
      </c>
      <c r="CI614" s="0" t="n">
        <v>8.02</v>
      </c>
      <c r="CJ614" s="0" t="n">
        <v>2.05122204450009</v>
      </c>
      <c r="CK614" s="0" t="n">
        <v>2.04990126579397</v>
      </c>
      <c r="CL614" s="0" t="n">
        <v>-0.0013207787061198</v>
      </c>
      <c r="CM614" s="20" t="n">
        <f aca="false">(CL614)^2</f>
        <v>1.74445639053948E-006</v>
      </c>
      <c r="CN614" s="0" t="n">
        <v>1.36172783601759</v>
      </c>
      <c r="CO614" s="0" t="n">
        <v>2.76173065389886</v>
      </c>
      <c r="CP614" s="0" t="n">
        <v>2.72075204192537</v>
      </c>
      <c r="CQ614" s="0" t="n">
        <v>-0.040978611973491</v>
      </c>
      <c r="CR614" s="20" t="n">
        <f aca="false">(CQ614)^2</f>
        <v>0.00167924663927394</v>
      </c>
      <c r="CU614" s="0" t="n">
        <v>1.36172783601759</v>
      </c>
      <c r="CV614" s="0" t="n">
        <v>2.04046011709366</v>
      </c>
      <c r="CW614" s="0" t="n">
        <v>1.96796675188098</v>
      </c>
      <c r="CX614" s="0" t="n">
        <v>-0.0724933652126836</v>
      </c>
      <c r="CY614" s="20" t="n">
        <f aca="false">(CX614)^2</f>
        <v>0.00525528799985952</v>
      </c>
    </row>
    <row r="615" customFormat="false" ht="12.8" hidden="false" customHeight="false" outlineLevel="0" collapsed="false">
      <c r="BZ615" s="0" t="n">
        <v>1</v>
      </c>
      <c r="CA615" s="0" t="n">
        <v>1.3384564936046</v>
      </c>
      <c r="CB615" s="0" t="n">
        <v>8.5</v>
      </c>
      <c r="CC615" s="0" t="n">
        <v>2.86242590052136</v>
      </c>
      <c r="CD615" s="0" t="n">
        <v>3.14327666168951</v>
      </c>
      <c r="CE615" s="0" t="n">
        <v>0.280850761168149</v>
      </c>
      <c r="CF615" s="20" t="n">
        <f aca="false">(CE615)^2</f>
        <v>0.0788771500487284</v>
      </c>
      <c r="CG615" s="0" t="n">
        <v>1</v>
      </c>
      <c r="CH615" s="0" t="n">
        <v>1.3384564936046</v>
      </c>
      <c r="CI615" s="0" t="n">
        <v>8.5</v>
      </c>
      <c r="CJ615" s="0" t="n">
        <v>2.0445085038173</v>
      </c>
      <c r="CK615" s="0" t="n">
        <v>2.20522175876517</v>
      </c>
      <c r="CL615" s="0" t="n">
        <v>0.160713254947867</v>
      </c>
      <c r="CM615" s="20" t="n">
        <f aca="false">(CL615)^2</f>
        <v>0.0258287503159381</v>
      </c>
      <c r="CN615" s="0" t="n">
        <v>1</v>
      </c>
      <c r="CO615" s="0" t="n">
        <v>2.87353733752478</v>
      </c>
      <c r="CP615" s="0" t="n">
        <v>2.48769573000203</v>
      </c>
      <c r="CQ615" s="0" t="n">
        <v>-0.385841607522748</v>
      </c>
      <c r="CR615" s="20" t="n">
        <f aca="false">(CQ615)^2</f>
        <v>0.148873746095738</v>
      </c>
      <c r="CU615" s="0" t="n">
        <v>1</v>
      </c>
      <c r="CV615" s="0" t="n">
        <v>2.1234309957244</v>
      </c>
      <c r="CW615" s="0" t="n">
        <v>1.83307698166838</v>
      </c>
      <c r="CX615" s="0" t="n">
        <v>-0.290354014056023</v>
      </c>
      <c r="CY615" s="20" t="n">
        <f aca="false">(CX615)^2</f>
        <v>0.0843054534784451</v>
      </c>
    </row>
    <row r="616" customFormat="false" ht="12.8" hidden="false" customHeight="false" outlineLevel="0" collapsed="false">
      <c r="BZ616" s="0" t="n">
        <v>1.32221929473392</v>
      </c>
      <c r="CA616" s="0" t="n">
        <v>1.25527250510331</v>
      </c>
      <c r="CB616" s="0" t="n">
        <v>7.96</v>
      </c>
      <c r="CC616" s="0" t="n">
        <v>2.69955074233286</v>
      </c>
      <c r="CD616" s="0" t="n">
        <v>2.72075204192537</v>
      </c>
      <c r="CE616" s="0" t="n">
        <v>0.0212012995925051</v>
      </c>
      <c r="CF616" s="20" t="n">
        <f aca="false">(CE616)^2</f>
        <v>0.000449495104411155</v>
      </c>
      <c r="CG616" s="0" t="n">
        <v>1.32221929473392</v>
      </c>
      <c r="CH616" s="0" t="n">
        <v>1.25527250510331</v>
      </c>
      <c r="CI616" s="0" t="n">
        <v>7.96</v>
      </c>
      <c r="CJ616" s="0" t="n">
        <v>1.86751276545549</v>
      </c>
      <c r="CK616" s="0" t="n">
        <v>1.96796675188098</v>
      </c>
      <c r="CL616" s="0" t="n">
        <v>0.100453986425485</v>
      </c>
      <c r="CM616" s="20" t="n">
        <f aca="false">(CL616)^2</f>
        <v>0.0100910033887716</v>
      </c>
      <c r="CN616" s="0" t="n">
        <v>1.74036268949424</v>
      </c>
      <c r="CO616" s="0" t="n">
        <v>2.64469816964639</v>
      </c>
      <c r="CP616" s="0" t="n">
        <v>2.80181789701222</v>
      </c>
      <c r="CQ616" s="0" t="n">
        <v>0.15711972736583</v>
      </c>
      <c r="CR616" s="20" t="n">
        <f aca="false">(CQ616)^2</f>
        <v>0.0246866087275129</v>
      </c>
      <c r="CU616" s="0" t="n">
        <v>1.74036268949424</v>
      </c>
      <c r="CV616" s="0" t="n">
        <v>1.95361121207422</v>
      </c>
      <c r="CW616" s="0" t="n">
        <v>2.24498078176473</v>
      </c>
      <c r="CX616" s="0" t="n">
        <v>0.291369569690505</v>
      </c>
      <c r="CY616" s="20" t="n">
        <f aca="false">(CX616)^2</f>
        <v>0.08489622614163</v>
      </c>
    </row>
    <row r="617" customFormat="false" ht="12.8" hidden="false" customHeight="false" outlineLevel="0" collapsed="false">
      <c r="BZ617" s="0" t="n">
        <v>0.602059991327962</v>
      </c>
      <c r="CA617" s="0" t="n">
        <v>1.22010808804006</v>
      </c>
      <c r="CB617" s="0" t="n">
        <v>8.56</v>
      </c>
      <c r="CC617" s="0" t="n">
        <v>2.89228346719922</v>
      </c>
      <c r="CD617" s="0" t="n">
        <v>2.48769573000203</v>
      </c>
      <c r="CE617" s="0" t="n">
        <v>-0.404587737197192</v>
      </c>
      <c r="CF617" s="20" t="n">
        <f aca="false">(CE617)^2</f>
        <v>0.163691237090344</v>
      </c>
      <c r="CG617" s="0" t="n">
        <v>0.602059991327962</v>
      </c>
      <c r="CH617" s="0" t="n">
        <v>1.22010808804006</v>
      </c>
      <c r="CI617" s="0" t="n">
        <v>8.56</v>
      </c>
      <c r="CJ617" s="0" t="n">
        <v>1.93082334987341</v>
      </c>
      <c r="CK617" s="0" t="n">
        <v>1.83307698166838</v>
      </c>
      <c r="CL617" s="0" t="n">
        <v>-0.0977463682050275</v>
      </c>
      <c r="CM617" s="20" t="n">
        <f aca="false">(CL617)^2</f>
        <v>0.0095543524972728</v>
      </c>
      <c r="CN617" s="0" t="n">
        <v>1.46239799789896</v>
      </c>
      <c r="CO617" s="0" t="n">
        <v>2.73061445044613</v>
      </c>
      <c r="CP617" s="0" t="n">
        <v>3.10471867515012</v>
      </c>
      <c r="CQ617" s="0" t="n">
        <v>0.374104224703992</v>
      </c>
      <c r="CR617" s="20" t="n">
        <f aca="false">(CQ617)^2</f>
        <v>0.139953970941375</v>
      </c>
      <c r="CU617" s="0" t="n">
        <v>1.46239799789896</v>
      </c>
      <c r="CV617" s="0" t="n">
        <v>2.01736902221096</v>
      </c>
      <c r="CW617" s="0" t="n">
        <v>2.15959850059392</v>
      </c>
      <c r="CX617" s="0" t="n">
        <v>0.142229478382957</v>
      </c>
      <c r="CY617" s="20" t="n">
        <f aca="false">(CX617)^2</f>
        <v>0.020229224521088</v>
      </c>
    </row>
    <row r="618" customFormat="false" ht="12.8" hidden="false" customHeight="false" outlineLevel="0" collapsed="false">
      <c r="BZ618" s="0" t="n">
        <v>1.91907809237607</v>
      </c>
      <c r="CA618" s="0" t="n">
        <v>1.50514997831991</v>
      </c>
      <c r="CB618" s="0" t="n">
        <v>8.14</v>
      </c>
      <c r="CC618" s="0" t="n">
        <v>2.71399996112107</v>
      </c>
      <c r="CD618" s="0" t="n">
        <v>2.80181789701222</v>
      </c>
      <c r="CE618" s="0" t="n">
        <v>0.0878179358911484</v>
      </c>
      <c r="CF618" s="20" t="n">
        <f aca="false">(CE618)^2</f>
        <v>0.00771198986418185</v>
      </c>
      <c r="CG618" s="0" t="n">
        <v>1.91907809237607</v>
      </c>
      <c r="CH618" s="0" t="n">
        <v>1.50514997831991</v>
      </c>
      <c r="CI618" s="0" t="n">
        <v>8.14</v>
      </c>
      <c r="CJ618" s="0" t="n">
        <v>2.15413697886458</v>
      </c>
      <c r="CK618" s="0" t="n">
        <v>2.24498078176473</v>
      </c>
      <c r="CL618" s="0" t="n">
        <v>0.0908438029001526</v>
      </c>
      <c r="CM618" s="20" t="n">
        <f aca="false">(CL618)^2</f>
        <v>0.00825259652536177</v>
      </c>
      <c r="CN618" s="0" t="n">
        <v>1.55630250076729</v>
      </c>
      <c r="CO618" s="0" t="n">
        <v>2.70158944877958</v>
      </c>
      <c r="CP618" s="0" t="n">
        <v>2.70767614445813</v>
      </c>
      <c r="CQ618" s="0" t="n">
        <v>0.00608669567855324</v>
      </c>
      <c r="CR618" s="20" t="n">
        <f aca="false">(CQ618)^2</f>
        <v>3.70478642833187E-005</v>
      </c>
      <c r="CU618" s="0" t="n">
        <v>1.55630250076729</v>
      </c>
      <c r="CV618" s="0" t="n">
        <v>1.99582979206449</v>
      </c>
      <c r="CW618" s="0" t="n">
        <v>1.62445521813276</v>
      </c>
      <c r="CX618" s="0" t="n">
        <v>-0.371374573931732</v>
      </c>
      <c r="CY618" s="20" t="n">
        <f aca="false">(CX618)^2</f>
        <v>0.137919074162975</v>
      </c>
    </row>
    <row r="619" customFormat="false" ht="12.8" hidden="false" customHeight="false" outlineLevel="0" collapsed="false">
      <c r="BZ619" s="0" t="n">
        <v>1.44715803134222</v>
      </c>
      <c r="CA619" s="0" t="n">
        <v>1.45788189673399</v>
      </c>
      <c r="CB619" s="0" t="n">
        <v>7.77</v>
      </c>
      <c r="CC619" s="0" t="n">
        <v>2.7906679074822</v>
      </c>
      <c r="CD619" s="0" t="n">
        <v>3.10471867515012</v>
      </c>
      <c r="CE619" s="0" t="n">
        <v>0.31405076766792</v>
      </c>
      <c r="CF619" s="20" t="n">
        <f aca="false">(CE619)^2</f>
        <v>0.0986278846728098</v>
      </c>
      <c r="CG619" s="0" t="n">
        <v>1.44715803134222</v>
      </c>
      <c r="CH619" s="0" t="n">
        <v>1.45788189673399</v>
      </c>
      <c r="CI619" s="0" t="n">
        <v>7.77</v>
      </c>
      <c r="CJ619" s="0" t="n">
        <v>2.08750236902496</v>
      </c>
      <c r="CK619" s="0" t="n">
        <v>2.15959850059392</v>
      </c>
      <c r="CL619" s="0" t="n">
        <v>0.0720961315689586</v>
      </c>
      <c r="CM619" s="20" t="n">
        <f aca="false">(CL619)^2</f>
        <v>0.00519785218720858</v>
      </c>
      <c r="CN619" s="0" t="n">
        <v>1.49136169383427</v>
      </c>
      <c r="CO619" s="0" t="n">
        <v>2.72166204351022</v>
      </c>
      <c r="CP619" s="0" t="n">
        <v>2.82411303198074</v>
      </c>
      <c r="CQ619" s="0" t="n">
        <v>0.102450988470525</v>
      </c>
      <c r="CR619" s="20" t="n">
        <f aca="false">(CQ619)^2</f>
        <v>0.0104962050385876</v>
      </c>
      <c r="CU619" s="0" t="n">
        <v>1.49136169383427</v>
      </c>
      <c r="CV619" s="0" t="n">
        <v>2.01072550998751</v>
      </c>
      <c r="CW619" s="0" t="n">
        <v>1.8596134656703</v>
      </c>
      <c r="CX619" s="0" t="n">
        <v>-0.15111204431721</v>
      </c>
      <c r="CY619" s="20" t="n">
        <f aca="false">(CX619)^2</f>
        <v>0.0228348499377264</v>
      </c>
    </row>
    <row r="620" customFormat="false" ht="12.8" hidden="false" customHeight="false" outlineLevel="0" collapsed="false">
      <c r="BZ620" s="0" t="n">
        <v>1.55630250076729</v>
      </c>
      <c r="CA620" s="0" t="n">
        <v>1.39269695325967</v>
      </c>
      <c r="CB620" s="0" t="n">
        <v>8.02</v>
      </c>
      <c r="CC620" s="0" t="n">
        <v>2.73050035450217</v>
      </c>
      <c r="CD620" s="0" t="n">
        <v>2.70767614445813</v>
      </c>
      <c r="CE620" s="0" t="n">
        <v>-0.0228242100440421</v>
      </c>
      <c r="CF620" s="20" t="n">
        <f aca="false">(CE620)^2</f>
        <v>0.000520944564134553</v>
      </c>
      <c r="CG620" s="0" t="n">
        <v>1.55630250076729</v>
      </c>
      <c r="CH620" s="0" t="n">
        <v>1.39269695325967</v>
      </c>
      <c r="CI620" s="0" t="n">
        <v>8.02</v>
      </c>
      <c r="CJ620" s="0" t="n">
        <v>2.02694695456348</v>
      </c>
      <c r="CK620" s="0" t="n">
        <v>1.62445521813276</v>
      </c>
      <c r="CL620" s="0" t="n">
        <v>-0.402491736430721</v>
      </c>
      <c r="CM620" s="20" t="n">
        <f aca="false">(CL620)^2</f>
        <v>0.161999597895017</v>
      </c>
      <c r="CN620" s="0" t="n">
        <v>0.778151250383644</v>
      </c>
      <c r="CO620" s="0" t="n">
        <v>2.94210870663543</v>
      </c>
      <c r="CP620" s="0" t="n">
        <v>3.10408301855785</v>
      </c>
      <c r="CQ620" s="0" t="n">
        <v>0.161974311922416</v>
      </c>
      <c r="CR620" s="20" t="n">
        <f aca="false">(CQ620)^2</f>
        <v>0.0262356777227402</v>
      </c>
      <c r="CU620" s="0" t="n">
        <v>0.778151250383644</v>
      </c>
      <c r="CV620" s="0" t="n">
        <v>2.17431728051092</v>
      </c>
      <c r="CW620" s="0" t="n">
        <v>2.46994216668405</v>
      </c>
      <c r="CX620" s="0" t="n">
        <v>0.295624886173135</v>
      </c>
      <c r="CY620" s="20" t="n">
        <f aca="false">(CX620)^2</f>
        <v>0.087394073324879</v>
      </c>
    </row>
    <row r="621" customFormat="false" ht="12.8" hidden="false" customHeight="false" outlineLevel="0" collapsed="false">
      <c r="BZ621" s="0" t="n">
        <v>1.79239168949825</v>
      </c>
      <c r="CA621" s="0" t="n">
        <v>1.50379068305718</v>
      </c>
      <c r="CB621" s="0" t="n">
        <v>8.28</v>
      </c>
      <c r="CC621" s="0" t="n">
        <v>2.75258324502165</v>
      </c>
      <c r="CD621" s="0" t="n">
        <v>2.82411303198074</v>
      </c>
      <c r="CE621" s="0" t="n">
        <v>0.0715297869590881</v>
      </c>
      <c r="CF621" s="20" t="n">
        <f aca="false">(CE621)^2</f>
        <v>0.00511651042241253</v>
      </c>
      <c r="CG621" s="0" t="n">
        <v>1.79239168949825</v>
      </c>
      <c r="CH621" s="0" t="n">
        <v>1.50379068305718</v>
      </c>
      <c r="CI621" s="0" t="n">
        <v>8.28</v>
      </c>
      <c r="CJ621" s="0" t="n">
        <v>2.17471083878275</v>
      </c>
      <c r="CK621" s="0" t="n">
        <v>1.8596134656703</v>
      </c>
      <c r="CL621" s="0" t="n">
        <v>-0.315097373112446</v>
      </c>
      <c r="CM621" s="20" t="n">
        <f aca="false">(CL621)^2</f>
        <v>0.0992863545423637</v>
      </c>
      <c r="CN621" s="0" t="n">
        <v>1.39794000867204</v>
      </c>
      <c r="CO621" s="0" t="n">
        <v>2.75053781074928</v>
      </c>
      <c r="CP621" s="0" t="n">
        <v>2.56730132345877</v>
      </c>
      <c r="CQ621" s="0" t="n">
        <v>-0.183236487290507</v>
      </c>
      <c r="CR621" s="20" t="n">
        <f aca="false">(CQ621)^2</f>
        <v>0.0335756102745641</v>
      </c>
      <c r="CU621" s="0" t="n">
        <v>1.39794000867204</v>
      </c>
      <c r="CV621" s="0" t="n">
        <v>2.03215399441495</v>
      </c>
      <c r="CW621" s="0" t="n">
        <v>1.82381405372363</v>
      </c>
      <c r="CX621" s="0" t="n">
        <v>-0.20833994069132</v>
      </c>
      <c r="CY621" s="20" t="n">
        <f aca="false">(CX621)^2</f>
        <v>0.0434055308872627</v>
      </c>
    </row>
    <row r="622" customFormat="false" ht="12.8" hidden="false" customHeight="false" outlineLevel="0" collapsed="false">
      <c r="BZ622" s="0" t="n">
        <v>0.954242509439325</v>
      </c>
      <c r="CA622" s="0" t="n">
        <v>1.76937732607614</v>
      </c>
      <c r="CB622" s="0" t="n">
        <v>8.71</v>
      </c>
      <c r="CC622" s="0" t="n">
        <v>3.16522164718928</v>
      </c>
      <c r="CD622" s="0" t="n">
        <v>3.10408301855785</v>
      </c>
      <c r="CE622" s="0" t="n">
        <v>-0.0611386286314297</v>
      </c>
      <c r="CF622" s="20" t="n">
        <f aca="false">(CE622)^2</f>
        <v>0.00373793191093188</v>
      </c>
      <c r="CG622" s="0" t="n">
        <v>0.954242509439325</v>
      </c>
      <c r="CH622" s="0" t="n">
        <v>1.76937732607614</v>
      </c>
      <c r="CI622" s="0" t="n">
        <v>8.71</v>
      </c>
      <c r="CJ622" s="0" t="n">
        <v>2.59483886699247</v>
      </c>
      <c r="CK622" s="0" t="n">
        <v>2.46994216668405</v>
      </c>
      <c r="CL622" s="0" t="n">
        <v>-0.124896700308416</v>
      </c>
      <c r="CM622" s="20" t="n">
        <f aca="false">(CL622)^2</f>
        <v>0.0155991857479303</v>
      </c>
      <c r="CN622" s="0" t="n">
        <v>2.19589965240923</v>
      </c>
      <c r="CO622" s="0" t="n">
        <v>2.50389596417257</v>
      </c>
      <c r="CP622" s="0" t="n">
        <v>2.59311533827612</v>
      </c>
      <c r="CQ622" s="0" t="n">
        <v>0.0892193741035459</v>
      </c>
      <c r="CR622" s="20" t="n">
        <f aca="false">(CQ622)^2</f>
        <v>0.00796009671542847</v>
      </c>
      <c r="CU622" s="0" t="n">
        <v>2.19589965240923</v>
      </c>
      <c r="CV622" s="0" t="n">
        <v>1.84912298004334</v>
      </c>
      <c r="CW622" s="0" t="n">
        <v>1.94462288151652</v>
      </c>
      <c r="CX622" s="0" t="n">
        <v>0.0954999014731783</v>
      </c>
      <c r="CY622" s="20" t="n">
        <f aca="false">(CX622)^2</f>
        <v>0.00912023118138677</v>
      </c>
    </row>
    <row r="623" customFormat="false" ht="12.8" hidden="false" customHeight="false" outlineLevel="0" collapsed="false">
      <c r="BZ623" s="0" t="n">
        <v>1.60205999132796</v>
      </c>
      <c r="CA623" s="0" t="n">
        <v>1.23044892137827</v>
      </c>
      <c r="CB623" s="0" t="n">
        <v>7.88</v>
      </c>
      <c r="CC623" s="0" t="n">
        <v>2.60630207994883</v>
      </c>
      <c r="CD623" s="0" t="n">
        <v>2.56730132345877</v>
      </c>
      <c r="CE623" s="0" t="n">
        <v>-0.0390007564900614</v>
      </c>
      <c r="CF623" s="20" t="n">
        <f aca="false">(CE623)^2</f>
        <v>0.00152105900679707</v>
      </c>
      <c r="CG623" s="0" t="n">
        <v>1.60205999132796</v>
      </c>
      <c r="CH623" s="0" t="n">
        <v>1.23044892137827</v>
      </c>
      <c r="CI623" s="0" t="n">
        <v>7.88</v>
      </c>
      <c r="CJ623" s="0" t="n">
        <v>1.81170599932342</v>
      </c>
      <c r="CK623" s="0" t="n">
        <v>1.82381405372363</v>
      </c>
      <c r="CL623" s="0" t="n">
        <v>0.0121080544002068</v>
      </c>
      <c r="CM623" s="20" t="n">
        <f aca="false">(CL623)^2</f>
        <v>0.000146604981358367</v>
      </c>
      <c r="CN623" s="0" t="n">
        <v>1.74036268949424</v>
      </c>
      <c r="CO623" s="0" t="n">
        <v>2.64469816964639</v>
      </c>
      <c r="CP623" s="0" t="n">
        <v>2.59318251388042</v>
      </c>
      <c r="CQ623" s="0" t="n">
        <v>-0.0515156557659693</v>
      </c>
      <c r="CR623" s="20" t="n">
        <f aca="false">(CQ623)^2</f>
        <v>0.00265386278899784</v>
      </c>
      <c r="CU623" s="0" t="n">
        <v>1.74036268949424</v>
      </c>
      <c r="CV623" s="0" t="n">
        <v>1.95361121207422</v>
      </c>
      <c r="CW623" s="0" t="n">
        <v>1.91210243315721</v>
      </c>
      <c r="CX623" s="0" t="n">
        <v>-0.0415087789170148</v>
      </c>
      <c r="CY623" s="20" t="n">
        <f aca="false">(CX623)^2</f>
        <v>0.00172297872718161</v>
      </c>
    </row>
    <row r="624" customFormat="false" ht="12.8" hidden="false" customHeight="false" outlineLevel="0" collapsed="false">
      <c r="BZ624" s="0" t="n">
        <v>2.11058971029925</v>
      </c>
      <c r="CA624" s="0" t="n">
        <v>1.24303804868629</v>
      </c>
      <c r="CB624" s="0" t="n">
        <v>7.54</v>
      </c>
      <c r="CC624" s="0" t="n">
        <v>2.4659172507803</v>
      </c>
      <c r="CD624" s="0" t="n">
        <v>2.59311533827612</v>
      </c>
      <c r="CE624" s="0" t="n">
        <v>0.127198087495816</v>
      </c>
      <c r="CF624" s="20" t="n">
        <f aca="false">(CE624)^2</f>
        <v>0.0161793534625932</v>
      </c>
      <c r="CG624" s="0" t="n">
        <v>2.11058971029925</v>
      </c>
      <c r="CH624" s="0" t="n">
        <v>1.24303804868629</v>
      </c>
      <c r="CI624" s="0" t="n">
        <v>7.54</v>
      </c>
      <c r="CJ624" s="0" t="n">
        <v>1.76067436521538</v>
      </c>
      <c r="CK624" s="0" t="n">
        <v>1.94462288151652</v>
      </c>
      <c r="CL624" s="0" t="n">
        <v>0.183948516301141</v>
      </c>
      <c r="CM624" s="20" t="n">
        <f aca="false">(CL624)^2</f>
        <v>0.0338370566493912</v>
      </c>
      <c r="CN624" s="0" t="n">
        <v>2.00432137378264</v>
      </c>
      <c r="CO624" s="0" t="n">
        <v>2.56311101442643</v>
      </c>
      <c r="CP624" s="0" t="n">
        <v>2.70206666441626</v>
      </c>
      <c r="CQ624" s="0" t="n">
        <v>0.138955649989828</v>
      </c>
      <c r="CR624" s="20" t="n">
        <f aca="false">(CQ624)^2</f>
        <v>0.0193086726640956</v>
      </c>
      <c r="CU624" s="0" t="n">
        <v>2.00432137378264</v>
      </c>
      <c r="CV624" s="0" t="n">
        <v>1.89306601268139</v>
      </c>
      <c r="CW624" s="0" t="n">
        <v>2.04195187164556</v>
      </c>
      <c r="CX624" s="0" t="n">
        <v>0.148885858964166</v>
      </c>
      <c r="CY624" s="20" t="n">
        <f aca="false">(CX624)^2</f>
        <v>0.0221669989994976</v>
      </c>
    </row>
    <row r="625" customFormat="false" ht="12.8" hidden="false" customHeight="false" outlineLevel="0" collapsed="false">
      <c r="BZ625" s="0" t="n">
        <v>1.70757017609794</v>
      </c>
      <c r="CA625" s="0" t="n">
        <v>1.3096301674259</v>
      </c>
      <c r="CB625" s="0" t="n">
        <v>8.26</v>
      </c>
      <c r="CC625" s="0" t="n">
        <v>2.64714727741954</v>
      </c>
      <c r="CD625" s="0" t="n">
        <v>2.59318251388042</v>
      </c>
      <c r="CE625" s="0" t="n">
        <v>-0.0539647635391165</v>
      </c>
      <c r="CF625" s="20" t="n">
        <f aca="false">(CE625)^2</f>
        <v>0.00291219570383276</v>
      </c>
      <c r="CG625" s="0" t="n">
        <v>1.70757017609794</v>
      </c>
      <c r="CH625" s="0" t="n">
        <v>1.3096301674259</v>
      </c>
      <c r="CI625" s="0" t="n">
        <v>8.26</v>
      </c>
      <c r="CJ625" s="0" t="n">
        <v>1.94093874949541</v>
      </c>
      <c r="CK625" s="0" t="n">
        <v>1.91210243315721</v>
      </c>
      <c r="CL625" s="0" t="n">
        <v>-0.0288363163381955</v>
      </c>
      <c r="CM625" s="20" t="n">
        <f aca="false">(CL625)^2</f>
        <v>0.000831533139956481</v>
      </c>
      <c r="CN625" s="0" t="n">
        <v>0.778151250383644</v>
      </c>
      <c r="CO625" s="0" t="n">
        <v>2.94210870663543</v>
      </c>
      <c r="CP625" s="0" t="n">
        <v>2.85513640282165</v>
      </c>
      <c r="CQ625" s="0" t="n">
        <v>-0.0869723038137837</v>
      </c>
      <c r="CR625" s="20" t="n">
        <f aca="false">(CQ625)^2</f>
        <v>0.0075641816306771</v>
      </c>
      <c r="CU625" s="0" t="n">
        <v>0.778151250383644</v>
      </c>
      <c r="CV625" s="0" t="n">
        <v>2.17431728051092</v>
      </c>
      <c r="CW625" s="0" t="n">
        <v>2.02175318417612</v>
      </c>
      <c r="CX625" s="0" t="n">
        <v>-0.152564096334795</v>
      </c>
      <c r="CY625" s="20" t="n">
        <f aca="false">(CX625)^2</f>
        <v>0.0232758034904527</v>
      </c>
    </row>
    <row r="626" customFormat="false" ht="12.8" hidden="false" customHeight="false" outlineLevel="0" collapsed="false">
      <c r="BZ626" s="0" t="n">
        <v>2</v>
      </c>
      <c r="CA626" s="0" t="n">
        <v>1.54900326202579</v>
      </c>
      <c r="CB626" s="0" t="n">
        <v>8.01</v>
      </c>
      <c r="CC626" s="0" t="n">
        <v>2.71563507882042</v>
      </c>
      <c r="CD626" s="0" t="n">
        <v>2.70206666441626</v>
      </c>
      <c r="CE626" s="0" t="n">
        <v>-0.013568414404165</v>
      </c>
      <c r="CF626" s="20" t="n">
        <f aca="false">(CE626)^2</f>
        <v>0.000184101869443152</v>
      </c>
      <c r="CG626" s="0" t="n">
        <v>2</v>
      </c>
      <c r="CH626" s="0" t="n">
        <v>1.54900326202579</v>
      </c>
      <c r="CI626" s="0" t="n">
        <v>8.01</v>
      </c>
      <c r="CJ626" s="0" t="n">
        <v>2.18927698861439</v>
      </c>
      <c r="CK626" s="0" t="n">
        <v>2.04195187164556</v>
      </c>
      <c r="CL626" s="0" t="n">
        <v>-0.147325116968826</v>
      </c>
      <c r="CM626" s="20" t="n">
        <f aca="false">(CL626)^2</f>
        <v>0.0217046900898782</v>
      </c>
      <c r="CN626" s="0" t="n">
        <v>1.25527250510331</v>
      </c>
      <c r="CO626" s="0" t="n">
        <v>2.79463499887508</v>
      </c>
      <c r="CP626" s="0" t="n">
        <v>2.7281271270983</v>
      </c>
      <c r="CQ626" s="0" t="n">
        <v>-0.0665078717767829</v>
      </c>
      <c r="CR626" s="20" t="n">
        <f aca="false">(CQ626)^2</f>
        <v>0.00442329700827699</v>
      </c>
      <c r="CU626" s="0" t="n">
        <v>1.25527250510331</v>
      </c>
      <c r="CV626" s="0" t="n">
        <v>2.06487817802623</v>
      </c>
      <c r="CW626" s="0" t="n">
        <v>2.07570236963626</v>
      </c>
      <c r="CX626" s="0" t="n">
        <v>0.0108241916100269</v>
      </c>
      <c r="CY626" s="20" t="n">
        <f aca="false">(CX626)^2</f>
        <v>0.000117163124010577</v>
      </c>
    </row>
    <row r="627" customFormat="false" ht="12.8" hidden="false" customHeight="false" outlineLevel="0" collapsed="false">
      <c r="BZ627" s="0" t="n">
        <v>0.698970004336019</v>
      </c>
      <c r="CA627" s="0" t="n">
        <v>1.38021124171161</v>
      </c>
      <c r="CB627" s="0" t="n">
        <v>8.48</v>
      </c>
      <c r="CC627" s="0" t="n">
        <v>2.96786895972801</v>
      </c>
      <c r="CD627" s="0" t="n">
        <v>2.85513640282165</v>
      </c>
      <c r="CE627" s="0" t="n">
        <v>-0.112732556906361</v>
      </c>
      <c r="CF627" s="20" t="n">
        <f aca="false">(CE627)^2</f>
        <v>0.0127086293866459</v>
      </c>
      <c r="CG627" s="0" t="n">
        <v>0.698970004336019</v>
      </c>
      <c r="CH627" s="0" t="n">
        <v>1.38021124171161</v>
      </c>
      <c r="CI627" s="0" t="n">
        <v>8.48</v>
      </c>
      <c r="CJ627" s="0" t="n">
        <v>2.11199247069209</v>
      </c>
      <c r="CK627" s="0" t="n">
        <v>2.02175318417612</v>
      </c>
      <c r="CL627" s="0" t="n">
        <v>-0.0902392865159651</v>
      </c>
      <c r="CM627" s="20" t="n">
        <f aca="false">(CL627)^2</f>
        <v>0.00814312883091045</v>
      </c>
      <c r="CN627" s="0" t="n">
        <v>2.02118929906994</v>
      </c>
      <c r="CO627" s="0" t="n">
        <v>2.55789729682376</v>
      </c>
      <c r="CP627" s="0" t="n">
        <v>2.60593617253213</v>
      </c>
      <c r="CQ627" s="0" t="n">
        <v>0.0480388757083734</v>
      </c>
      <c r="CR627" s="20" t="n">
        <f aca="false">(CQ627)^2</f>
        <v>0.00230773357932455</v>
      </c>
      <c r="CU627" s="0" t="n">
        <v>2.02118929906994</v>
      </c>
      <c r="CV627" s="0" t="n">
        <v>1.88919695301163</v>
      </c>
      <c r="CW627" s="0" t="n">
        <v>2.30379853246947</v>
      </c>
      <c r="CX627" s="0" t="n">
        <v>0.414601579457836</v>
      </c>
      <c r="CY627" s="20" t="n">
        <f aca="false">(CX627)^2</f>
        <v>0.171894469688932</v>
      </c>
    </row>
    <row r="628" customFormat="false" ht="12.8" hidden="false" customHeight="false" outlineLevel="0" collapsed="false">
      <c r="BZ628" s="0" t="n">
        <v>1.04139268515823</v>
      </c>
      <c r="CA628" s="0" t="n">
        <v>1.41161970596323</v>
      </c>
      <c r="CB628" s="0" t="n">
        <v>7.99</v>
      </c>
      <c r="CC628" s="0" t="n">
        <v>2.8767545597904</v>
      </c>
      <c r="CD628" s="0" t="n">
        <v>2.7281271270983</v>
      </c>
      <c r="CE628" s="0" t="n">
        <v>-0.1486274326921</v>
      </c>
      <c r="CF628" s="20" t="n">
        <f aca="false">(CE628)^2</f>
        <v>0.0220901137486448</v>
      </c>
      <c r="CG628" s="0" t="n">
        <v>1.04139268515823</v>
      </c>
      <c r="CH628" s="0" t="n">
        <v>1.41161970596323</v>
      </c>
      <c r="CI628" s="0" t="n">
        <v>7.99</v>
      </c>
      <c r="CJ628" s="0" t="n">
        <v>2.07874290315797</v>
      </c>
      <c r="CK628" s="0" t="n">
        <v>2.07570236963626</v>
      </c>
      <c r="CL628" s="0" t="n">
        <v>-0.00304053352171163</v>
      </c>
      <c r="CM628" s="20" t="n">
        <f aca="false">(CL628)^2</f>
        <v>9.24484409665213E-006</v>
      </c>
      <c r="CN628" s="0" t="n">
        <v>1.85125834871908</v>
      </c>
      <c r="CO628" s="0" t="n">
        <v>2.61042136080872</v>
      </c>
      <c r="CP628" s="0" t="n">
        <v>2.81672091333267</v>
      </c>
      <c r="CQ628" s="0" t="n">
        <v>0.206299552523951</v>
      </c>
      <c r="CR628" s="20" t="n">
        <f aca="false">(CQ628)^2</f>
        <v>0.0425595053715824</v>
      </c>
      <c r="CU628" s="0" t="n">
        <v>1.85125834871908</v>
      </c>
      <c r="CV628" s="0" t="n">
        <v>1.92817465628267</v>
      </c>
      <c r="CW628" s="0" t="n">
        <v>1.58373370004733</v>
      </c>
      <c r="CX628" s="0" t="n">
        <v>-0.344440956235339</v>
      </c>
      <c r="CY628" s="20" t="n">
        <f aca="false">(CX628)^2</f>
        <v>0.118639572332315</v>
      </c>
    </row>
    <row r="629" customFormat="false" ht="12.8" hidden="false" customHeight="false" outlineLevel="0" collapsed="false">
      <c r="BZ629" s="0" t="n">
        <v>1.69019608002851</v>
      </c>
      <c r="CA629" s="0" t="n">
        <v>1.24797326636181</v>
      </c>
      <c r="CB629" s="0" t="n">
        <v>8.01</v>
      </c>
      <c r="CC629" s="0" t="n">
        <v>2.60036167104727</v>
      </c>
      <c r="CD629" s="0" t="n">
        <v>2.81672091333267</v>
      </c>
      <c r="CE629" s="0" t="n">
        <v>0.216359242285399</v>
      </c>
      <c r="CF629" s="20" t="n">
        <f aca="false">(CE629)^2</f>
        <v>0.0468113217223122</v>
      </c>
      <c r="CG629" s="0" t="n">
        <v>1.69019608002851</v>
      </c>
      <c r="CH629" s="0" t="n">
        <v>1.24797326636181</v>
      </c>
      <c r="CI629" s="0" t="n">
        <v>8.01</v>
      </c>
      <c r="CJ629" s="0" t="n">
        <v>1.84103245509093</v>
      </c>
      <c r="CK629" s="0" t="n">
        <v>1.58373370004733</v>
      </c>
      <c r="CL629" s="0" t="n">
        <v>-0.257298755043601</v>
      </c>
      <c r="CM629" s="20" t="n">
        <f aca="false">(CL629)^2</f>
        <v>0.0662026493469869</v>
      </c>
      <c r="CN629" s="0" t="n">
        <v>1.51851393987789</v>
      </c>
      <c r="CO629" s="0" t="n">
        <v>2.71326953875704</v>
      </c>
      <c r="CP629" s="0" t="n">
        <v>2.81967486601435</v>
      </c>
      <c r="CQ629" s="0" t="n">
        <v>0.106405327257306</v>
      </c>
      <c r="CR629" s="20" t="n">
        <f aca="false">(CQ629)^2</f>
        <v>0.0113220936687344</v>
      </c>
      <c r="CU629" s="0" t="n">
        <v>1.51851393987789</v>
      </c>
      <c r="CV629" s="0" t="n">
        <v>2.00449749686074</v>
      </c>
      <c r="CW629" s="0" t="n">
        <v>2.07441923117618</v>
      </c>
      <c r="CX629" s="0" t="n">
        <v>0.0699217343154444</v>
      </c>
      <c r="CY629" s="20" t="n">
        <f aca="false">(CX629)^2</f>
        <v>0.00488904892967959</v>
      </c>
    </row>
    <row r="630" customFormat="false" ht="12.8" hidden="false" customHeight="false" outlineLevel="0" collapsed="false">
      <c r="BZ630" s="0" t="n">
        <v>1.46239799789896</v>
      </c>
      <c r="CA630" s="0" t="n">
        <v>1.3541084391474</v>
      </c>
      <c r="CB630" s="0" t="n">
        <v>7.74</v>
      </c>
      <c r="CC630" s="0" t="n">
        <v>2.71755209199822</v>
      </c>
      <c r="CD630" s="0" t="n">
        <v>2.81967486601435</v>
      </c>
      <c r="CE630" s="0" t="n">
        <v>0.102122774016134</v>
      </c>
      <c r="CF630" s="20" t="n">
        <f aca="false">(CE630)^2</f>
        <v>0.0104290609727504</v>
      </c>
      <c r="CG630" s="0" t="n">
        <v>1.46239799789896</v>
      </c>
      <c r="CH630" s="0" t="n">
        <v>1.3541084391474</v>
      </c>
      <c r="CI630" s="0" t="n">
        <v>7.74</v>
      </c>
      <c r="CJ630" s="0" t="n">
        <v>1.95682993181271</v>
      </c>
      <c r="CK630" s="0" t="n">
        <v>2.07441923117618</v>
      </c>
      <c r="CL630" s="0" t="n">
        <v>0.117589299363469</v>
      </c>
      <c r="CM630" s="20" t="n">
        <f aca="false">(CL630)^2</f>
        <v>0.0138272433247914</v>
      </c>
      <c r="CN630" s="0" t="n">
        <v>1.69897000433602</v>
      </c>
      <c r="CO630" s="0" t="n">
        <v>2.65749226065377</v>
      </c>
      <c r="CP630" s="0" t="n">
        <v>2.98153856858654</v>
      </c>
      <c r="CQ630" s="0" t="n">
        <v>0.324046307932769</v>
      </c>
      <c r="CR630" s="20" t="n">
        <f aca="false">(CQ630)^2</f>
        <v>0.105006009684859</v>
      </c>
      <c r="CU630" s="0" t="n">
        <v>1.69897000433602</v>
      </c>
      <c r="CV630" s="0" t="n">
        <v>1.96310560845321</v>
      </c>
      <c r="CW630" s="0" t="n">
        <v>1.91822534255641</v>
      </c>
      <c r="CX630" s="0" t="n">
        <v>-0.0448802658967988</v>
      </c>
      <c r="CY630" s="20" t="n">
        <f aca="false">(CX630)^2</f>
        <v>0.00201423826696736</v>
      </c>
    </row>
    <row r="631" customFormat="false" ht="12.8" hidden="false" customHeight="false" outlineLevel="0" collapsed="false">
      <c r="BZ631" s="0" t="n">
        <v>1.64345267648619</v>
      </c>
      <c r="CA631" s="0" t="n">
        <v>1.20682587603185</v>
      </c>
      <c r="CB631" s="0" t="n">
        <v>7.95</v>
      </c>
      <c r="CC631" s="0" t="n">
        <v>2.58310196270487</v>
      </c>
      <c r="CD631" s="0" t="n">
        <v>2.98153856858654</v>
      </c>
      <c r="CE631" s="0" t="n">
        <v>0.398436605881665</v>
      </c>
      <c r="CF631" s="20" t="n">
        <f aca="false">(CE631)^2</f>
        <v>0.158751728906501</v>
      </c>
      <c r="CG631" s="0" t="n">
        <v>1.64345267648619</v>
      </c>
      <c r="CH631" s="0" t="n">
        <v>1.20682587603185</v>
      </c>
      <c r="CI631" s="0" t="n">
        <v>7.95</v>
      </c>
      <c r="CJ631" s="0" t="n">
        <v>1.7875266916308</v>
      </c>
      <c r="CK631" s="0" t="n">
        <v>1.91822534255641</v>
      </c>
      <c r="CL631" s="0" t="n">
        <v>0.130698650925607</v>
      </c>
      <c r="CM631" s="20" t="n">
        <f aca="false">(CL631)^2</f>
        <v>0.0170821373537737</v>
      </c>
      <c r="CN631" s="0" t="n">
        <v>2.05307844348342</v>
      </c>
      <c r="CO631" s="0" t="n">
        <v>2.54804066118357</v>
      </c>
      <c r="CP631" s="0" t="n">
        <v>2.5381406092624</v>
      </c>
      <c r="CQ631" s="0" t="n">
        <v>-0.00990005192116783</v>
      </c>
      <c r="CR631" s="20" t="n">
        <f aca="false">(CQ631)^2</f>
        <v>9.80110280418188E-005</v>
      </c>
      <c r="CU631" s="0" t="n">
        <v>2.05307844348342</v>
      </c>
      <c r="CV631" s="0" t="n">
        <v>1.88188241963234</v>
      </c>
      <c r="CW631" s="0" t="n">
        <v>1.53606284006086</v>
      </c>
      <c r="CX631" s="0" t="n">
        <v>-0.345819579571484</v>
      </c>
      <c r="CY631" s="20" t="n">
        <f aca="false">(CX631)^2</f>
        <v>0.119591181614998</v>
      </c>
    </row>
    <row r="632" customFormat="false" ht="12.8" hidden="false" customHeight="false" outlineLevel="0" collapsed="false">
      <c r="BZ632" s="0" t="n">
        <v>2.19033169817029</v>
      </c>
      <c r="CA632" s="0" t="n">
        <v>1.09691001300806</v>
      </c>
      <c r="CB632" s="0" t="n">
        <v>7.77</v>
      </c>
      <c r="CC632" s="0" t="n">
        <v>2.35971336479505</v>
      </c>
      <c r="CD632" s="0" t="n">
        <v>2.5381406092624</v>
      </c>
      <c r="CE632" s="0" t="n">
        <v>0.178427244467353</v>
      </c>
      <c r="CF632" s="20" t="n">
        <f aca="false">(CE632)^2</f>
        <v>0.0318362815682126</v>
      </c>
      <c r="CG632" s="0" t="n">
        <v>2.19033169817029</v>
      </c>
      <c r="CH632" s="0" t="n">
        <v>1.09691001300806</v>
      </c>
      <c r="CI632" s="0" t="n">
        <v>7.77</v>
      </c>
      <c r="CJ632" s="0" t="n">
        <v>1.60109394141138</v>
      </c>
      <c r="CK632" s="0" t="n">
        <v>1.53606284006086</v>
      </c>
      <c r="CL632" s="0" t="n">
        <v>-0.0650311013505167</v>
      </c>
      <c r="CM632" s="20" t="n">
        <f aca="false">(CL632)^2</f>
        <v>0.00422904414286118</v>
      </c>
      <c r="CN632" s="0" t="n">
        <v>1.97772360528885</v>
      </c>
      <c r="CO632" s="0" t="n">
        <v>2.57133213536609</v>
      </c>
      <c r="CP632" s="0" t="n">
        <v>2.37977395062333</v>
      </c>
      <c r="CQ632" s="0" t="n">
        <v>-0.191558184742758</v>
      </c>
      <c r="CR632" s="20" t="n">
        <f aca="false">(CQ632)^2</f>
        <v>0.0366945381419405</v>
      </c>
      <c r="CU632" s="0" t="n">
        <v>1.97772360528885</v>
      </c>
      <c r="CV632" s="0" t="n">
        <v>1.89916684320039</v>
      </c>
      <c r="CW632" s="0" t="n">
        <v>1.58559671011752</v>
      </c>
      <c r="CX632" s="0" t="n">
        <v>-0.31357013308287</v>
      </c>
      <c r="CY632" s="20" t="n">
        <f aca="false">(CX632)^2</f>
        <v>0.0983262283616088</v>
      </c>
    </row>
    <row r="633" customFormat="false" ht="12.8" hidden="false" customHeight="false" outlineLevel="0" collapsed="false">
      <c r="BZ633" s="0" t="n">
        <v>1.86923171973098</v>
      </c>
      <c r="CA633" s="0" t="n">
        <v>1.28330122870355</v>
      </c>
      <c r="CB633" s="0" t="n">
        <v>7.92</v>
      </c>
      <c r="CC633" s="0" t="n">
        <v>2.57243382616413</v>
      </c>
      <c r="CD633" s="0" t="n">
        <v>2.37977395062333</v>
      </c>
      <c r="CE633" s="0" t="n">
        <v>-0.192659875540803</v>
      </c>
      <c r="CF633" s="20" t="n">
        <f aca="false">(CE633)^2</f>
        <v>0.0371178276433977</v>
      </c>
      <c r="CG633" s="0" t="n">
        <v>1.86923171973098</v>
      </c>
      <c r="CH633" s="0" t="n">
        <v>1.28330122870355</v>
      </c>
      <c r="CI633" s="0" t="n">
        <v>7.92</v>
      </c>
      <c r="CJ633" s="0" t="n">
        <v>1.86382809605253</v>
      </c>
      <c r="CK633" s="0" t="n">
        <v>1.58559671011752</v>
      </c>
      <c r="CL633" s="0" t="n">
        <v>-0.278231385935009</v>
      </c>
      <c r="CM633" s="20" t="n">
        <f aca="false">(CL633)^2</f>
        <v>0.0774127041193162</v>
      </c>
      <c r="CN633" s="0" t="n">
        <v>1.07918124604762</v>
      </c>
      <c r="CO633" s="0" t="n">
        <v>2.84906315653993</v>
      </c>
      <c r="CP633" s="0" t="n">
        <v>2.77079593079515</v>
      </c>
      <c r="CQ633" s="0" t="n">
        <v>-0.0782672257447787</v>
      </c>
      <c r="CR633" s="20" t="n">
        <f aca="false">(CQ633)^2</f>
        <v>0.00612575862578415</v>
      </c>
      <c r="CU633" s="0" t="n">
        <v>1.07918124604762</v>
      </c>
      <c r="CV633" s="0" t="n">
        <v>2.10526889454917</v>
      </c>
      <c r="CW633" s="0" t="n">
        <v>1.92192076742725</v>
      </c>
      <c r="CX633" s="0" t="n">
        <v>-0.183348127121925</v>
      </c>
      <c r="CY633" s="20" t="n">
        <f aca="false">(CX633)^2</f>
        <v>0.0336165357191175</v>
      </c>
    </row>
    <row r="634" customFormat="false" ht="12.8" hidden="false" customHeight="false" outlineLevel="0" collapsed="false">
      <c r="BZ634" s="0" t="n">
        <v>1.27875360095283</v>
      </c>
      <c r="CA634" s="0" t="n">
        <v>1.23552844690755</v>
      </c>
      <c r="CB634" s="0" t="n">
        <v>7.85</v>
      </c>
      <c r="CC634" s="0" t="n">
        <v>2.69319607147315</v>
      </c>
      <c r="CD634" s="0" t="n">
        <v>2.77079593079515</v>
      </c>
      <c r="CE634" s="0" t="n">
        <v>0.0775998593220013</v>
      </c>
      <c r="CF634" s="20" t="n">
        <f aca="false">(CE634)^2</f>
        <v>0.00602173816679439</v>
      </c>
      <c r="CG634" s="0" t="n">
        <v>1.27875360095283</v>
      </c>
      <c r="CH634" s="0" t="n">
        <v>1.23552844690755</v>
      </c>
      <c r="CI634" s="0" t="n">
        <v>7.85</v>
      </c>
      <c r="CJ634" s="0" t="n">
        <v>1.8347781298382</v>
      </c>
      <c r="CK634" s="0" t="n">
        <v>1.92192076742725</v>
      </c>
      <c r="CL634" s="0" t="n">
        <v>0.0871426375890487</v>
      </c>
      <c r="CM634" s="20" t="n">
        <f aca="false">(CL634)^2</f>
        <v>0.00759383928597629</v>
      </c>
      <c r="CN634" s="0" t="n">
        <v>1.7160033436348</v>
      </c>
      <c r="CO634" s="0" t="n">
        <v>2.65222741513058</v>
      </c>
      <c r="CP634" s="0" t="n">
        <v>1.8572240799594</v>
      </c>
      <c r="CQ634" s="0" t="n">
        <v>-0.795003335171178</v>
      </c>
      <c r="CR634" s="20" t="n">
        <f aca="false">(CQ634)^2</f>
        <v>0.632030302933296</v>
      </c>
      <c r="CU634" s="0" t="n">
        <v>1.7160033436348</v>
      </c>
      <c r="CV634" s="0" t="n">
        <v>1.95919860714749</v>
      </c>
      <c r="CW634" s="0" t="n">
        <v>1.75461831766389</v>
      </c>
      <c r="CX634" s="0" t="n">
        <v>-0.204580289483601</v>
      </c>
      <c r="CY634" s="20" t="n">
        <f aca="false">(CX634)^2</f>
        <v>0.0418530948451938</v>
      </c>
    </row>
    <row r="635" customFormat="false" ht="12.8" hidden="false" customHeight="false" outlineLevel="0" collapsed="false">
      <c r="BZ635" s="0" t="n">
        <v>2.72835378202123</v>
      </c>
      <c r="CA635" s="0" t="n">
        <v>1.22788670461367</v>
      </c>
      <c r="CB635" s="0" t="n">
        <v>7.72</v>
      </c>
      <c r="CC635" s="0" t="n">
        <v>2.30175995922979</v>
      </c>
      <c r="CD635" s="0" t="n">
        <v>1.8572240799594</v>
      </c>
      <c r="CE635" s="0" t="n">
        <v>-0.444535879270386</v>
      </c>
      <c r="CF635" s="20" t="n">
        <f aca="false">(CE635)^2</f>
        <v>0.197612147958696</v>
      </c>
      <c r="CG635" s="0" t="n">
        <v>2.72835378202123</v>
      </c>
      <c r="CH635" s="0" t="n">
        <v>1.22788670461367</v>
      </c>
      <c r="CI635" s="0" t="n">
        <v>7.72</v>
      </c>
      <c r="CJ635" s="0" t="n">
        <v>1.72257101233969</v>
      </c>
      <c r="CK635" s="0" t="n">
        <v>1.75461831766389</v>
      </c>
      <c r="CL635" s="0" t="n">
        <v>0.0320473053241976</v>
      </c>
      <c r="CM635" s="20" t="n">
        <f aca="false">(CL635)^2</f>
        <v>0.00102702977854235</v>
      </c>
      <c r="CR635" s="0" t="n">
        <f aca="false">SQRT(SUM(CR596:CR634)/39)</f>
        <v>0.245416972380462</v>
      </c>
      <c r="CY635" s="0" t="n">
        <f aca="false">SQRT(SUM(CY596:CY634)/39)</f>
        <v>0.257399201569744</v>
      </c>
    </row>
    <row r="636" customFormat="false" ht="12.8" hidden="false" customHeight="false" outlineLevel="0" collapsed="false">
      <c r="CF636" s="0" t="n">
        <f aca="false">SQRT(SUM(CF598:CF635)/38)</f>
        <v>0.221081209201575</v>
      </c>
      <c r="CM636" s="0" t="n">
        <f aca="false">SQRT(SUM(CM598:CM635)/38)</f>
        <v>0.178770996548196</v>
      </c>
    </row>
    <row r="638" customFormat="false" ht="12.8" hidden="false" customHeight="false" outlineLevel="0" collapsed="false">
      <c r="BS638" s="14"/>
      <c r="BZ638" s="14" t="s">
        <v>542</v>
      </c>
      <c r="CG638" s="14" t="s">
        <v>543</v>
      </c>
      <c r="CN638" s="14" t="s">
        <v>544</v>
      </c>
      <c r="CU638" s="14" t="s">
        <v>545</v>
      </c>
    </row>
    <row r="639" customFormat="false" ht="12.8" hidden="false" customHeight="false" outlineLevel="0" collapsed="false">
      <c r="BZ639" s="0" t="s">
        <v>78</v>
      </c>
      <c r="CA639" s="0" t="s">
        <v>79</v>
      </c>
      <c r="CG639" s="0" t="s">
        <v>78</v>
      </c>
      <c r="CH639" s="0" t="s">
        <v>79</v>
      </c>
      <c r="CN639" s="0" t="s">
        <v>78</v>
      </c>
      <c r="CO639" s="0" t="s">
        <v>79</v>
      </c>
      <c r="CU639" s="0" t="s">
        <v>78</v>
      </c>
      <c r="CV639" s="0" t="s">
        <v>79</v>
      </c>
    </row>
    <row r="641" customFormat="false" ht="12.8" hidden="false" customHeight="false" outlineLevel="0" collapsed="false">
      <c r="BZ641" s="0" t="s">
        <v>84</v>
      </c>
      <c r="CG641" s="0" t="s">
        <v>84</v>
      </c>
      <c r="CN641" s="0" t="s">
        <v>84</v>
      </c>
      <c r="CU641" s="0" t="s">
        <v>84</v>
      </c>
    </row>
    <row r="642" customFormat="false" ht="12.8" hidden="false" customHeight="false" outlineLevel="0" collapsed="false">
      <c r="BZ642" s="0" t="n">
        <f aca="false" t="array" ref="BZ642:CB646">LINEST($BF$53:$BF$91 , $BG$53:$BH$91 , 1 , 1)</f>
        <v>-0.282446632353509</v>
      </c>
      <c r="CA642" s="0" t="n">
        <v>0.609720002591225</v>
      </c>
      <c r="CB642" s="0" t="n">
        <v>2.30611282609794</v>
      </c>
      <c r="CG642" s="0" t="n">
        <f aca="false" t="array" ref="CG642:CI646">LINEST($BI$53:$BI$91 , $BG$53:$BH$91 , 1 , 1)</f>
        <v>-0.179729234462904</v>
      </c>
      <c r="CH642" s="0" t="n">
        <v>1.13606344495845</v>
      </c>
      <c r="CI642" s="0" t="n">
        <v>0.719634127598233</v>
      </c>
      <c r="CN642" s="0" t="n">
        <f aca="false" t="array" ref="CN642:CP646">LINEST($BJ$95:$BJ$132 , $BO$53:$BP$90 , 1 , 1)</f>
        <v>0.797281523518743</v>
      </c>
      <c r="CO642" s="0" t="n">
        <v>-0.0224095986282863</v>
      </c>
      <c r="CP642" s="0" t="n">
        <v>1.77443592710708</v>
      </c>
      <c r="CU642" s="0" t="n">
        <f aca="false" t="array" ref="CU642:CW646">LINEST($BN$95:$BN$132 , $BO$53:$BP$90 , 1 , 1)</f>
        <v>1.10393277326717</v>
      </c>
      <c r="CV642" s="0" t="n">
        <v>0.0352997175572269</v>
      </c>
      <c r="CW642" s="0" t="n">
        <v>0.190003727219861</v>
      </c>
    </row>
    <row r="643" customFormat="false" ht="12.8" hidden="false" customHeight="false" outlineLevel="0" collapsed="false">
      <c r="BZ643" s="0" t="n">
        <v>0.0943417247905805</v>
      </c>
      <c r="CA643" s="0" t="n">
        <v>0.292342419566436</v>
      </c>
      <c r="CB643" s="0" t="n">
        <v>0.4481503885963</v>
      </c>
      <c r="CG643" s="0" t="n">
        <v>0.085088759379295</v>
      </c>
      <c r="CH643" s="0" t="n">
        <v>0.263669694931558</v>
      </c>
      <c r="CI643" s="0" t="n">
        <v>0.404196135545059</v>
      </c>
      <c r="CN643" s="0" t="n">
        <v>0.335810230244319</v>
      </c>
      <c r="CO643" s="0" t="n">
        <v>0.0342422101339549</v>
      </c>
      <c r="CP643" s="0" t="n">
        <v>0.477452202714672</v>
      </c>
      <c r="CU643" s="0" t="n">
        <v>0.280548501070734</v>
      </c>
      <c r="CV643" s="0" t="n">
        <v>0.0286072306952676</v>
      </c>
      <c r="CW643" s="0" t="n">
        <v>0.39888153409462</v>
      </c>
    </row>
    <row r="644" customFormat="false" ht="12.8" hidden="false" customHeight="false" outlineLevel="0" collapsed="false">
      <c r="BZ644" s="0" t="n">
        <v>0.29803270359415</v>
      </c>
      <c r="CA644" s="0" t="n">
        <v>0.241276918369596</v>
      </c>
      <c r="CB644" s="0" t="e">
        <v>#N/A</v>
      </c>
      <c r="CG644" s="0" t="n">
        <v>0.419046538549986</v>
      </c>
      <c r="CH644" s="0" t="n">
        <v>0.217612659684786</v>
      </c>
      <c r="CI644" s="0" t="e">
        <v>#N/A</v>
      </c>
      <c r="CN644" s="0" t="n">
        <v>0.138983584943619</v>
      </c>
      <c r="CO644" s="0" t="n">
        <v>0.270721835991657</v>
      </c>
      <c r="CP644" s="0" t="e">
        <v>#N/A</v>
      </c>
      <c r="CU644" s="0" t="n">
        <v>0.367085345108762</v>
      </c>
      <c r="CV644" s="0" t="n">
        <v>0.226171207587448</v>
      </c>
      <c r="CW644" s="0" t="e">
        <v>#N/A</v>
      </c>
    </row>
    <row r="645" customFormat="false" ht="12.8" hidden="false" customHeight="false" outlineLevel="0" collapsed="false">
      <c r="BZ645" s="0" t="n">
        <v>7.64222021761126</v>
      </c>
      <c r="CA645" s="0" t="n">
        <v>36</v>
      </c>
      <c r="CB645" s="0" t="e">
        <v>#N/A</v>
      </c>
      <c r="CG645" s="0" t="n">
        <v>12.9835489319117</v>
      </c>
      <c r="CH645" s="0" t="n">
        <v>36</v>
      </c>
      <c r="CI645" s="0" t="e">
        <v>#N/A</v>
      </c>
      <c r="CN645" s="0" t="n">
        <v>2.82481575726297</v>
      </c>
      <c r="CO645" s="0" t="n">
        <v>35</v>
      </c>
      <c r="CP645" s="0" t="e">
        <v>#N/A</v>
      </c>
      <c r="CU645" s="0" t="n">
        <v>10.1498574725012</v>
      </c>
      <c r="CV645" s="0" t="n">
        <v>35</v>
      </c>
      <c r="CW645" s="0" t="e">
        <v>#N/A</v>
      </c>
    </row>
    <row r="646" customFormat="false" ht="12.8" hidden="false" customHeight="false" outlineLevel="0" collapsed="false">
      <c r="BZ646" s="0" t="n">
        <v>0.889776842387774</v>
      </c>
      <c r="CA646" s="0" t="n">
        <v>2.09572384816543</v>
      </c>
      <c r="CB646" s="0" t="e">
        <v>#N/A</v>
      </c>
      <c r="CG646" s="0" t="n">
        <v>1.22967892150138</v>
      </c>
      <c r="CH646" s="0" t="n">
        <v>1.70478970758312</v>
      </c>
      <c r="CI646" s="0" t="e">
        <v>#N/A</v>
      </c>
      <c r="CN646" s="0" t="n">
        <v>0.414063259111681</v>
      </c>
      <c r="CO646" s="0" t="n">
        <v>2.56516093689428</v>
      </c>
      <c r="CP646" s="0" t="e">
        <v>#N/A</v>
      </c>
      <c r="CU646" s="0" t="n">
        <v>1.03839974583713</v>
      </c>
      <c r="CV646" s="0" t="n">
        <v>1.79036952995476</v>
      </c>
      <c r="CW646" s="0" t="e">
        <v>#N/A</v>
      </c>
    </row>
    <row r="648" customFormat="false" ht="12.8" hidden="false" customHeight="false" outlineLevel="0" collapsed="false">
      <c r="BZ648" s="0" t="s">
        <v>100</v>
      </c>
      <c r="CG648" s="0" t="s">
        <v>100</v>
      </c>
      <c r="CN648" s="0" t="s">
        <v>100</v>
      </c>
      <c r="CU648" s="0" t="s">
        <v>100</v>
      </c>
    </row>
    <row r="649" customFormat="false" ht="12.8" hidden="false" customHeight="false" outlineLevel="0" collapsed="false">
      <c r="BZ649" s="0" t="s">
        <v>103</v>
      </c>
      <c r="CA649" s="0" t="n">
        <f aca="false">$BZ$644</f>
        <v>0.29803270359415</v>
      </c>
      <c r="CG649" s="0" t="s">
        <v>103</v>
      </c>
      <c r="CH649" s="0" t="n">
        <f aca="false">$CG$644</f>
        <v>0.419046538549986</v>
      </c>
      <c r="CN649" s="0" t="s">
        <v>103</v>
      </c>
      <c r="CO649" s="0" t="n">
        <f aca="false">$CN$644</f>
        <v>0.138983584943619</v>
      </c>
      <c r="CU649" s="0" t="s">
        <v>103</v>
      </c>
      <c r="CV649" s="0" t="n">
        <f aca="false">$CU$644</f>
        <v>0.367085345108762</v>
      </c>
    </row>
    <row r="650" customFormat="false" ht="12.8" hidden="false" customHeight="false" outlineLevel="0" collapsed="false">
      <c r="BZ650" s="0" t="s">
        <v>106</v>
      </c>
      <c r="CA650" s="0" t="n">
        <f aca="false">$CA$644</f>
        <v>0.241276918369596</v>
      </c>
      <c r="CG650" s="0" t="s">
        <v>106</v>
      </c>
      <c r="CH650" s="0" t="n">
        <f aca="false">$CH$644</f>
        <v>0.217612659684786</v>
      </c>
      <c r="CN650" s="0" t="s">
        <v>106</v>
      </c>
      <c r="CO650" s="0" t="n">
        <f aca="false">$CO$644</f>
        <v>0.270721835991657</v>
      </c>
      <c r="CU650" s="0" t="s">
        <v>106</v>
      </c>
      <c r="CV650" s="0" t="n">
        <f aca="false">$CV$644</f>
        <v>0.226171207587448</v>
      </c>
    </row>
    <row r="651" customFormat="false" ht="12.8" hidden="false" customHeight="false" outlineLevel="0" collapsed="false">
      <c r="BZ651" s="0" t="s">
        <v>109</v>
      </c>
      <c r="CA651" s="0" t="n">
        <f aca="false">2</f>
        <v>2</v>
      </c>
      <c r="CG651" s="0" t="s">
        <v>109</v>
      </c>
      <c r="CH651" s="0" t="n">
        <f aca="false">2</f>
        <v>2</v>
      </c>
      <c r="CN651" s="0" t="s">
        <v>109</v>
      </c>
      <c r="CO651" s="0" t="n">
        <f aca="false">2</f>
        <v>2</v>
      </c>
      <c r="CU651" s="0" t="s">
        <v>109</v>
      </c>
      <c r="CV651" s="0" t="n">
        <f aca="false">2</f>
        <v>2</v>
      </c>
    </row>
    <row r="652" customFormat="false" ht="12.8" hidden="false" customHeight="false" outlineLevel="0" collapsed="false">
      <c r="BZ652" s="0" t="s">
        <v>112</v>
      </c>
      <c r="CA652" s="0" t="n">
        <f aca="false">39</f>
        <v>39</v>
      </c>
      <c r="CG652" s="0" t="s">
        <v>112</v>
      </c>
      <c r="CH652" s="0" t="n">
        <f aca="false">39</f>
        <v>39</v>
      </c>
      <c r="CN652" s="0" t="s">
        <v>112</v>
      </c>
      <c r="CO652" s="0" t="n">
        <f aca="false">38</f>
        <v>38</v>
      </c>
      <c r="CU652" s="0" t="s">
        <v>112</v>
      </c>
      <c r="CV652" s="0" t="n">
        <f aca="false">38</f>
        <v>38</v>
      </c>
    </row>
    <row r="653" customFormat="false" ht="12.8" hidden="false" customHeight="false" outlineLevel="0" collapsed="false">
      <c r="BZ653" s="0" t="s">
        <v>115</v>
      </c>
      <c r="CA653" s="0" t="n">
        <f aca="false">1 - (1 - $BZ$644)*($CA$652 - 1)/($CA$652 - $CA$651 - 1)</f>
        <v>0.259034520460492</v>
      </c>
      <c r="CG653" s="0" t="s">
        <v>115</v>
      </c>
      <c r="CH653" s="0" t="n">
        <f aca="false">1 - (1 - $CG$644)*($CH$652 - 1)/($CH$652 - $CH$651 - 1)</f>
        <v>0.386771346247207</v>
      </c>
      <c r="CN653" s="0" t="s">
        <v>115</v>
      </c>
      <c r="CO653" s="0" t="n">
        <f aca="false">1 - (1 - $CN$644)*($CO$652 - 1)/($CO$652 - $CO$651 - 1)</f>
        <v>0.0897826469403977</v>
      </c>
      <c r="CU653" s="0" t="s">
        <v>115</v>
      </c>
      <c r="CV653" s="0" t="n">
        <f aca="false">1 - (1 - $CU$644)*($CV$652 - 1)/($CV$652 - $CV$651 - 1)</f>
        <v>0.330918793400691</v>
      </c>
    </row>
    <row r="655" customFormat="false" ht="12.8" hidden="false" customHeight="false" outlineLevel="0" collapsed="false">
      <c r="BZ655" s="0" t="s">
        <v>120</v>
      </c>
      <c r="CG655" s="0" t="s">
        <v>120</v>
      </c>
      <c r="CN655" s="0" t="s">
        <v>120</v>
      </c>
      <c r="CU655" s="0" t="s">
        <v>120</v>
      </c>
    </row>
    <row r="656" customFormat="false" ht="12.8" hidden="false" customHeight="false" outlineLevel="0" collapsed="false">
      <c r="CA656" s="0" t="s">
        <v>123</v>
      </c>
      <c r="CB656" s="0" t="s">
        <v>124</v>
      </c>
      <c r="CC656" s="0" t="s">
        <v>125</v>
      </c>
      <c r="CD656" s="0" t="s">
        <v>126</v>
      </c>
      <c r="CE656" s="0" t="s">
        <v>127</v>
      </c>
      <c r="CH656" s="0" t="s">
        <v>123</v>
      </c>
      <c r="CI656" s="0" t="s">
        <v>124</v>
      </c>
      <c r="CJ656" s="0" t="s">
        <v>125</v>
      </c>
      <c r="CK656" s="0" t="s">
        <v>126</v>
      </c>
      <c r="CL656" s="0" t="s">
        <v>127</v>
      </c>
      <c r="CO656" s="0" t="s">
        <v>123</v>
      </c>
      <c r="CP656" s="0" t="s">
        <v>124</v>
      </c>
      <c r="CQ656" s="0" t="s">
        <v>125</v>
      </c>
      <c r="CR656" s="0" t="s">
        <v>126</v>
      </c>
      <c r="CS656" s="0" t="s">
        <v>127</v>
      </c>
      <c r="CV656" s="0" t="s">
        <v>123</v>
      </c>
      <c r="CW656" s="0" t="s">
        <v>124</v>
      </c>
      <c r="CX656" s="0" t="s">
        <v>125</v>
      </c>
      <c r="CY656" s="0" t="s">
        <v>126</v>
      </c>
      <c r="CZ656" s="0" t="s">
        <v>127</v>
      </c>
    </row>
    <row r="657" customFormat="false" ht="12.8" hidden="false" customHeight="false" outlineLevel="0" collapsed="false">
      <c r="BZ657" s="0" t="s">
        <v>130</v>
      </c>
      <c r="CA657" s="0" t="n">
        <f aca="false">$CA$651</f>
        <v>2</v>
      </c>
      <c r="CB657" s="0" t="n">
        <f aca="false">$BZ$646</f>
        <v>0.889776842387774</v>
      </c>
      <c r="CC657" s="0" t="n">
        <f aca="false">$BZ$646 / $CA$657</f>
        <v>0.444888421193887</v>
      </c>
      <c r="CD657" s="0" t="n">
        <f aca="false">$BZ$645</f>
        <v>7.64222021761126</v>
      </c>
      <c r="CE657" s="0" t="n">
        <f aca="false">FDIST($BZ$645 , $CA$657 , $CA$645)</f>
        <v>0.00171278886383128</v>
      </c>
      <c r="CG657" s="0" t="s">
        <v>130</v>
      </c>
      <c r="CH657" s="0" t="n">
        <f aca="false">$CH$651</f>
        <v>2</v>
      </c>
      <c r="CI657" s="0" t="n">
        <f aca="false">$CG$646</f>
        <v>1.22967892150138</v>
      </c>
      <c r="CJ657" s="0" t="n">
        <f aca="false">$CG$646 / $CH$657</f>
        <v>0.614839460750691</v>
      </c>
      <c r="CK657" s="0" t="n">
        <f aca="false">$CG$645</f>
        <v>12.9835489319117</v>
      </c>
      <c r="CL657" s="0" t="n">
        <f aca="false">FDIST($CG$645 , $CH$657 , $CH$645)</f>
        <v>5.68256204296631E-005</v>
      </c>
      <c r="CN657" s="0" t="s">
        <v>130</v>
      </c>
      <c r="CO657" s="0" t="n">
        <f aca="false">$CO$651</f>
        <v>2</v>
      </c>
      <c r="CP657" s="0" t="n">
        <f aca="false">$CN$646</f>
        <v>0.414063259111681</v>
      </c>
      <c r="CQ657" s="0" t="n">
        <f aca="false">$CN$646 / $CO$657</f>
        <v>0.207031629555841</v>
      </c>
      <c r="CR657" s="0" t="n">
        <f aca="false">$CN$645</f>
        <v>2.82481575726297</v>
      </c>
      <c r="CS657" s="0" t="n">
        <f aca="false">FDIST($CN$645 , $CO$657 , $CO$645)</f>
        <v>0.0728953871390964</v>
      </c>
      <c r="CU657" s="0" t="s">
        <v>130</v>
      </c>
      <c r="CV657" s="0" t="n">
        <f aca="false">$CV$651</f>
        <v>2</v>
      </c>
      <c r="CW657" s="0" t="n">
        <f aca="false">$CU$646</f>
        <v>1.03839974583713</v>
      </c>
      <c r="CX657" s="0" t="n">
        <f aca="false">$CU$646 / $CV$657</f>
        <v>0.519199872918563</v>
      </c>
      <c r="CY657" s="0" t="n">
        <f aca="false">$CU$645</f>
        <v>10.1498574725012</v>
      </c>
      <c r="CZ657" s="0" t="n">
        <f aca="false">FDIST($CU$645 , $CV$657 , $CV$645)</f>
        <v>0.000333841370753491</v>
      </c>
    </row>
    <row r="658" customFormat="false" ht="12.8" hidden="false" customHeight="false" outlineLevel="0" collapsed="false">
      <c r="BZ658" s="0" t="s">
        <v>133</v>
      </c>
      <c r="CA658" s="0" t="n">
        <f aca="false">$CA$645</f>
        <v>36</v>
      </c>
      <c r="CB658" s="0" t="n">
        <f aca="false">$CA$646</f>
        <v>2.09572384816543</v>
      </c>
      <c r="CC658" s="0" t="n">
        <f aca="false">$CA$646 / $CA$645</f>
        <v>0.0582145513379287</v>
      </c>
      <c r="CG658" s="0" t="s">
        <v>133</v>
      </c>
      <c r="CH658" s="0" t="n">
        <f aca="false">$CH$645</f>
        <v>36</v>
      </c>
      <c r="CI658" s="0" t="n">
        <f aca="false">$CH$646</f>
        <v>1.70478970758312</v>
      </c>
      <c r="CJ658" s="0" t="n">
        <f aca="false">$CH$646 / $CH$645</f>
        <v>0.0473552696550866</v>
      </c>
      <c r="CN658" s="0" t="s">
        <v>133</v>
      </c>
      <c r="CO658" s="0" t="n">
        <f aca="false">$CO$645</f>
        <v>35</v>
      </c>
      <c r="CP658" s="0" t="n">
        <f aca="false">$CO$646</f>
        <v>2.56516093689428</v>
      </c>
      <c r="CQ658" s="0" t="n">
        <f aca="false">$CO$646 / $CO$645</f>
        <v>0.0732903124826938</v>
      </c>
      <c r="CU658" s="0" t="s">
        <v>133</v>
      </c>
      <c r="CV658" s="0" t="n">
        <f aca="false">$CV$645</f>
        <v>35</v>
      </c>
      <c r="CW658" s="0" t="n">
        <f aca="false">$CV$646</f>
        <v>1.79036952995476</v>
      </c>
      <c r="CX658" s="0" t="n">
        <f aca="false">$CV$646 / $CV$645</f>
        <v>0.0511534151415645</v>
      </c>
    </row>
    <row r="659" customFormat="false" ht="12.8" hidden="false" customHeight="false" outlineLevel="0" collapsed="false">
      <c r="BZ659" s="0" t="s">
        <v>136</v>
      </c>
      <c r="CA659" s="0" t="n">
        <f aca="false">$CA$657 + $CA$645</f>
        <v>38</v>
      </c>
      <c r="CB659" s="0" t="n">
        <f aca="false">$BZ$646 + $CA$646</f>
        <v>2.98550069055321</v>
      </c>
      <c r="CG659" s="0" t="s">
        <v>136</v>
      </c>
      <c r="CH659" s="0" t="n">
        <f aca="false">$CH$657 + $CH$645</f>
        <v>38</v>
      </c>
      <c r="CI659" s="0" t="n">
        <f aca="false">$CG$646 + $CH$646</f>
        <v>2.9344686290845</v>
      </c>
      <c r="CN659" s="0" t="s">
        <v>136</v>
      </c>
      <c r="CO659" s="0" t="n">
        <f aca="false">$CO$657 + $CO$645</f>
        <v>37</v>
      </c>
      <c r="CP659" s="0" t="n">
        <f aca="false">$CN$646 + $CO$646</f>
        <v>2.97922419600596</v>
      </c>
      <c r="CU659" s="0" t="s">
        <v>136</v>
      </c>
      <c r="CV659" s="0" t="n">
        <f aca="false">$CV$657 + $CV$645</f>
        <v>37</v>
      </c>
      <c r="CW659" s="0" t="n">
        <f aca="false">$CU$646 + $CV$646</f>
        <v>2.82876927579188</v>
      </c>
    </row>
    <row r="661" customFormat="false" ht="12.8" hidden="false" customHeight="false" outlineLevel="0" collapsed="false">
      <c r="BZ661" s="0" t="s">
        <v>141</v>
      </c>
      <c r="CA661" s="0" t="n">
        <v>0.95</v>
      </c>
      <c r="CG661" s="0" t="s">
        <v>141</v>
      </c>
      <c r="CH661" s="0" t="n">
        <v>0.95</v>
      </c>
      <c r="CN661" s="0" t="s">
        <v>141</v>
      </c>
      <c r="CO661" s="0" t="n">
        <v>0.95</v>
      </c>
      <c r="CU661" s="0" t="s">
        <v>141</v>
      </c>
      <c r="CV661" s="0" t="n">
        <v>0.95</v>
      </c>
    </row>
    <row r="663" customFormat="false" ht="12.8" hidden="false" customHeight="false" outlineLevel="0" collapsed="false">
      <c r="CA663" s="0" t="s">
        <v>146</v>
      </c>
      <c r="CB663" s="0" t="s">
        <v>106</v>
      </c>
      <c r="CC663" s="0" t="s">
        <v>147</v>
      </c>
      <c r="CD663" s="0" t="s">
        <v>148</v>
      </c>
      <c r="CE663" s="0" t="str">
        <f aca="false">_xlfn.CONCAT("Lower " , INT($CA$661 * 100) , "%")</f>
        <v>Lower 95%</v>
      </c>
      <c r="CF663" s="0" t="str">
        <f aca="false">_xlfn.CONCAT("Upper " , INT($CA$661 * 100) , "%")</f>
        <v>Upper 95%</v>
      </c>
      <c r="CH663" s="0" t="s">
        <v>146</v>
      </c>
      <c r="CI663" s="0" t="s">
        <v>106</v>
      </c>
      <c r="CJ663" s="0" t="s">
        <v>147</v>
      </c>
      <c r="CK663" s="0" t="s">
        <v>148</v>
      </c>
      <c r="CL663" s="0" t="str">
        <f aca="false">_xlfn.CONCAT("Lower " , INT($CH$661 * 100) , "%")</f>
        <v>Lower 95%</v>
      </c>
      <c r="CM663" s="0" t="str">
        <f aca="false">_xlfn.CONCAT("Upper " , INT($CH$661 * 100) , "%")</f>
        <v>Upper 95%</v>
      </c>
      <c r="CO663" s="0" t="s">
        <v>146</v>
      </c>
      <c r="CP663" s="0" t="s">
        <v>106</v>
      </c>
      <c r="CQ663" s="0" t="s">
        <v>147</v>
      </c>
      <c r="CR663" s="0" t="s">
        <v>148</v>
      </c>
      <c r="CS663" s="0" t="str">
        <f aca="false">_xlfn.CONCAT("Lower " , INT($CO$661 * 100) , "%")</f>
        <v>Lower 95%</v>
      </c>
      <c r="CT663" s="0" t="str">
        <f aca="false">_xlfn.CONCAT("Upper " , INT($CO$661 * 100) , "%")</f>
        <v>Upper 95%</v>
      </c>
      <c r="CV663" s="0" t="s">
        <v>146</v>
      </c>
      <c r="CW663" s="0" t="s">
        <v>106</v>
      </c>
      <c r="CX663" s="0" t="s">
        <v>147</v>
      </c>
      <c r="CY663" s="0" t="s">
        <v>148</v>
      </c>
      <c r="CZ663" s="0" t="str">
        <f aca="false">_xlfn.CONCAT("Lower " , INT($CV$661 * 100) , "%")</f>
        <v>Lower 95%</v>
      </c>
      <c r="DA663" s="0" t="str">
        <f aca="false">_xlfn.CONCAT("Upper " , INT($CV$661 * 100) , "%")</f>
        <v>Upper 95%</v>
      </c>
    </row>
    <row r="664" customFormat="false" ht="12.8" hidden="false" customHeight="false" outlineLevel="0" collapsed="false">
      <c r="BZ664" s="0" t="str">
        <f aca="false">"Intercept"</f>
        <v>Intercept</v>
      </c>
      <c r="CA664" s="0" t="n">
        <f aca="false" t="array" ref="CA664:CA666">INDEX($BZ$642:$CB$642, 1 , 667 - ROW())</f>
        <v>2.30611282609794</v>
      </c>
      <c r="CB664" s="0" t="n">
        <f aca="false" t="array" ref="CB664:CB666">INDEX($BZ$643:$CB$643, 1 , 667 - ROW())</f>
        <v>0.4481503885963</v>
      </c>
      <c r="CC664" s="0" t="n">
        <f aca="false" t="array" ref="CC664:CC666">$CA$664:$CA$666 / $CB$664:$CB$666</f>
        <v>5.14584586955544</v>
      </c>
      <c r="CD664" s="0" t="n">
        <f aca="false" t="array" ref="CD664:CD666">TDIST(ABS($CC$664:$CC$666) , $CA$645 , 2 )</f>
        <v>9.6144523788231E-006</v>
      </c>
      <c r="CE664" s="0" t="n">
        <f aca="false" t="array" ref="CE664:CE666">$CA$664:$CA$666 - $CB$664:$CB$666 * TINV(1 - $CA$661 , $CA$645)</f>
        <v>1.39722171144872</v>
      </c>
      <c r="CF664" s="0" t="n">
        <f aca="false" t="array" ref="CF664:CF666">$CA$664:$CA$666 + $CB$664:$CB$666 * TINV(1 - $CA$661 , $CA$645)</f>
        <v>3.21500394074715</v>
      </c>
      <c r="CG664" s="0" t="str">
        <f aca="false">"Intercept"</f>
        <v>Intercept</v>
      </c>
      <c r="CH664" s="0" t="n">
        <f aca="false" t="array" ref="CH664:CH666">INDEX($CG$642:$CI$642, 1 , 667 - ROW())</f>
        <v>0.719634127598233</v>
      </c>
      <c r="CI664" s="0" t="n">
        <f aca="false" t="array" ref="CI664:CI666">INDEX($CG$643:$CI$643, 1 , 667 - ROW())</f>
        <v>0.404196135545059</v>
      </c>
      <c r="CJ664" s="0" t="n">
        <f aca="false" t="array" ref="CJ664:CJ666">$CH$664:$CH$666 / $CI$664:$CI$666</f>
        <v>1.78040823331427</v>
      </c>
      <c r="CK664" s="0" t="n">
        <f aca="false" t="array" ref="CK664:CK666">TDIST(ABS($CJ$664:$CJ$666) , $CH$645 , 2 )</f>
        <v>0.083450568894475</v>
      </c>
      <c r="CL664" s="0" t="n">
        <f aca="false" t="array" ref="CL664:CL666">$CH$664:$CH$666 - $CI$664:$CI$666 * TINV(1 - $CH$661 , $CH$645)</f>
        <v>-0.100113630120183</v>
      </c>
      <c r="CM664" s="0" t="n">
        <f aca="false" t="array" ref="CM664:CM666">$CH$664:$CH$666 + $CI$664:$CI$666 * TINV(1 - $CH$661 , $CH$645)</f>
        <v>1.53938188531665</v>
      </c>
      <c r="CN664" s="0" t="str">
        <f aca="false">"Intercept"</f>
        <v>Intercept</v>
      </c>
      <c r="CO664" s="0" t="n">
        <f aca="false" t="array" ref="CO664:CO666">INDEX($CN$642:$CP$642, 1 , 667 - ROW())</f>
        <v>1.77443592710708</v>
      </c>
      <c r="CP664" s="0" t="n">
        <f aca="false" t="array" ref="CP664:CP666">INDEX($CN$643:$CP$643, 1 , 667 - ROW())</f>
        <v>0.477452202714672</v>
      </c>
      <c r="CQ664" s="0" t="n">
        <f aca="false" t="array" ref="CQ664:CQ666">$CO$664:$CO$666 / $CP$664:$CP$666</f>
        <v>3.71646819727313</v>
      </c>
      <c r="CR664" s="0" t="n">
        <f aca="false" t="array" ref="CR664:CR666">TDIST(ABS($CQ$664:$CQ$666) , $CO$645 , 2 )</f>
        <v>0.000702896327942382</v>
      </c>
      <c r="CS664" s="0" t="n">
        <f aca="false" t="array" ref="CS664:CS666">$CO$664:$CO$666 - $CP$664:$CP$666 * TINV(1 - $CO$661 , $CO$645)</f>
        <v>0.805156425015436</v>
      </c>
      <c r="CT664" s="0" t="n">
        <f aca="false" t="array" ref="CT664:CT666">$CO$664:$CO$666 + $CP$664:$CP$666 * TINV(1 - $CO$661 , $CO$645)</f>
        <v>2.74371542919873</v>
      </c>
      <c r="CU664" s="0" t="str">
        <f aca="false">"Intercept"</f>
        <v>Intercept</v>
      </c>
      <c r="CV664" s="0" t="n">
        <f aca="false" t="array" ref="CV664:CV666">INDEX($CU$642:$CW$642, 1 , 667 - ROW())</f>
        <v>0.190003727219861</v>
      </c>
      <c r="CW664" s="0" t="n">
        <f aca="false" t="array" ref="CW664:CW666">INDEX($CU$643:$CW$643, 1 , 667 - ROW())</f>
        <v>0.39888153409462</v>
      </c>
      <c r="CX664" s="0" t="n">
        <f aca="false" t="array" ref="CX664:CX666">$CV$664:$CV$666 / $CW$664:$CW$666</f>
        <v>0.476341246658939</v>
      </c>
      <c r="CY664" s="0" t="n">
        <f aca="false" t="array" ref="CY664:CY666">TDIST(ABS($CX$664:$CX$666) , $CV$645 , 2 )</f>
        <v>0.636791612013732</v>
      </c>
      <c r="CZ664" s="0" t="n">
        <f aca="false" t="array" ref="CZ664:CZ666">$CV$664:$CV$666 - $CW$664:$CW$666 * TINV(1 - $CV$661 , $CV$645)</f>
        <v>-0.619768837578287</v>
      </c>
      <c r="DA664" s="0" t="n">
        <f aca="false" t="array" ref="DA664:DA666">$CV$664:$CV$666 + $CW$664:$CW$666 * TINV(1 - $CV$661 , $CV$645)</f>
        <v>0.999776292018009</v>
      </c>
    </row>
    <row r="665" customFormat="false" ht="12.8" hidden="false" customHeight="false" outlineLevel="0" collapsed="false">
      <c r="BS665" s="24"/>
      <c r="BZ665" s="24" t="str">
        <f aca="false">$BG$52</f>
        <v>log (σHβ) (Km s-¹)</v>
      </c>
      <c r="CA665" s="0" t="n">
        <v>0.609720002591225</v>
      </c>
      <c r="CB665" s="0" t="n">
        <v>0.292342419566436</v>
      </c>
      <c r="CC665" s="0" t="n">
        <v>2.08563643789869</v>
      </c>
      <c r="CD665" s="0" t="n">
        <v>0.0441606356094494</v>
      </c>
      <c r="CE665" s="0" t="n">
        <v>0.0168220952364274</v>
      </c>
      <c r="CF665" s="0" t="n">
        <v>1.20261790994602</v>
      </c>
      <c r="CG665" s="24" t="str">
        <f aca="false">$BG$52</f>
        <v>log (σHβ) (Km s-¹)</v>
      </c>
      <c r="CH665" s="0" t="n">
        <v>1.13606344495845</v>
      </c>
      <c r="CI665" s="0" t="n">
        <v>0.263669694931558</v>
      </c>
      <c r="CJ665" s="0" t="n">
        <v>4.30866143055745</v>
      </c>
      <c r="CK665" s="0" t="n">
        <v>0.0001213310887118</v>
      </c>
      <c r="CL665" s="0" t="n">
        <v>0.601316518427415</v>
      </c>
      <c r="CM665" s="0" t="n">
        <v>1.67081037148949</v>
      </c>
      <c r="CN665" s="24" t="str">
        <f aca="false">$BO$52</f>
        <v>log(O/H)</v>
      </c>
      <c r="CO665" s="0" t="n">
        <v>-0.0224095986282863</v>
      </c>
      <c r="CP665" s="0" t="n">
        <v>0.0342422101339549</v>
      </c>
      <c r="CQ665" s="0" t="n">
        <v>-0.654443698015413</v>
      </c>
      <c r="CR665" s="0" t="n">
        <v>0.517103742698892</v>
      </c>
      <c r="CS665" s="0" t="n">
        <v>-0.0919249809020425</v>
      </c>
      <c r="CT665" s="0" t="n">
        <v>0.0471057836454698</v>
      </c>
      <c r="CU665" s="24" t="str">
        <f aca="false">$BO$52</f>
        <v>log(O/H)</v>
      </c>
      <c r="CV665" s="0" t="n">
        <v>0.0352997175572269</v>
      </c>
      <c r="CW665" s="0" t="n">
        <v>0.0286072306952676</v>
      </c>
      <c r="CX665" s="0" t="n">
        <v>1.23394389108298</v>
      </c>
      <c r="CY665" s="0" t="n">
        <v>0.22544572023906</v>
      </c>
      <c r="CZ665" s="0" t="n">
        <v>-0.0227760482825224</v>
      </c>
      <c r="DA665" s="0" t="n">
        <v>0.0933754833969762</v>
      </c>
    </row>
    <row r="666" customFormat="false" ht="12.8" hidden="false" customHeight="false" outlineLevel="0" collapsed="false">
      <c r="BS666" s="24"/>
      <c r="BZ666" s="24" t="str">
        <f aca="false">$BH$52</f>
        <v>log (Whβ) NTT</v>
      </c>
      <c r="CA666" s="0" t="n">
        <v>-0.282446632353509</v>
      </c>
      <c r="CB666" s="0" t="n">
        <v>0.0943417247905805</v>
      </c>
      <c r="CC666" s="0" t="n">
        <v>-2.99386759125385</v>
      </c>
      <c r="CD666" s="0" t="n">
        <v>0.00495599400610971</v>
      </c>
      <c r="CE666" s="0" t="n">
        <v>-0.473780518443434</v>
      </c>
      <c r="CF666" s="0" t="n">
        <v>-0.0911127462635838</v>
      </c>
      <c r="CG666" s="24" t="str">
        <f aca="false">$BH$52</f>
        <v>log (Whβ) NTT</v>
      </c>
      <c r="CH666" s="0" t="n">
        <v>-0.179729234462904</v>
      </c>
      <c r="CI666" s="0" t="n">
        <v>0.085088759379295</v>
      </c>
      <c r="CJ666" s="0" t="n">
        <v>-2.11225590517469</v>
      </c>
      <c r="CK666" s="0" t="n">
        <v>0.0416683694143035</v>
      </c>
      <c r="CL666" s="0" t="n">
        <v>-0.352297236910922</v>
      </c>
      <c r="CM666" s="0" t="n">
        <v>-0.00716123201488705</v>
      </c>
      <c r="CN666" s="24" t="str">
        <f aca="false">$BP$52</f>
        <v>log (σHβ) (Km s-¹)</v>
      </c>
      <c r="CO666" s="0" t="n">
        <v>0.797281523518743</v>
      </c>
      <c r="CP666" s="0" t="n">
        <v>0.335810230244319</v>
      </c>
      <c r="CQ666" s="0" t="n">
        <v>2.37420260525917</v>
      </c>
      <c r="CR666" s="0" t="n">
        <v>0.0232029279062214</v>
      </c>
      <c r="CS666" s="0" t="n">
        <v>0.115550512712177</v>
      </c>
      <c r="CT666" s="0" t="n">
        <v>1.47901253432531</v>
      </c>
      <c r="CU666" s="24" t="str">
        <f aca="false">$BP$52</f>
        <v>log (σHβ) (Km s-¹)</v>
      </c>
      <c r="CV666" s="0" t="n">
        <v>1.10393277326717</v>
      </c>
      <c r="CW666" s="0" t="n">
        <v>0.280548501070734</v>
      </c>
      <c r="CX666" s="0" t="n">
        <v>3.93490882700828</v>
      </c>
      <c r="CY666" s="0" t="n">
        <v>0.000376730954015144</v>
      </c>
      <c r="CZ666" s="0" t="n">
        <v>0.534389036984725</v>
      </c>
      <c r="DA666" s="0" t="n">
        <v>1.67347650954962</v>
      </c>
    </row>
    <row r="667" customFormat="false" ht="12.8" hidden="false" customHeight="false" outlineLevel="0" collapsed="false">
      <c r="BS667" s="24"/>
      <c r="BZ667" s="24"/>
      <c r="CG667" s="24"/>
      <c r="CN667" s="24"/>
    </row>
    <row r="668" customFormat="false" ht="12.8" hidden="false" customHeight="false" outlineLevel="0" collapsed="false">
      <c r="BS668" s="24"/>
      <c r="BZ668" s="46" t="str">
        <f aca="false">$BG$52</f>
        <v>log (σHβ) (Km s-¹)</v>
      </c>
      <c r="CA668" s="46" t="str">
        <f aca="false">$BH$52</f>
        <v>log (Whβ) NTT</v>
      </c>
      <c r="CB668" s="46" t="s">
        <v>157</v>
      </c>
      <c r="CC668" s="46" t="str">
        <f aca="false">$BF$52</f>
        <v>log (R)</v>
      </c>
      <c r="CD668" s="46" t="s">
        <v>133</v>
      </c>
      <c r="CE668" s="26" t="s">
        <v>158</v>
      </c>
      <c r="CF668" s="46"/>
      <c r="CG668" s="46" t="str">
        <f aca="false">$BG$52</f>
        <v>log (σHβ) (Km s-¹)</v>
      </c>
      <c r="CH668" s="46" t="str">
        <f aca="false">$BH$52</f>
        <v>log (Whβ) NTT</v>
      </c>
      <c r="CI668" s="46" t="s">
        <v>157</v>
      </c>
      <c r="CJ668" s="46" t="str">
        <f aca="false">$BI$52</f>
        <v>log (r)</v>
      </c>
      <c r="CK668" s="46" t="s">
        <v>133</v>
      </c>
      <c r="CL668" s="26" t="s">
        <v>158</v>
      </c>
      <c r="CM668" s="46"/>
      <c r="CN668" s="46" t="str">
        <f aca="false">$BO$52</f>
        <v>log(O/H)</v>
      </c>
      <c r="CO668" s="46" t="str">
        <f aca="false">$BP$52</f>
        <v>log (σHβ) (Km s-¹)</v>
      </c>
      <c r="CP668" s="46" t="s">
        <v>157</v>
      </c>
      <c r="CQ668" s="0" t="str">
        <f aca="false">$BJ$94</f>
        <v>log (R)</v>
      </c>
      <c r="CR668" s="0" t="s">
        <v>133</v>
      </c>
      <c r="CS668" s="26" t="s">
        <v>158</v>
      </c>
      <c r="CU668" s="0" t="str">
        <f aca="false">$BO$52</f>
        <v>log(O/H)</v>
      </c>
      <c r="CV668" s="0" t="str">
        <f aca="false">$BP$52</f>
        <v>log (σHβ) (Km s-¹)</v>
      </c>
      <c r="CW668" s="0" t="s">
        <v>157</v>
      </c>
      <c r="CX668" s="0" t="str">
        <f aca="false">$BN$94</f>
        <v>log (r)</v>
      </c>
      <c r="CY668" s="0" t="s">
        <v>133</v>
      </c>
      <c r="CZ668" s="26" t="s">
        <v>158</v>
      </c>
    </row>
    <row r="669" customFormat="false" ht="12.8" hidden="false" customHeight="false" outlineLevel="0" collapsed="false">
      <c r="BZ669" s="0" t="n">
        <f aca="false" t="array" ref="BZ669:CA707">$BG$53:$BH$91</f>
        <v>1.18752072083646</v>
      </c>
      <c r="CA669" s="0" t="n">
        <v>1.63346845557959</v>
      </c>
      <c r="CB669" s="0" t="n">
        <f aca="false" t="array" ref="CB669:CB707">MMULT($BZ$669:$CA$707 , $CA$665:$CA$666) + $CA$664</f>
        <v>2.56880029874934</v>
      </c>
      <c r="CC669" s="0" t="n">
        <f aca="false" t="array" ref="CC669:CC707">$BF$53:$BF$91</f>
        <v>2.62956092768934</v>
      </c>
      <c r="CD669" s="0" t="n">
        <f aca="false" t="array" ref="CD669:CD707">$CC$669:$CC$707 - $CB$669:$CB$707</f>
        <v>0.0607606289400047</v>
      </c>
      <c r="CE669" s="20" t="n">
        <f aca="false">(CD669)^2</f>
        <v>0.00369185402918493</v>
      </c>
      <c r="CG669" s="0" t="n">
        <f aca="false" t="array" ref="CG669:CH707">$BG$53:$BH$91</f>
        <v>1.18752072083646</v>
      </c>
      <c r="CH669" s="0" t="n">
        <v>1.63346845557959</v>
      </c>
      <c r="CI669" s="0" t="n">
        <f aca="false" t="array" ref="CI669:CI707">MMULT($CG$669:$CH$707 , $CH$665:$CH$666) + $CH$664</f>
        <v>1.77515097363062</v>
      </c>
      <c r="CJ669" s="0" t="n">
        <f aca="false" t="array" ref="CJ669:CJ707">$BI$53:$BI$91</f>
        <v>2.05463340928398</v>
      </c>
      <c r="CK669" s="0" t="n">
        <f aca="false" t="array" ref="CK669:CK707">$CJ$669:$CJ$707 - $CI$669:$CI$707</f>
        <v>0.279482435653356</v>
      </c>
      <c r="CL669" s="20" t="n">
        <f aca="false">(CK669)^2</f>
        <v>0.0781104318387322</v>
      </c>
      <c r="CN669" s="0" t="n">
        <f aca="false" t="array" ref="CN669:CO706">$BO$53:$BP$90</f>
        <v>7.73</v>
      </c>
      <c r="CO669" s="0" t="n">
        <v>1.18752072083646</v>
      </c>
      <c r="CP669" s="0" t="n">
        <f aca="false" t="array" ref="CP669:CP706">MMULT($CN$669:$CO$706 , $CO$665:$CO$666) + $CO$664</f>
        <v>2.547998059229</v>
      </c>
      <c r="CQ669" s="0" t="n">
        <f aca="false" t="array" ref="CQ669:CQ706">$BJ$95:$BJ$132</f>
        <v>2.62956092768934</v>
      </c>
      <c r="CR669" s="0" t="n">
        <f aca="false" t="array" ref="CR669:CR706">$CQ$669:$CQ$706 - $CP$669:$CP$706</f>
        <v>0.0815628684603431</v>
      </c>
      <c r="CS669" s="20" t="n">
        <f aca="false">(CR669)^2</f>
        <v>0.00665250151147923</v>
      </c>
      <c r="CU669" s="0" t="n">
        <f aca="false" t="array" ref="CU669:CV706">$BO$53:$BP$90</f>
        <v>7.73</v>
      </c>
      <c r="CV669" s="0" t="n">
        <v>1.18752072083646</v>
      </c>
      <c r="CW669" s="0" t="n">
        <f aca="false" t="array" ref="CW669:CW706">MMULT($CU$669:$CV$706 , $CV$665:$CV$666) + $CV$664</f>
        <v>1.77381358660245</v>
      </c>
      <c r="CX669" s="0" t="n">
        <f aca="false" t="array" ref="CX669:CX706">$BN$95:$BN$132</f>
        <v>2.05463340928398</v>
      </c>
      <c r="CY669" s="0" t="n">
        <f aca="false" t="array" ref="CY669:CY706">$CX$669:$CX$706 - $CW$669:$CW$706</f>
        <v>0.280819822681529</v>
      </c>
      <c r="CZ669" s="20" t="n">
        <f aca="false">(CY669)^2</f>
        <v>0.0788597728108854</v>
      </c>
    </row>
    <row r="670" customFormat="false" ht="12.8" hidden="false" customHeight="false" outlineLevel="0" collapsed="false">
      <c r="BZ670" s="0" t="n">
        <v>1.32633586092875</v>
      </c>
      <c r="CA670" s="0" t="n">
        <v>1.92427928606188</v>
      </c>
      <c r="CB670" s="0" t="n">
        <v>2.57130012660446</v>
      </c>
      <c r="CC670" s="0" t="n">
        <v>2.78221676211721</v>
      </c>
      <c r="CD670" s="0" t="n">
        <v>0.210916635512753</v>
      </c>
      <c r="CE670" s="20" t="n">
        <f aca="false">(CD670)^2</f>
        <v>0.0444858271360194</v>
      </c>
      <c r="CG670" s="0" t="n">
        <v>1.32633586092875</v>
      </c>
      <c r="CH670" s="0" t="n">
        <v>1.92427928606188</v>
      </c>
      <c r="CI670" s="0" t="n">
        <v>1.88058657196016</v>
      </c>
      <c r="CJ670" s="0" t="n">
        <v>2.08700408042741</v>
      </c>
      <c r="CK670" s="0" t="n">
        <v>0.206417508467252</v>
      </c>
      <c r="CL670" s="20" t="n">
        <f aca="false">(CK670)^2</f>
        <v>0.042608187801828</v>
      </c>
      <c r="CN670" s="0" t="n">
        <v>8.18</v>
      </c>
      <c r="CO670" s="0" t="n">
        <v>1.32633586092875</v>
      </c>
      <c r="CP670" s="0" t="n">
        <v>2.64858848622652</v>
      </c>
      <c r="CQ670" s="0" t="n">
        <v>2.78221676211721</v>
      </c>
      <c r="CR670" s="0" t="n">
        <v>0.133628275890693</v>
      </c>
      <c r="CS670" s="20" t="n">
        <f aca="false">(CR670)^2</f>
        <v>0.0178565161175192</v>
      </c>
      <c r="CU670" s="0" t="n">
        <v>8.18</v>
      </c>
      <c r="CV670" s="0" t="n">
        <v>1.32633586092875</v>
      </c>
      <c r="CW670" s="0" t="n">
        <v>1.94294104207676</v>
      </c>
      <c r="CX670" s="0" t="n">
        <v>2.08700408042741</v>
      </c>
      <c r="CY670" s="0" t="n">
        <v>0.144063038350654</v>
      </c>
      <c r="CZ670" s="20" t="n">
        <f aca="false">(CY670)^2</f>
        <v>0.0207541590188221</v>
      </c>
    </row>
    <row r="671" customFormat="false" ht="12.8" hidden="false" customHeight="false" outlineLevel="0" collapsed="false">
      <c r="BZ671" s="0" t="n">
        <v>1.52762990087134</v>
      </c>
      <c r="CA671" s="0" t="n">
        <v>2.10037054511756</v>
      </c>
      <c r="CB671" s="0" t="n">
        <v>2.64429674605269</v>
      </c>
      <c r="CC671" s="0" t="n">
        <v>2.87283479667699</v>
      </c>
      <c r="CD671" s="0" t="n">
        <v>0.228538050624304</v>
      </c>
      <c r="CE671" s="20" t="n">
        <f aca="false">(CD671)^2</f>
        <v>0.052229640583157</v>
      </c>
      <c r="CG671" s="0" t="n">
        <v>1.52762990087134</v>
      </c>
      <c r="CH671" s="0" t="n">
        <v>2.10037054511756</v>
      </c>
      <c r="CI671" s="0" t="n">
        <v>2.07762062524125</v>
      </c>
      <c r="CJ671" s="0" t="n">
        <v>2.3176102420111</v>
      </c>
      <c r="CK671" s="0" t="n">
        <v>0.239989616769845</v>
      </c>
      <c r="CL671" s="20" t="n">
        <f aca="false">(CK671)^2</f>
        <v>0.0575950161573373</v>
      </c>
      <c r="CN671" s="0" t="n">
        <v>8.08</v>
      </c>
      <c r="CO671" s="0" t="n">
        <v>1.52762990087134</v>
      </c>
      <c r="CP671" s="0" t="n">
        <v>2.81131746493002</v>
      </c>
      <c r="CQ671" s="0" t="n">
        <v>2.87283479667699</v>
      </c>
      <c r="CR671" s="0" t="n">
        <v>0.0615173317469742</v>
      </c>
      <c r="CS671" s="20" t="n">
        <f aca="false">(CR671)^2</f>
        <v>0.00378438210526727</v>
      </c>
      <c r="CU671" s="0" t="n">
        <v>8.08</v>
      </c>
      <c r="CV671" s="0" t="n">
        <v>1.52762990087134</v>
      </c>
      <c r="CW671" s="0" t="n">
        <v>2.16162615807701</v>
      </c>
      <c r="CX671" s="0" t="n">
        <v>2.3176102420111</v>
      </c>
      <c r="CY671" s="0" t="n">
        <v>0.155984083934091</v>
      </c>
      <c r="CZ671" s="20" t="n">
        <f aca="false">(CY671)^2</f>
        <v>0.0243310344407575</v>
      </c>
    </row>
    <row r="672" customFormat="false" ht="12.8" hidden="false" customHeight="false" outlineLevel="0" collapsed="false">
      <c r="BZ672" s="0" t="n">
        <v>1.54530711646582</v>
      </c>
      <c r="CA672" s="0" t="n">
        <v>1.43136376415899</v>
      </c>
      <c r="CB672" s="0" t="n">
        <v>2.84403361029417</v>
      </c>
      <c r="CC672" s="0" t="n">
        <v>2.8057379010057</v>
      </c>
      <c r="CD672" s="0" t="n">
        <v>-0.0382957092884673</v>
      </c>
      <c r="CE672" s="20" t="n">
        <f aca="false">(CD672)^2</f>
        <v>0.0014665613499068</v>
      </c>
      <c r="CG672" s="0" t="n">
        <v>1.54530711646582</v>
      </c>
      <c r="CH672" s="0" t="n">
        <v>1.43136376415899</v>
      </c>
      <c r="CI672" s="0" t="n">
        <v>2.21794314027897</v>
      </c>
      <c r="CJ672" s="0" t="n">
        <v>2.39479758741265</v>
      </c>
      <c r="CK672" s="0" t="n">
        <v>0.176854447133681</v>
      </c>
      <c r="CL672" s="20" t="n">
        <f aca="false">(CK672)^2</f>
        <v>0.0312774954709601</v>
      </c>
      <c r="CN672" s="0" t="n">
        <v>8.36</v>
      </c>
      <c r="CO672" s="0" t="n">
        <v>1.54530711646582</v>
      </c>
      <c r="CP672" s="0" t="n">
        <v>2.81913649469483</v>
      </c>
      <c r="CQ672" s="0" t="n">
        <v>2.8057379010057</v>
      </c>
      <c r="CR672" s="0" t="n">
        <v>-0.0133985936891321</v>
      </c>
      <c r="CS672" s="20" t="n">
        <f aca="false">(CR672)^2</f>
        <v>0.000179522312846451</v>
      </c>
      <c r="CU672" s="0" t="n">
        <v>8.36</v>
      </c>
      <c r="CV672" s="0" t="n">
        <v>1.54530711646582</v>
      </c>
      <c r="CW672" s="0" t="n">
        <v>2.19102453662789</v>
      </c>
      <c r="CX672" s="0" t="n">
        <v>2.39479758741265</v>
      </c>
      <c r="CY672" s="0" t="n">
        <v>0.203773050784761</v>
      </c>
      <c r="CZ672" s="20" t="n">
        <f aca="false">(CY672)^2</f>
        <v>0.0415234562261287</v>
      </c>
    </row>
    <row r="673" customFormat="false" ht="12.8" hidden="false" customHeight="false" outlineLevel="0" collapsed="false">
      <c r="BZ673" s="0" t="n">
        <v>1.44247976906445</v>
      </c>
      <c r="CA673" s="0" t="n">
        <v>2.26717172840301</v>
      </c>
      <c r="CB673" s="0" t="n">
        <v>2.54526657497519</v>
      </c>
      <c r="CC673" s="0" t="n">
        <v>2.72333943354249</v>
      </c>
      <c r="CD673" s="0" t="n">
        <v>0.1780728585673</v>
      </c>
      <c r="CE673" s="20" t="n">
        <f aca="false">(CD673)^2</f>
        <v>0.0317099429583297</v>
      </c>
      <c r="CG673" s="0" t="n">
        <v>1.44247976906445</v>
      </c>
      <c r="CH673" s="0" t="n">
        <v>2.26717172840301</v>
      </c>
      <c r="CI673" s="0" t="n">
        <v>1.95090562418265</v>
      </c>
      <c r="CJ673" s="0" t="n">
        <v>2.41617635379349</v>
      </c>
      <c r="CK673" s="0" t="n">
        <v>0.465270729610837</v>
      </c>
      <c r="CL673" s="20" t="n">
        <f aca="false">(CK673)^2</f>
        <v>0.216476851832601</v>
      </c>
      <c r="CN673" s="0" t="n">
        <v>7.98</v>
      </c>
      <c r="CO673" s="0" t="n">
        <v>1.44247976906445</v>
      </c>
      <c r="CP673" s="0" t="n">
        <v>2.74566979797803</v>
      </c>
      <c r="CQ673" s="0" t="n">
        <v>2.72333943354249</v>
      </c>
      <c r="CR673" s="0" t="n">
        <v>-0.0223303644355362</v>
      </c>
      <c r="CS673" s="20" t="n">
        <f aca="false">(CR673)^2</f>
        <v>0.000498645175823858</v>
      </c>
      <c r="CU673" s="0" t="n">
        <v>7.98</v>
      </c>
      <c r="CV673" s="0" t="n">
        <v>1.44247976906445</v>
      </c>
      <c r="CW673" s="0" t="n">
        <v>2.06409616517164</v>
      </c>
      <c r="CX673" s="0" t="n">
        <v>2.41617635379349</v>
      </c>
      <c r="CY673" s="0" t="n">
        <v>0.352080188621848</v>
      </c>
      <c r="CZ673" s="20" t="n">
        <f aca="false">(CY673)^2</f>
        <v>0.123960459219996</v>
      </c>
    </row>
    <row r="674" customFormat="false" ht="12.8" hidden="false" customHeight="false" outlineLevel="0" collapsed="false">
      <c r="BZ674" s="0" t="n">
        <v>1.53781909507327</v>
      </c>
      <c r="CA674" s="0" t="n">
        <v>1.93449845124357</v>
      </c>
      <c r="CB674" s="0" t="n">
        <v>2.69735931588402</v>
      </c>
      <c r="CC674" s="0" t="n">
        <v>2.52960348518892</v>
      </c>
      <c r="CD674" s="0" t="n">
        <v>-0.167755830695103</v>
      </c>
      <c r="CE674" s="20" t="n">
        <f aca="false">(CD674)^2</f>
        <v>0.0281420187322039</v>
      </c>
      <c r="CG674" s="0" t="n">
        <v>1.53781909507327</v>
      </c>
      <c r="CH674" s="0" t="n">
        <v>1.93449845124357</v>
      </c>
      <c r="CI674" s="0" t="n">
        <v>2.11900826075838</v>
      </c>
      <c r="CJ674" s="0" t="n">
        <v>2.17640387683549</v>
      </c>
      <c r="CK674" s="0" t="n">
        <v>0.0573956160771085</v>
      </c>
      <c r="CL674" s="20" t="n">
        <f aca="false">(CK674)^2</f>
        <v>0.00329425674487084</v>
      </c>
      <c r="CN674" s="0" t="n">
        <v>8.25</v>
      </c>
      <c r="CO674" s="0" t="n">
        <v>1.53781909507327</v>
      </c>
      <c r="CP674" s="0" t="n">
        <v>2.81563148943995</v>
      </c>
      <c r="CQ674" s="0" t="n">
        <v>2.52960348518892</v>
      </c>
      <c r="CR674" s="0" t="n">
        <v>-0.286028004251031</v>
      </c>
      <c r="CS674" s="20" t="n">
        <f aca="false">(CR674)^2</f>
        <v>0.0818120192158276</v>
      </c>
      <c r="CU674" s="0" t="n">
        <v>8.25</v>
      </c>
      <c r="CV674" s="0" t="n">
        <v>1.53781909507327</v>
      </c>
      <c r="CW674" s="0" t="n">
        <v>2.17887529547443</v>
      </c>
      <c r="CX674" s="0" t="n">
        <v>2.17640387683549</v>
      </c>
      <c r="CY674" s="0" t="n">
        <v>-0.00247141863894251</v>
      </c>
      <c r="CZ674" s="20" t="n">
        <f aca="false">(CY674)^2</f>
        <v>6.10791008891246E-006</v>
      </c>
    </row>
    <row r="675" customFormat="false" ht="12.8" hidden="false" customHeight="false" outlineLevel="0" collapsed="false">
      <c r="BZ675" s="0" t="n">
        <v>1.3541084391474</v>
      </c>
      <c r="CA675" s="0" t="n">
        <v>1.70757017609794</v>
      </c>
      <c r="CB675" s="0" t="n">
        <v>2.64944238137754</v>
      </c>
      <c r="CC675" s="0" t="n">
        <v>2.40587460839648</v>
      </c>
      <c r="CD675" s="0" t="n">
        <v>-0.243567772981059</v>
      </c>
      <c r="CE675" s="20" t="n">
        <f aca="false">(CD675)^2</f>
        <v>0.0593252600349526</v>
      </c>
      <c r="CG675" s="0" t="n">
        <v>1.3541084391474</v>
      </c>
      <c r="CH675" s="0" t="n">
        <v>1.70757017609794</v>
      </c>
      <c r="CI675" s="0" t="n">
        <v>1.95108694528157</v>
      </c>
      <c r="CJ675" s="0" t="n">
        <v>2.06468635947822</v>
      </c>
      <c r="CK675" s="0" t="n">
        <v>0.113599414196648</v>
      </c>
      <c r="CL675" s="20" t="n">
        <f aca="false">(CK675)^2</f>
        <v>0.0129048269058216</v>
      </c>
      <c r="CN675" s="0" t="n">
        <v>8.09</v>
      </c>
      <c r="CO675" s="0" t="n">
        <v>1.3541084391474</v>
      </c>
      <c r="CP675" s="0" t="n">
        <v>2.67274791357727</v>
      </c>
      <c r="CQ675" s="0" t="n">
        <v>2.40587460839648</v>
      </c>
      <c r="CR675" s="0" t="n">
        <v>-0.266873305180792</v>
      </c>
      <c r="CS675" s="20" t="n">
        <f aca="false">(CR675)^2</f>
        <v>0.07122136101812</v>
      </c>
      <c r="CU675" s="0" t="n">
        <v>8.09</v>
      </c>
      <c r="CV675" s="0" t="n">
        <v>1.3541084391474</v>
      </c>
      <c r="CW675" s="0" t="n">
        <v>1.9704231267903</v>
      </c>
      <c r="CX675" s="0" t="n">
        <v>2.06468635947822</v>
      </c>
      <c r="CY675" s="0" t="n">
        <v>0.0942632326879207</v>
      </c>
      <c r="CZ675" s="20" t="n">
        <f aca="false">(CY675)^2</f>
        <v>0.00888555703677708</v>
      </c>
    </row>
    <row r="676" customFormat="false" ht="12.8" hidden="false" customHeight="false" outlineLevel="0" collapsed="false">
      <c r="BZ676" s="0" t="n">
        <v>1.42488163663107</v>
      </c>
      <c r="CA676" s="0" t="n">
        <v>0.778151250383644</v>
      </c>
      <c r="CB676" s="0" t="n">
        <v>2.95510546114429</v>
      </c>
      <c r="CC676" s="0" t="n">
        <v>3.06295399039048</v>
      </c>
      <c r="CD676" s="0" t="n">
        <v>0.10784852924619</v>
      </c>
      <c r="CE676" s="20" t="n">
        <f aca="false">(CD676)^2</f>
        <v>0.0116313052605662</v>
      </c>
      <c r="CG676" s="0" t="n">
        <v>1.42488163663107</v>
      </c>
      <c r="CH676" s="0" t="n">
        <v>0.778151250383644</v>
      </c>
      <c r="CI676" s="0" t="n">
        <v>2.19853353983956</v>
      </c>
      <c r="CJ676" s="0" t="n">
        <v>2.28534020026503</v>
      </c>
      <c r="CK676" s="0" t="n">
        <v>0.08680666042547</v>
      </c>
      <c r="CL676" s="20" t="n">
        <f aca="false">(CK676)^2</f>
        <v>0.00753539629422286</v>
      </c>
      <c r="CN676" s="0" t="n">
        <v>7.96</v>
      </c>
      <c r="CO676" s="0" t="n">
        <v>1.42488163663107</v>
      </c>
      <c r="CP676" s="0" t="n">
        <v>2.73208732411302</v>
      </c>
      <c r="CQ676" s="0" t="n">
        <v>3.06295399039048</v>
      </c>
      <c r="CR676" s="0" t="n">
        <v>0.330866666277458</v>
      </c>
      <c r="CS676" s="20" t="n">
        <f aca="false">(CR676)^2</f>
        <v>0.109472750853559</v>
      </c>
      <c r="CU676" s="0" t="n">
        <v>7.96</v>
      </c>
      <c r="CV676" s="0" t="n">
        <v>1.42488163663107</v>
      </c>
      <c r="CW676" s="0" t="n">
        <v>2.04396301567899</v>
      </c>
      <c r="CX676" s="0" t="n">
        <v>2.28534020026503</v>
      </c>
      <c r="CY676" s="0" t="n">
        <v>0.241377184586037</v>
      </c>
      <c r="CZ676" s="20" t="n">
        <f aca="false">(CY676)^2</f>
        <v>0.0582629452386818</v>
      </c>
    </row>
    <row r="677" customFormat="false" ht="12.8" hidden="false" customHeight="false" outlineLevel="0" collapsed="false">
      <c r="BZ677" s="0" t="n">
        <v>1.43775056282039</v>
      </c>
      <c r="CA677" s="0" t="n">
        <v>1.47712125471966</v>
      </c>
      <c r="CB677" s="0" t="n">
        <v>2.76553017901296</v>
      </c>
      <c r="CC677" s="0" t="n">
        <v>2.96671683363053</v>
      </c>
      <c r="CD677" s="0" t="n">
        <v>0.201186654617566</v>
      </c>
      <c r="CE677" s="20" t="n">
        <f aca="false">(CD677)^2</f>
        <v>0.0404760699962079</v>
      </c>
      <c r="CG677" s="0" t="n">
        <v>1.43775056282039</v>
      </c>
      <c r="CH677" s="0" t="n">
        <v>1.47712125471966</v>
      </c>
      <c r="CI677" s="0" t="n">
        <v>2.08752811266727</v>
      </c>
      <c r="CJ677" s="0" t="n">
        <v>2.24404692251784</v>
      </c>
      <c r="CK677" s="0" t="n">
        <v>0.156518809850569</v>
      </c>
      <c r="CL677" s="20" t="n">
        <f aca="false">(CK677)^2</f>
        <v>0.0244981378370387</v>
      </c>
      <c r="CN677" s="0" t="n">
        <v>8.01</v>
      </c>
      <c r="CO677" s="0" t="n">
        <v>1.43775056282039</v>
      </c>
      <c r="CP677" s="0" t="n">
        <v>2.74122700125988</v>
      </c>
      <c r="CQ677" s="0" t="n">
        <v>2.96671683363053</v>
      </c>
      <c r="CR677" s="0" t="n">
        <v>0.225489832370651</v>
      </c>
      <c r="CS677" s="20" t="n">
        <f aca="false">(CR677)^2</f>
        <v>0.0508456645025443</v>
      </c>
      <c r="CU677" s="0" t="n">
        <v>8.01</v>
      </c>
      <c r="CV677" s="0" t="n">
        <v>1.43775056282039</v>
      </c>
      <c r="CW677" s="0" t="n">
        <v>2.059934430934</v>
      </c>
      <c r="CX677" s="0" t="n">
        <v>2.24404692251784</v>
      </c>
      <c r="CY677" s="0" t="n">
        <v>0.184112491583839</v>
      </c>
      <c r="CZ677" s="20" t="n">
        <f aca="false">(CY677)^2</f>
        <v>0.0338974095572093</v>
      </c>
    </row>
    <row r="678" customFormat="false" ht="12.8" hidden="false" customHeight="false" outlineLevel="0" collapsed="false">
      <c r="BZ678" s="0" t="n">
        <v>1.31386722036915</v>
      </c>
      <c r="CA678" s="0" t="n">
        <v>2.22530928172586</v>
      </c>
      <c r="CB678" s="0" t="n">
        <v>2.47867283853747</v>
      </c>
      <c r="CC678" s="0" t="n">
        <v>2.33023762449035</v>
      </c>
      <c r="CD678" s="0" t="n">
        <v>-0.148435214047117</v>
      </c>
      <c r="CE678" s="20" t="n">
        <f aca="false">(CD678)^2</f>
        <v>0.0220330127692134</v>
      </c>
      <c r="CG678" s="0" t="n">
        <v>1.31386722036915</v>
      </c>
      <c r="CH678" s="0" t="n">
        <v>2.22530928172586</v>
      </c>
      <c r="CI678" s="0" t="n">
        <v>1.81231751454101</v>
      </c>
      <c r="CJ678" s="0" t="n">
        <v>1.60008622473531</v>
      </c>
      <c r="CK678" s="0" t="n">
        <v>-0.212231289805702</v>
      </c>
      <c r="CL678" s="20" t="n">
        <f aca="false">(CK678)^2</f>
        <v>0.0450421203725917</v>
      </c>
      <c r="CN678" s="0" t="n">
        <v>7.99</v>
      </c>
      <c r="CO678" s="0" t="n">
        <v>1.31386722036915</v>
      </c>
      <c r="CP678" s="0" t="n">
        <v>2.64290529322433</v>
      </c>
      <c r="CQ678" s="0" t="n">
        <v>2.33023762449035</v>
      </c>
      <c r="CR678" s="0" t="n">
        <v>-0.312667668733976</v>
      </c>
      <c r="CS678" s="20" t="n">
        <f aca="false">(CR678)^2</f>
        <v>0.0977610710715391</v>
      </c>
      <c r="CU678" s="0" t="n">
        <v>7.99</v>
      </c>
      <c r="CV678" s="0" t="n">
        <v>1.31386722036915</v>
      </c>
      <c r="CW678" s="0" t="n">
        <v>1.92246955478905</v>
      </c>
      <c r="CX678" s="0" t="n">
        <v>1.60008622473531</v>
      </c>
      <c r="CY678" s="0" t="n">
        <v>-0.322383330053742</v>
      </c>
      <c r="CZ678" s="20" t="n">
        <f aca="false">(CY678)^2</f>
        <v>0.10393101149654</v>
      </c>
    </row>
    <row r="679" customFormat="false" ht="12.8" hidden="false" customHeight="false" outlineLevel="0" collapsed="false">
      <c r="BZ679" s="0" t="n">
        <v>1.51719589794997</v>
      </c>
      <c r="CA679" s="0" t="n">
        <v>2.32428245529769</v>
      </c>
      <c r="CB679" s="0" t="n">
        <v>2.57469176079021</v>
      </c>
      <c r="CC679" s="0" t="n">
        <v>2.28501935429668</v>
      </c>
      <c r="CD679" s="0" t="n">
        <v>-0.289672406493532</v>
      </c>
      <c r="CE679" s="20" t="n">
        <f aca="false">(CD679)^2</f>
        <v>0.0839101030837541</v>
      </c>
      <c r="CG679" s="0" t="n">
        <v>1.51719589794997</v>
      </c>
      <c r="CH679" s="0" t="n">
        <v>2.32428245529769</v>
      </c>
      <c r="CI679" s="0" t="n">
        <v>2.0255234197339</v>
      </c>
      <c r="CJ679" s="0" t="n">
        <v>1.37561164684667</v>
      </c>
      <c r="CK679" s="0" t="n">
        <v>-0.649911772887225</v>
      </c>
      <c r="CL679" s="20" t="n">
        <f aca="false">(CK679)^2</f>
        <v>0.422385312537416</v>
      </c>
      <c r="CN679" s="0" t="n">
        <v>8.07</v>
      </c>
      <c r="CO679" s="0" t="n">
        <v>1.51719589794997</v>
      </c>
      <c r="CP679" s="0" t="n">
        <v>2.80322272317075</v>
      </c>
      <c r="CQ679" s="0" t="n">
        <v>2.28501935429668</v>
      </c>
      <c r="CR679" s="0" t="n">
        <v>-0.51820336887407</v>
      </c>
      <c r="CS679" s="20" t="n">
        <f aca="false">(CR679)^2</f>
        <v>0.268534731512436</v>
      </c>
      <c r="CU679" s="0" t="n">
        <v>8.07</v>
      </c>
      <c r="CV679" s="0" t="n">
        <v>1.51719589794997</v>
      </c>
      <c r="CW679" s="0" t="n">
        <v>2.14975472312017</v>
      </c>
      <c r="CX679" s="0" t="n">
        <v>1.37561164684667</v>
      </c>
      <c r="CY679" s="0" t="n">
        <v>-0.774143076273502</v>
      </c>
      <c r="CZ679" s="20" t="n">
        <f aca="false">(CY679)^2</f>
        <v>0.5992975025422</v>
      </c>
    </row>
    <row r="680" customFormat="false" ht="12.8" hidden="false" customHeight="false" outlineLevel="0" collapsed="false">
      <c r="BZ680" s="0" t="n">
        <v>1.32221929473392</v>
      </c>
      <c r="CA680" s="0" t="n">
        <v>1.74036268949424</v>
      </c>
      <c r="CB680" s="0" t="n">
        <v>2.62073679718793</v>
      </c>
      <c r="CC680" s="0" t="n">
        <v>2.18948247828467</v>
      </c>
      <c r="CD680" s="0" t="n">
        <v>-0.431254318903258</v>
      </c>
      <c r="CE680" s="20" t="n">
        <f aca="false">(CD680)^2</f>
        <v>0.185980287572713</v>
      </c>
      <c r="CG680" s="0" t="n">
        <v>1.32221929473392</v>
      </c>
      <c r="CH680" s="0" t="n">
        <v>1.74036268949424</v>
      </c>
      <c r="CI680" s="0" t="n">
        <v>1.90896508069359</v>
      </c>
      <c r="CJ680" s="0" t="n">
        <v>1.68490801536986</v>
      </c>
      <c r="CK680" s="0" t="n">
        <v>-0.224057065323725</v>
      </c>
      <c r="CL680" s="20" t="n">
        <f aca="false">(CK680)^2</f>
        <v>0.0502015685214799</v>
      </c>
      <c r="CN680" s="0" t="n">
        <v>8.07</v>
      </c>
      <c r="CO680" s="0" t="n">
        <v>1.32221929473392</v>
      </c>
      <c r="CP680" s="0" t="n">
        <v>2.64777147990815</v>
      </c>
      <c r="CQ680" s="0" t="n">
        <v>2.18948247828467</v>
      </c>
      <c r="CR680" s="0" t="n">
        <v>-0.458289001623478</v>
      </c>
      <c r="CS680" s="20" t="n">
        <f aca="false">(CR680)^2</f>
        <v>0.210028809009045</v>
      </c>
      <c r="CU680" s="0" t="n">
        <v>8.07</v>
      </c>
      <c r="CV680" s="0" t="n">
        <v>1.32221929473392</v>
      </c>
      <c r="CW680" s="0" t="n">
        <v>1.93451366080966</v>
      </c>
      <c r="CX680" s="0" t="n">
        <v>1.68490801536986</v>
      </c>
      <c r="CY680" s="0" t="n">
        <v>-0.249605645439804</v>
      </c>
      <c r="CZ680" s="20" t="n">
        <f aca="false">(CY680)^2</f>
        <v>0.0623029782354213</v>
      </c>
    </row>
    <row r="681" customFormat="false" ht="12.8" hidden="false" customHeight="false" outlineLevel="0" collapsed="false">
      <c r="BZ681" s="0" t="n">
        <v>1.23299611039215</v>
      </c>
      <c r="CA681" s="0" t="n">
        <v>1.39794000867204</v>
      </c>
      <c r="CB681" s="0" t="n">
        <v>2.66305177003956</v>
      </c>
      <c r="CC681" s="0" t="n">
        <v>3.01277417174865</v>
      </c>
      <c r="CD681" s="0" t="n">
        <v>0.349722401709093</v>
      </c>
      <c r="CE681" s="20" t="n">
        <f aca="false">(CD681)^2</f>
        <v>0.122305758257176</v>
      </c>
      <c r="CG681" s="0" t="n">
        <v>1.23299611039215</v>
      </c>
      <c r="CH681" s="0" t="n">
        <v>1.39794000867204</v>
      </c>
      <c r="CI681" s="0" t="n">
        <v>1.86914524880702</v>
      </c>
      <c r="CJ681" s="0" t="n">
        <v>1.85057428008802</v>
      </c>
      <c r="CK681" s="0" t="n">
        <v>-0.0185709687190001</v>
      </c>
      <c r="CL681" s="20" t="n">
        <f aca="false">(CK681)^2</f>
        <v>0.00034488087916208</v>
      </c>
      <c r="CN681" s="0" t="n">
        <v>8.27</v>
      </c>
      <c r="CO681" s="0" t="n">
        <v>1.23299611039215</v>
      </c>
      <c r="CP681" s="0" t="n">
        <v>2.57215356383729</v>
      </c>
      <c r="CQ681" s="0" t="n">
        <v>3.01277417174865</v>
      </c>
      <c r="CR681" s="0" t="n">
        <v>0.440620607911358</v>
      </c>
      <c r="CS681" s="20" t="n">
        <f aca="false">(CR681)^2</f>
        <v>0.194146520116175</v>
      </c>
      <c r="CU681" s="0" t="n">
        <v>8.27</v>
      </c>
      <c r="CV681" s="0" t="n">
        <v>1.23299611039215</v>
      </c>
      <c r="CW681" s="0" t="n">
        <v>1.84307720699097</v>
      </c>
      <c r="CX681" s="0" t="n">
        <v>1.85057428008802</v>
      </c>
      <c r="CY681" s="0" t="n">
        <v>0.0074970730970485</v>
      </c>
      <c r="CZ681" s="20" t="n">
        <f aca="false">(CY681)^2</f>
        <v>5.62061050224884E-005</v>
      </c>
    </row>
    <row r="682" customFormat="false" ht="12.8" hidden="false" customHeight="false" outlineLevel="0" collapsed="false">
      <c r="BZ682" s="0" t="n">
        <v>1.23299611039215</v>
      </c>
      <c r="CA682" s="0" t="n">
        <v>2.03742649794062</v>
      </c>
      <c r="CB682" s="0" t="n">
        <v>2.48243096471008</v>
      </c>
      <c r="CC682" s="0" t="n">
        <v>2.23419219759188</v>
      </c>
      <c r="CD682" s="0" t="n">
        <v>-0.248238767118199</v>
      </c>
      <c r="CE682" s="20" t="n">
        <f aca="false">(CD682)^2</f>
        <v>0.0616224855003634</v>
      </c>
      <c r="CG682" s="0" t="n">
        <v>1.23299611039215</v>
      </c>
      <c r="CH682" s="0" t="n">
        <v>2.03742649794062</v>
      </c>
      <c r="CI682" s="0" t="n">
        <v>1.75421083164141</v>
      </c>
      <c r="CJ682" s="0" t="n">
        <v>1.54507120196056</v>
      </c>
      <c r="CK682" s="0" t="n">
        <v>-0.209139629680848</v>
      </c>
      <c r="CL682" s="20" t="n">
        <f aca="false">(CK682)^2</f>
        <v>0.0437393847030423</v>
      </c>
      <c r="CN682" s="0" t="n">
        <v>7.89</v>
      </c>
      <c r="CO682" s="0" t="n">
        <v>1.23299611039215</v>
      </c>
      <c r="CP682" s="0" t="n">
        <v>2.58066921131604</v>
      </c>
      <c r="CQ682" s="0" t="n">
        <v>2.23419219759188</v>
      </c>
      <c r="CR682" s="0" t="n">
        <v>-0.34647701372416</v>
      </c>
      <c r="CS682" s="20" t="n">
        <f aca="false">(CR682)^2</f>
        <v>0.120046321039212</v>
      </c>
      <c r="CU682" s="0" t="n">
        <v>7.89</v>
      </c>
      <c r="CV682" s="0" t="n">
        <v>1.23299611039215</v>
      </c>
      <c r="CW682" s="0" t="n">
        <v>1.82966331431923</v>
      </c>
      <c r="CX682" s="0" t="n">
        <v>1.54507120196056</v>
      </c>
      <c r="CY682" s="0" t="n">
        <v>-0.284592112358665</v>
      </c>
      <c r="CZ682" s="20" t="n">
        <f aca="false">(CY682)^2</f>
        <v>0.0809926704167673</v>
      </c>
    </row>
    <row r="683" customFormat="false" ht="12.8" hidden="false" customHeight="false" outlineLevel="0" collapsed="false">
      <c r="BZ683" s="0" t="n">
        <v>1.3541084391474</v>
      </c>
      <c r="CA683" s="0" t="n">
        <v>1.36172783601759</v>
      </c>
      <c r="CB683" s="0" t="n">
        <v>2.74712438565849</v>
      </c>
      <c r="CC683" s="0" t="n">
        <v>2.51128671835605</v>
      </c>
      <c r="CD683" s="0" t="n">
        <v>-0.235837667302441</v>
      </c>
      <c r="CE683" s="20" t="n">
        <f aca="false">(CD683)^2</f>
        <v>0.0556194053186568</v>
      </c>
      <c r="CG683" s="0" t="n">
        <v>1.3541084391474</v>
      </c>
      <c r="CH683" s="0" t="n">
        <v>1.36172783601759</v>
      </c>
      <c r="CI683" s="0" t="n">
        <v>2.01324492430907</v>
      </c>
      <c r="CJ683" s="0" t="n">
        <v>1.96442405905461</v>
      </c>
      <c r="CK683" s="0" t="n">
        <v>-0.0488208652544631</v>
      </c>
      <c r="CL683" s="20" t="n">
        <f aca="false">(CK683)^2</f>
        <v>0.00238347688419444</v>
      </c>
      <c r="CN683" s="0" t="n">
        <v>8.27</v>
      </c>
      <c r="CO683" s="0" t="n">
        <v>1.3541084391474</v>
      </c>
      <c r="CP683" s="0" t="n">
        <v>2.66871418582418</v>
      </c>
      <c r="CQ683" s="0" t="n">
        <v>2.51128671835605</v>
      </c>
      <c r="CR683" s="0" t="n">
        <v>-0.15742746746813</v>
      </c>
      <c r="CS683" s="20" t="n">
        <f aca="false">(CR683)^2</f>
        <v>0.0247834075134292</v>
      </c>
      <c r="CU683" s="0" t="n">
        <v>8.27</v>
      </c>
      <c r="CV683" s="0" t="n">
        <v>1.3541084391474</v>
      </c>
      <c r="CW683" s="0" t="n">
        <v>1.9767770759506</v>
      </c>
      <c r="CX683" s="0" t="n">
        <v>1.96442405905461</v>
      </c>
      <c r="CY683" s="0" t="n">
        <v>-0.0123530168959902</v>
      </c>
      <c r="CZ683" s="20" t="n">
        <f aca="false">(CY683)^2</f>
        <v>0.00015259702643262</v>
      </c>
    </row>
    <row r="684" customFormat="false" ht="12.8" hidden="false" customHeight="false" outlineLevel="0" collapsed="false">
      <c r="BZ684" s="0" t="n">
        <v>1.48572142648158</v>
      </c>
      <c r="CA684" s="0" t="n">
        <v>1.07918124604762</v>
      </c>
      <c r="CB684" s="0" t="n">
        <v>2.90717578945691</v>
      </c>
      <c r="CC684" s="0" t="n">
        <v>2.98461060088215</v>
      </c>
      <c r="CD684" s="0" t="n">
        <v>0.0774348114252383</v>
      </c>
      <c r="CE684" s="20" t="n">
        <f aca="false">(CD684)^2</f>
        <v>0.00599615002046222</v>
      </c>
      <c r="CG684" s="0" t="n">
        <v>1.48572142648158</v>
      </c>
      <c r="CH684" s="0" t="n">
        <v>1.07918124604762</v>
      </c>
      <c r="CI684" s="0" t="n">
        <v>2.21354751041662</v>
      </c>
      <c r="CJ684" s="0" t="n">
        <v>2.35784156259318</v>
      </c>
      <c r="CK684" s="0" t="n">
        <v>0.144294052176559</v>
      </c>
      <c r="CL684" s="20" t="n">
        <f aca="false">(CK684)^2</f>
        <v>0.0208207734935315</v>
      </c>
      <c r="CN684" s="0" t="n">
        <v>8.49</v>
      </c>
      <c r="CO684" s="0" t="n">
        <v>1.48572142648158</v>
      </c>
      <c r="CP684" s="0" t="n">
        <v>2.7687166771826</v>
      </c>
      <c r="CQ684" s="0" t="n">
        <v>2.98461060088215</v>
      </c>
      <c r="CR684" s="0" t="n">
        <v>0.215893923699545</v>
      </c>
      <c r="CS684" s="20" t="n">
        <f aca="false">(CR684)^2</f>
        <v>0.046610186290385</v>
      </c>
      <c r="CU684" s="0" t="n">
        <v>8.49</v>
      </c>
      <c r="CV684" s="0" t="n">
        <v>1.48572142648158</v>
      </c>
      <c r="CW684" s="0" t="n">
        <v>2.12983490391899</v>
      </c>
      <c r="CX684" s="0" t="n">
        <v>2.35784156259318</v>
      </c>
      <c r="CY684" s="0" t="n">
        <v>0.228006658674191</v>
      </c>
      <c r="CZ684" s="20" t="n">
        <f aca="false">(CY684)^2</f>
        <v>0.051987036399769</v>
      </c>
    </row>
    <row r="685" customFormat="false" ht="12.8" hidden="false" customHeight="false" outlineLevel="0" collapsed="false">
      <c r="BZ685" s="0" t="n">
        <v>1.39967372148104</v>
      </c>
      <c r="CA685" s="0" t="n">
        <v>1.25527250510331</v>
      </c>
      <c r="CB685" s="0" t="n">
        <v>2.80497439943384</v>
      </c>
      <c r="CC685" s="0" t="n">
        <v>2.65208067517048</v>
      </c>
      <c r="CD685" s="0" t="n">
        <v>-0.152893724263364</v>
      </c>
      <c r="CE685" s="20" t="n">
        <f aca="false">(CD685)^2</f>
        <v>0.0233764909191216</v>
      </c>
      <c r="CG685" s="0" t="n">
        <v>1.39967372148104</v>
      </c>
      <c r="CH685" s="0" t="n">
        <v>1.25527250510331</v>
      </c>
      <c r="CI685" s="0" t="n">
        <v>2.08414311105725</v>
      </c>
      <c r="CJ685" s="0" t="n">
        <v>2.04990126579397</v>
      </c>
      <c r="CK685" s="0" t="n">
        <v>-0.0342418452632809</v>
      </c>
      <c r="CL685" s="20" t="n">
        <f aca="false">(CK685)^2</f>
        <v>0.00117250396703447</v>
      </c>
      <c r="CN685" s="0" t="n">
        <v>8.02</v>
      </c>
      <c r="CO685" s="0" t="n">
        <v>1.39967372148104</v>
      </c>
      <c r="CP685" s="0" t="n">
        <v>2.71064494319978</v>
      </c>
      <c r="CQ685" s="0" t="n">
        <v>2.65208067517048</v>
      </c>
      <c r="CR685" s="0" t="n">
        <v>-0.0585642680292975</v>
      </c>
      <c r="CS685" s="20" t="n">
        <f aca="false">(CR685)^2</f>
        <v>0.00342977348980739</v>
      </c>
      <c r="CU685" s="0" t="n">
        <v>8.02</v>
      </c>
      <c r="CV685" s="0" t="n">
        <v>1.39967372148104</v>
      </c>
      <c r="CW685" s="0" t="n">
        <v>2.01825315505257</v>
      </c>
      <c r="CX685" s="0" t="n">
        <v>2.04990126579397</v>
      </c>
      <c r="CY685" s="0" t="n">
        <v>0.0316481107413997</v>
      </c>
      <c r="CZ685" s="20" t="n">
        <f aca="false">(CY685)^2</f>
        <v>0.0010016029134999</v>
      </c>
    </row>
    <row r="686" customFormat="false" ht="12.8" hidden="false" customHeight="false" outlineLevel="0" collapsed="false">
      <c r="BZ686" s="0" t="n">
        <v>1.3384564936046</v>
      </c>
      <c r="CA686" s="0" t="n">
        <v>1.54406804435028</v>
      </c>
      <c r="CB686" s="0" t="n">
        <v>2.68607970359537</v>
      </c>
      <c r="CC686" s="0" t="n">
        <v>3.14327666168951</v>
      </c>
      <c r="CD686" s="0" t="n">
        <v>0.457196958094138</v>
      </c>
      <c r="CE686" s="20" t="n">
        <f aca="false">(CD686)^2</f>
        <v>0.209029058490533</v>
      </c>
      <c r="CG686" s="0" t="n">
        <v>1.3384564936046</v>
      </c>
      <c r="CH686" s="0" t="n">
        <v>1.54406804435028</v>
      </c>
      <c r="CI686" s="0" t="n">
        <v>1.96269145507998</v>
      </c>
      <c r="CJ686" s="0" t="n">
        <v>2.20522175876517</v>
      </c>
      <c r="CK686" s="0" t="n">
        <v>0.242530303685194</v>
      </c>
      <c r="CL686" s="20" t="n">
        <f aca="false">(CK686)^2</f>
        <v>0.0588209482056323</v>
      </c>
      <c r="CN686" s="0" t="n">
        <v>8.5</v>
      </c>
      <c r="CO686" s="0" t="n">
        <v>1.3384564936046</v>
      </c>
      <c r="CP686" s="0" t="n">
        <v>2.65108097115128</v>
      </c>
      <c r="CQ686" s="0" t="n">
        <v>3.14327666168951</v>
      </c>
      <c r="CR686" s="0" t="n">
        <v>0.492195690538232</v>
      </c>
      <c r="CS686" s="20" t="n">
        <f aca="false">(CR686)^2</f>
        <v>0.242256597784407</v>
      </c>
      <c r="CU686" s="0" t="n">
        <v>8.5</v>
      </c>
      <c r="CV686" s="0" t="n">
        <v>1.3384564936046</v>
      </c>
      <c r="CW686" s="0" t="n">
        <v>1.96761731533867</v>
      </c>
      <c r="CX686" s="0" t="n">
        <v>2.20522175876517</v>
      </c>
      <c r="CY686" s="0" t="n">
        <v>0.237604443426498</v>
      </c>
      <c r="CZ686" s="20" t="n">
        <f aca="false">(CY686)^2</f>
        <v>0.0564558715360157</v>
      </c>
    </row>
    <row r="687" customFormat="false" ht="12.8" hidden="false" customHeight="false" outlineLevel="0" collapsed="false">
      <c r="BZ687" s="0" t="n">
        <v>1.25527250510331</v>
      </c>
      <c r="CA687" s="0" t="n">
        <v>1.36172783601759</v>
      </c>
      <c r="CB687" s="0" t="n">
        <v>2.68686213969702</v>
      </c>
      <c r="CC687" s="0" t="n">
        <v>2.72075204192537</v>
      </c>
      <c r="CD687" s="0" t="n">
        <v>0.0338899022283479</v>
      </c>
      <c r="CE687" s="20" t="n">
        <f aca="false">(CD687)^2</f>
        <v>0.00114852547304698</v>
      </c>
      <c r="CG687" s="0" t="n">
        <v>1.25527250510331</v>
      </c>
      <c r="CH687" s="0" t="n">
        <v>1.36172783601759</v>
      </c>
      <c r="CI687" s="0" t="n">
        <v>1.90096103259326</v>
      </c>
      <c r="CJ687" s="0" t="n">
        <v>1.96796675188098</v>
      </c>
      <c r="CK687" s="0" t="n">
        <v>0.0670057192877225</v>
      </c>
      <c r="CL687" s="20" t="n">
        <f aca="false">(CK687)^2</f>
        <v>0.00448976641726506</v>
      </c>
      <c r="CN687" s="0" t="n">
        <v>7.96</v>
      </c>
      <c r="CO687" s="0" t="n">
        <v>1.25527250510331</v>
      </c>
      <c r="CP687" s="0" t="n">
        <v>2.59686109732588</v>
      </c>
      <c r="CQ687" s="0" t="n">
        <v>2.72075204192537</v>
      </c>
      <c r="CR687" s="0" t="n">
        <v>0.123890944599491</v>
      </c>
      <c r="CS687" s="20" t="n">
        <f aca="false">(CR687)^2</f>
        <v>0.0153489661537542</v>
      </c>
      <c r="CU687" s="0" t="n">
        <v>7.96</v>
      </c>
      <c r="CV687" s="0" t="n">
        <v>1.25527250510331</v>
      </c>
      <c r="CW687" s="0" t="n">
        <v>1.85672593674012</v>
      </c>
      <c r="CX687" s="0" t="n">
        <v>1.96796675188098</v>
      </c>
      <c r="CY687" s="0" t="n">
        <v>0.111240815140864</v>
      </c>
      <c r="CZ687" s="20" t="n">
        <f aca="false">(CY687)^2</f>
        <v>0.0123745189532039</v>
      </c>
    </row>
    <row r="688" customFormat="false" ht="12.8" hidden="false" customHeight="false" outlineLevel="0" collapsed="false">
      <c r="BZ688" s="0" t="n">
        <v>1.22010808804006</v>
      </c>
      <c r="CA688" s="0" t="n">
        <v>1</v>
      </c>
      <c r="CB688" s="0" t="n">
        <v>2.76759050034579</v>
      </c>
      <c r="CC688" s="0" t="n">
        <v>2.48769573000203</v>
      </c>
      <c r="CD688" s="0" t="n">
        <v>-0.279894770343759</v>
      </c>
      <c r="CE688" s="20" t="n">
        <f aca="false">(CD688)^2</f>
        <v>0.0783410824657856</v>
      </c>
      <c r="CG688" s="0" t="n">
        <v>1.22010808804006</v>
      </c>
      <c r="CH688" s="0" t="n">
        <v>1</v>
      </c>
      <c r="CI688" s="0" t="n">
        <v>1.92602509085579</v>
      </c>
      <c r="CJ688" s="0" t="n">
        <v>1.83307698166838</v>
      </c>
      <c r="CK688" s="0" t="n">
        <v>-0.0929481091874102</v>
      </c>
      <c r="CL688" s="20" t="n">
        <f aca="false">(CK688)^2</f>
        <v>0.00863935100151474</v>
      </c>
      <c r="CN688" s="0" t="n">
        <v>8.56</v>
      </c>
      <c r="CO688" s="0" t="n">
        <v>1.22010808804006</v>
      </c>
      <c r="CP688" s="0" t="n">
        <v>2.55537939813907</v>
      </c>
      <c r="CQ688" s="0" t="n">
        <v>2.48769573000203</v>
      </c>
      <c r="CR688" s="0" t="n">
        <v>-0.0676836681370405</v>
      </c>
      <c r="CS688" s="20" t="n">
        <f aca="false">(CR688)^2</f>
        <v>0.00458107893248503</v>
      </c>
      <c r="CU688" s="0" t="n">
        <v>8.56</v>
      </c>
      <c r="CV688" s="0" t="n">
        <v>1.22010808804006</v>
      </c>
      <c r="CW688" s="0" t="n">
        <v>1.8390866148255</v>
      </c>
      <c r="CX688" s="0" t="n">
        <v>1.83307698166838</v>
      </c>
      <c r="CY688" s="0" t="n">
        <v>-0.00600963315711489</v>
      </c>
      <c r="CZ688" s="20" t="n">
        <f aca="false">(CY688)^2</f>
        <v>3.61156906830947E-005</v>
      </c>
    </row>
    <row r="689" customFormat="false" ht="12.8" hidden="false" customHeight="false" outlineLevel="0" collapsed="false">
      <c r="BZ689" s="0" t="n">
        <v>1.50514997831991</v>
      </c>
      <c r="CA689" s="0" t="n">
        <v>1.74036268949424</v>
      </c>
      <c r="CB689" s="0" t="n">
        <v>2.73227329405799</v>
      </c>
      <c r="CC689" s="0" t="n">
        <v>2.80181789701222</v>
      </c>
      <c r="CD689" s="0" t="n">
        <v>0.0695446029542275</v>
      </c>
      <c r="CE689" s="20" t="n">
        <f aca="false">(CD689)^2</f>
        <v>0.00483645180006115</v>
      </c>
      <c r="CG689" s="0" t="n">
        <v>1.50514997831991</v>
      </c>
      <c r="CH689" s="0" t="n">
        <v>1.74036268949424</v>
      </c>
      <c r="CI689" s="0" t="n">
        <v>2.11678594327689</v>
      </c>
      <c r="CJ689" s="0" t="n">
        <v>2.24498078176473</v>
      </c>
      <c r="CK689" s="0" t="n">
        <v>0.12819483848784</v>
      </c>
      <c r="CL689" s="20" t="n">
        <f aca="false">(CK689)^2</f>
        <v>0.0164339166149234</v>
      </c>
      <c r="CN689" s="0" t="n">
        <v>8.14</v>
      </c>
      <c r="CO689" s="0" t="n">
        <v>1.50514997831991</v>
      </c>
      <c r="CP689" s="0" t="n">
        <v>2.79205006211193</v>
      </c>
      <c r="CQ689" s="0" t="n">
        <v>2.80181789701222</v>
      </c>
      <c r="CR689" s="0" t="n">
        <v>0.0097678349002881</v>
      </c>
      <c r="CS689" s="20" t="n">
        <f aca="false">(CR689)^2</f>
        <v>9.54105986392862E-005</v>
      </c>
      <c r="CU689" s="0" t="n">
        <v>8.14</v>
      </c>
      <c r="CV689" s="0" t="n">
        <v>1.50514997831991</v>
      </c>
      <c r="CW689" s="0" t="n">
        <v>2.13892781788541</v>
      </c>
      <c r="CX689" s="0" t="n">
        <v>2.24498078176473</v>
      </c>
      <c r="CY689" s="0" t="n">
        <v>0.106052963879318</v>
      </c>
      <c r="CZ689" s="20" t="n">
        <f aca="false">(CY689)^2</f>
        <v>0.0112472311475879</v>
      </c>
    </row>
    <row r="690" customFormat="false" ht="12.8" hidden="false" customHeight="false" outlineLevel="0" collapsed="false">
      <c r="BZ690" s="0" t="n">
        <v>1.45788189673399</v>
      </c>
      <c r="CA690" s="0" t="n">
        <v>1.46239799789896</v>
      </c>
      <c r="CB690" s="0" t="n">
        <v>2.78196319028521</v>
      </c>
      <c r="CC690" s="0" t="n">
        <v>3.10471867515012</v>
      </c>
      <c r="CD690" s="0" t="n">
        <v>0.322755484864909</v>
      </c>
      <c r="CE690" s="20" t="n">
        <f aca="false">(CD690)^2</f>
        <v>0.104171103010382</v>
      </c>
      <c r="CG690" s="0" t="n">
        <v>1.45788189673399</v>
      </c>
      <c r="CH690" s="0" t="n">
        <v>1.46239799789896</v>
      </c>
      <c r="CI690" s="0" t="n">
        <v>2.11304478490195</v>
      </c>
      <c r="CJ690" s="0" t="n">
        <v>2.15959850059392</v>
      </c>
      <c r="CK690" s="0" t="n">
        <v>0.0465537156919713</v>
      </c>
      <c r="CL690" s="20" t="n">
        <f aca="false">(CK690)^2</f>
        <v>0.0021672484447289</v>
      </c>
      <c r="CN690" s="0" t="n">
        <v>7.77</v>
      </c>
      <c r="CO690" s="0" t="n">
        <v>1.45788189673399</v>
      </c>
      <c r="CP690" s="0" t="n">
        <v>2.76265564550377</v>
      </c>
      <c r="CQ690" s="0" t="n">
        <v>3.10471867515012</v>
      </c>
      <c r="CR690" s="0" t="n">
        <v>0.342063029646352</v>
      </c>
      <c r="CS690" s="20" t="n">
        <f aca="false">(CR690)^2</f>
        <v>0.117007116250841</v>
      </c>
      <c r="CU690" s="0" t="n">
        <v>7.77</v>
      </c>
      <c r="CV690" s="0" t="n">
        <v>1.45788189673399</v>
      </c>
      <c r="CW690" s="0" t="n">
        <v>2.07368613799707</v>
      </c>
      <c r="CX690" s="0" t="n">
        <v>2.15959850059392</v>
      </c>
      <c r="CY690" s="0" t="n">
        <v>0.0859123625968454</v>
      </c>
      <c r="CZ690" s="20" t="n">
        <f aca="false">(CY690)^2</f>
        <v>0.00738093404697185</v>
      </c>
    </row>
    <row r="691" customFormat="false" ht="12.8" hidden="false" customHeight="false" outlineLevel="0" collapsed="false">
      <c r="BZ691" s="0" t="n">
        <v>1.39269695325967</v>
      </c>
      <c r="CA691" s="0" t="n">
        <v>1.55630250076729</v>
      </c>
      <c r="CB691" s="0" t="n">
        <v>2.71569561578315</v>
      </c>
      <c r="CC691" s="0" t="n">
        <v>2.70767614445813</v>
      </c>
      <c r="CD691" s="0" t="n">
        <v>-0.0080194713250199</v>
      </c>
      <c r="CE691" s="20" t="n">
        <f aca="false">(CD691)^2</f>
        <v>6.43119203328164E-005</v>
      </c>
      <c r="CG691" s="0" t="n">
        <v>1.39269695325967</v>
      </c>
      <c r="CH691" s="0" t="n">
        <v>1.55630250076729</v>
      </c>
      <c r="CI691" s="0" t="n">
        <v>2.02211316904595</v>
      </c>
      <c r="CJ691" s="0" t="n">
        <v>1.62445521813276</v>
      </c>
      <c r="CK691" s="0" t="n">
        <v>-0.397657950913186</v>
      </c>
      <c r="CL691" s="20" t="n">
        <f aca="false">(CK691)^2</f>
        <v>0.158131845924474</v>
      </c>
      <c r="CN691" s="0" t="n">
        <v>8.02</v>
      </c>
      <c r="CO691" s="0" t="n">
        <v>1.39269695325967</v>
      </c>
      <c r="CP691" s="0" t="n">
        <v>2.70508249480301</v>
      </c>
      <c r="CQ691" s="0" t="n">
        <v>2.70767614445813</v>
      </c>
      <c r="CR691" s="0" t="n">
        <v>0.00259364965512354</v>
      </c>
      <c r="CS691" s="20" t="n">
        <f aca="false">(CR691)^2</f>
        <v>6.72701853352247E-006</v>
      </c>
      <c r="CU691" s="0" t="n">
        <v>8.02</v>
      </c>
      <c r="CV691" s="0" t="n">
        <v>1.39269695325967</v>
      </c>
      <c r="CW691" s="0" t="n">
        <v>2.01055127196151</v>
      </c>
      <c r="CX691" s="0" t="n">
        <v>1.62445521813276</v>
      </c>
      <c r="CY691" s="0" t="n">
        <v>-0.386096053828751</v>
      </c>
      <c r="CZ691" s="20" t="n">
        <f aca="false">(CY691)^2</f>
        <v>0.149070162782134</v>
      </c>
    </row>
    <row r="692" customFormat="false" ht="12.8" hidden="false" customHeight="false" outlineLevel="0" collapsed="false">
      <c r="BZ692" s="0" t="n">
        <v>1.50379068305718</v>
      </c>
      <c r="CA692" s="0" t="n">
        <v>1.49136169383427</v>
      </c>
      <c r="CB692" s="0" t="n">
        <v>2.80177399722371</v>
      </c>
      <c r="CC692" s="0" t="n">
        <v>2.82411303198074</v>
      </c>
      <c r="CD692" s="0" t="n">
        <v>0.0223390347570325</v>
      </c>
      <c r="CE692" s="20" t="n">
        <f aca="false">(CD692)^2</f>
        <v>0.000499032473875905</v>
      </c>
      <c r="CG692" s="0" t="n">
        <v>1.50379068305718</v>
      </c>
      <c r="CH692" s="0" t="n">
        <v>1.49136169383427</v>
      </c>
      <c r="CI692" s="0" t="n">
        <v>2.15999445594846</v>
      </c>
      <c r="CJ692" s="0" t="n">
        <v>1.8596134656703</v>
      </c>
      <c r="CK692" s="0" t="n">
        <v>-0.300380990278164</v>
      </c>
      <c r="CL692" s="20" t="n">
        <f aca="false">(CK692)^2</f>
        <v>0.0902287393204905</v>
      </c>
      <c r="CN692" s="0" t="n">
        <v>8.28</v>
      </c>
      <c r="CO692" s="0" t="n">
        <v>1.50379068305718</v>
      </c>
      <c r="CP692" s="0" t="n">
        <v>2.78782897730599</v>
      </c>
      <c r="CQ692" s="0" t="n">
        <v>2.82411303198074</v>
      </c>
      <c r="CR692" s="0" t="n">
        <v>0.0362840546747494</v>
      </c>
      <c r="CS692" s="20" t="n">
        <f aca="false">(CR692)^2</f>
        <v>0.0013165326236402</v>
      </c>
      <c r="CU692" s="0" t="n">
        <v>8.28</v>
      </c>
      <c r="CV692" s="0" t="n">
        <v>1.50379068305718</v>
      </c>
      <c r="CW692" s="0" t="n">
        <v>2.14236920775435</v>
      </c>
      <c r="CX692" s="0" t="n">
        <v>1.8596134656703</v>
      </c>
      <c r="CY692" s="0" t="n">
        <v>-0.282755742084049</v>
      </c>
      <c r="CZ692" s="20" t="n">
        <f aca="false">(CY692)^2</f>
        <v>0.0799508096815013</v>
      </c>
    </row>
    <row r="693" customFormat="false" ht="12.8" hidden="false" customHeight="false" outlineLevel="0" collapsed="false">
      <c r="BZ693" s="0" t="n">
        <v>1.76937732607614</v>
      </c>
      <c r="CA693" s="0" t="n">
        <v>0.778151250383644</v>
      </c>
      <c r="CB693" s="0" t="n">
        <v>3.1651513738054</v>
      </c>
      <c r="CC693" s="0" t="n">
        <v>3.10408301855785</v>
      </c>
      <c r="CD693" s="0" t="n">
        <v>-0.0610683552475542</v>
      </c>
      <c r="CE693" s="20" t="n">
        <f aca="false">(CD693)^2</f>
        <v>0.00372934401264148</v>
      </c>
      <c r="CG693" s="0" t="n">
        <v>1.76937732607614</v>
      </c>
      <c r="CH693" s="0" t="n">
        <v>0.778151250383644</v>
      </c>
      <c r="CI693" s="0" t="n">
        <v>2.58990249956386</v>
      </c>
      <c r="CJ693" s="0" t="n">
        <v>2.46994216668405</v>
      </c>
      <c r="CK693" s="0" t="n">
        <v>-0.119960332879814</v>
      </c>
      <c r="CL693" s="20" t="n">
        <f aca="false">(CK693)^2</f>
        <v>0.0143904814646357</v>
      </c>
      <c r="CN693" s="0" t="n">
        <v>8.71</v>
      </c>
      <c r="CO693" s="0" t="n">
        <v>1.76937732607614</v>
      </c>
      <c r="CP693" s="0" t="n">
        <v>2.98994017326821</v>
      </c>
      <c r="CQ693" s="0" t="n">
        <v>3.10408301855785</v>
      </c>
      <c r="CR693" s="0" t="n">
        <v>0.114142845289638</v>
      </c>
      <c r="CS693" s="20" t="n">
        <f aca="false">(CR693)^2</f>
        <v>0.0130285891308142</v>
      </c>
      <c r="CU693" s="0" t="n">
        <v>8.71</v>
      </c>
      <c r="CV693" s="0" t="n">
        <v>1.76937732607614</v>
      </c>
      <c r="CW693" s="0" t="n">
        <v>2.4507378856746</v>
      </c>
      <c r="CX693" s="0" t="n">
        <v>2.46994216668405</v>
      </c>
      <c r="CY693" s="0" t="n">
        <v>0.0192042810094542</v>
      </c>
      <c r="CZ693" s="20" t="n">
        <f aca="false">(CY693)^2</f>
        <v>0.000368804409090081</v>
      </c>
    </row>
    <row r="694" customFormat="false" ht="12.8" hidden="false" customHeight="false" outlineLevel="0" collapsed="false">
      <c r="BZ694" s="0" t="n">
        <v>1.23044892137827</v>
      </c>
      <c r="CA694" s="0" t="n">
        <v>1.39794000867204</v>
      </c>
      <c r="CB694" s="0" t="n">
        <v>2.66149869794741</v>
      </c>
      <c r="CC694" s="0" t="n">
        <v>2.56730132345877</v>
      </c>
      <c r="CD694" s="0" t="n">
        <v>-0.094197374488644</v>
      </c>
      <c r="CE694" s="20" t="n">
        <f aca="false">(CD694)^2</f>
        <v>0.00887314536055383</v>
      </c>
      <c r="CG694" s="0" t="n">
        <v>1.23044892137827</v>
      </c>
      <c r="CH694" s="0" t="n">
        <v>1.39794000867204</v>
      </c>
      <c r="CI694" s="0" t="n">
        <v>1.86625148048095</v>
      </c>
      <c r="CJ694" s="0" t="n">
        <v>1.82381405372363</v>
      </c>
      <c r="CK694" s="0" t="n">
        <v>-0.0424374267573213</v>
      </c>
      <c r="CL694" s="20" t="n">
        <f aca="false">(CK694)^2</f>
        <v>0.00180093518978301</v>
      </c>
      <c r="CN694" s="0" t="n">
        <v>7.88</v>
      </c>
      <c r="CO694" s="0" t="n">
        <v>1.23044892137827</v>
      </c>
      <c r="CP694" s="0" t="n">
        <v>2.57886248056465</v>
      </c>
      <c r="CQ694" s="0" t="n">
        <v>2.56730132345877</v>
      </c>
      <c r="CR694" s="0" t="n">
        <v>-0.0115611571058767</v>
      </c>
      <c r="CS694" s="20" t="n">
        <f aca="false">(CR694)^2</f>
        <v>0.000133660353626763</v>
      </c>
      <c r="CU694" s="0" t="n">
        <v>7.88</v>
      </c>
      <c r="CV694" s="0" t="n">
        <v>1.23044892137827</v>
      </c>
      <c r="CW694" s="0" t="n">
        <v>1.82649839171152</v>
      </c>
      <c r="CX694" s="0" t="n">
        <v>1.82381405372363</v>
      </c>
      <c r="CY694" s="0" t="n">
        <v>-0.00268433798789469</v>
      </c>
      <c r="CZ694" s="20" t="n">
        <f aca="false">(CY694)^2</f>
        <v>7.20567043325452E-006</v>
      </c>
    </row>
    <row r="695" customFormat="false" ht="12.8" hidden="false" customHeight="false" outlineLevel="0" collapsed="false">
      <c r="BZ695" s="0" t="n">
        <v>1.24303804868629</v>
      </c>
      <c r="CA695" s="0" t="n">
        <v>2.19589965240923</v>
      </c>
      <c r="CB695" s="0" t="n">
        <v>2.44379352655471</v>
      </c>
      <c r="CC695" s="0" t="n">
        <v>2.59311533827612</v>
      </c>
      <c r="CD695" s="0" t="n">
        <v>0.149321811721414</v>
      </c>
      <c r="CE695" s="20" t="n">
        <f aca="false">(CD695)^2</f>
        <v>0.0222970034557653</v>
      </c>
      <c r="CG695" s="0" t="n">
        <v>1.24303804868629</v>
      </c>
      <c r="CH695" s="0" t="n">
        <v>2.19589965240923</v>
      </c>
      <c r="CI695" s="0" t="n">
        <v>1.73713685191834</v>
      </c>
      <c r="CJ695" s="0" t="n">
        <v>1.94462288151652</v>
      </c>
      <c r="CK695" s="0" t="n">
        <v>0.207486029598176</v>
      </c>
      <c r="CL695" s="20" t="n">
        <f aca="false">(CK695)^2</f>
        <v>0.0430504524784153</v>
      </c>
      <c r="CN695" s="0" t="n">
        <v>7.54</v>
      </c>
      <c r="CO695" s="0" t="n">
        <v>1.24303804868629</v>
      </c>
      <c r="CP695" s="0" t="n">
        <v>2.59651882269817</v>
      </c>
      <c r="CQ695" s="0" t="n">
        <v>2.59311533827612</v>
      </c>
      <c r="CR695" s="0" t="n">
        <v>-0.00340348442205318</v>
      </c>
      <c r="CS695" s="20" t="n">
        <f aca="false">(CR695)^2</f>
        <v>1.15837062111587E-005</v>
      </c>
      <c r="CU695" s="0" t="n">
        <v>7.54</v>
      </c>
      <c r="CV695" s="0" t="n">
        <v>1.24303804868629</v>
      </c>
      <c r="CW695" s="0" t="n">
        <v>1.82839403796422</v>
      </c>
      <c r="CX695" s="0" t="n">
        <v>1.94462288151652</v>
      </c>
      <c r="CY695" s="0" t="n">
        <v>0.116228843552297</v>
      </c>
      <c r="CZ695" s="20" t="n">
        <f aca="false">(CY695)^2</f>
        <v>0.0135091440735043</v>
      </c>
    </row>
    <row r="696" customFormat="false" ht="12.8" hidden="false" customHeight="false" outlineLevel="0" collapsed="false">
      <c r="BZ696" s="0" t="n">
        <v>1.3096301674259</v>
      </c>
      <c r="CA696" s="0" t="n">
        <v>1.74036268949424</v>
      </c>
      <c r="CB696" s="0" t="n">
        <v>2.61306095445306</v>
      </c>
      <c r="CC696" s="0" t="n">
        <v>2.59318251388042</v>
      </c>
      <c r="CD696" s="0" t="n">
        <v>-0.0198784405726404</v>
      </c>
      <c r="CE696" s="20" t="n">
        <f aca="false">(CD696)^2</f>
        <v>0.000395152399599997</v>
      </c>
      <c r="CG696" s="0" t="n">
        <v>1.3096301674259</v>
      </c>
      <c r="CH696" s="0" t="n">
        <v>1.74036268949424</v>
      </c>
      <c r="CI696" s="0" t="n">
        <v>1.89466303335502</v>
      </c>
      <c r="CJ696" s="0" t="n">
        <v>1.91210243315721</v>
      </c>
      <c r="CK696" s="0" t="n">
        <v>0.0174393998021949</v>
      </c>
      <c r="CL696" s="20" t="n">
        <f aca="false">(CK696)^2</f>
        <v>0.000304132665460795</v>
      </c>
      <c r="CN696" s="0" t="n">
        <v>8.26</v>
      </c>
      <c r="CO696" s="0" t="n">
        <v>1.3096301674259</v>
      </c>
      <c r="CP696" s="0" t="n">
        <v>2.63347657756886</v>
      </c>
      <c r="CQ696" s="0" t="n">
        <v>2.59318251388042</v>
      </c>
      <c r="CR696" s="0" t="n">
        <v>-0.0402940636884446</v>
      </c>
      <c r="CS696" s="20" t="n">
        <f aca="false">(CR696)^2</f>
        <v>0.00162361156852843</v>
      </c>
      <c r="CU696" s="0" t="n">
        <v>8.26</v>
      </c>
      <c r="CV696" s="0" t="n">
        <v>1.3096301674259</v>
      </c>
      <c r="CW696" s="0" t="n">
        <v>1.92732305692338</v>
      </c>
      <c r="CX696" s="0" t="n">
        <v>1.91210243315721</v>
      </c>
      <c r="CY696" s="0" t="n">
        <v>-0.0152206237661716</v>
      </c>
      <c r="CZ696" s="20" t="n">
        <f aca="false">(CY696)^2</f>
        <v>0.000231667387831348</v>
      </c>
    </row>
    <row r="697" customFormat="false" ht="12.8" hidden="false" customHeight="false" outlineLevel="0" collapsed="false">
      <c r="BZ697" s="0" t="n">
        <v>1.54900326202579</v>
      </c>
      <c r="CA697" s="0" t="n">
        <v>2.00432137378264</v>
      </c>
      <c r="CB697" s="0" t="n">
        <v>2.68445727685505</v>
      </c>
      <c r="CC697" s="0" t="n">
        <v>2.70206666441626</v>
      </c>
      <c r="CD697" s="0" t="n">
        <v>0.0176093875612064</v>
      </c>
      <c r="CE697" s="20" t="n">
        <f aca="false">(CD697)^2</f>
        <v>0.000310090530280772</v>
      </c>
      <c r="CG697" s="0" t="n">
        <v>1.54900326202579</v>
      </c>
      <c r="CH697" s="0" t="n">
        <v>2.00432137378264</v>
      </c>
      <c r="CI697" s="0" t="n">
        <v>2.11916496357954</v>
      </c>
      <c r="CJ697" s="0" t="n">
        <v>2.04195187164556</v>
      </c>
      <c r="CK697" s="0" t="n">
        <v>-0.0772130919339822</v>
      </c>
      <c r="CL697" s="20" t="n">
        <f aca="false">(CK697)^2</f>
        <v>0.00596186156600558</v>
      </c>
      <c r="CN697" s="0" t="n">
        <v>8.01</v>
      </c>
      <c r="CO697" s="0" t="n">
        <v>1.54900326202579</v>
      </c>
      <c r="CP697" s="0" t="n">
        <v>2.82992672277793</v>
      </c>
      <c r="CQ697" s="0" t="n">
        <v>2.70206666441626</v>
      </c>
      <c r="CR697" s="0" t="n">
        <v>-0.127860058361672</v>
      </c>
      <c r="CS697" s="20" t="n">
        <f aca="false">(CR697)^2</f>
        <v>0.0163481945242503</v>
      </c>
      <c r="CU697" s="0" t="n">
        <v>8.01</v>
      </c>
      <c r="CV697" s="0" t="n">
        <v>1.54900326202579</v>
      </c>
      <c r="CW697" s="0" t="n">
        <v>2.18274993170128</v>
      </c>
      <c r="CX697" s="0" t="n">
        <v>2.04195187164556</v>
      </c>
      <c r="CY697" s="0" t="n">
        <v>-0.140798060055717</v>
      </c>
      <c r="CZ697" s="20" t="n">
        <f aca="false">(CY697)^2</f>
        <v>0.0198240937154532</v>
      </c>
    </row>
    <row r="698" customFormat="false" ht="12.8" hidden="false" customHeight="false" outlineLevel="0" collapsed="false">
      <c r="BZ698" s="0" t="n">
        <v>1.38021124171161</v>
      </c>
      <c r="CA698" s="0" t="n">
        <v>0.778151250383644</v>
      </c>
      <c r="CB698" s="0" t="n">
        <v>2.92786902783825</v>
      </c>
      <c r="CC698" s="0" t="n">
        <v>2.85513640282165</v>
      </c>
      <c r="CD698" s="0" t="n">
        <v>-0.0727326250165961</v>
      </c>
      <c r="CE698" s="20" t="n">
        <f aca="false">(CD698)^2</f>
        <v>0.00529003474180477</v>
      </c>
      <c r="CG698" s="0" t="n">
        <v>1.38021124171161</v>
      </c>
      <c r="CH698" s="0" t="n">
        <v>0.778151250383644</v>
      </c>
      <c r="CI698" s="0" t="n">
        <v>2.1477851370997</v>
      </c>
      <c r="CJ698" s="0" t="n">
        <v>2.02175318417612</v>
      </c>
      <c r="CK698" s="0" t="n">
        <v>-0.126031952923584</v>
      </c>
      <c r="CL698" s="20" t="n">
        <f aca="false">(CK698)^2</f>
        <v>0.0158840531577324</v>
      </c>
      <c r="CN698" s="0" t="n">
        <v>8.48</v>
      </c>
      <c r="CO698" s="0" t="n">
        <v>1.38021124171161</v>
      </c>
      <c r="CP698" s="0" t="n">
        <v>2.68481945230874</v>
      </c>
      <c r="CQ698" s="0" t="n">
        <v>2.85513640282165</v>
      </c>
      <c r="CR698" s="0" t="n">
        <v>0.170316950512908</v>
      </c>
      <c r="CS698" s="20" t="n">
        <f aca="false">(CR698)^2</f>
        <v>0.0290078636320164</v>
      </c>
      <c r="CU698" s="0" t="n">
        <v>8.48</v>
      </c>
      <c r="CV698" s="0" t="n">
        <v>1.38021124171161</v>
      </c>
      <c r="CW698" s="0" t="n">
        <v>2.01300575586237</v>
      </c>
      <c r="CX698" s="0" t="n">
        <v>2.02175318417612</v>
      </c>
      <c r="CY698" s="0" t="n">
        <v>0.00874742831374853</v>
      </c>
      <c r="CZ698" s="20" t="n">
        <f aca="false">(CY698)^2</f>
        <v>7.65175021041694E-005</v>
      </c>
    </row>
    <row r="699" customFormat="false" ht="12.8" hidden="false" customHeight="false" outlineLevel="0" collapsed="false">
      <c r="BZ699" s="0" t="n">
        <v>1.41161970596323</v>
      </c>
      <c r="CA699" s="0" t="n">
        <v>1.25527250510331</v>
      </c>
      <c r="CB699" s="0" t="n">
        <v>2.81225810512328</v>
      </c>
      <c r="CC699" s="0" t="n">
        <v>2.7281271270983</v>
      </c>
      <c r="CD699" s="0" t="n">
        <v>-0.0841309780249802</v>
      </c>
      <c r="CE699" s="20" t="n">
        <f aca="false">(CD699)^2</f>
        <v>0.00707802146343969</v>
      </c>
      <c r="CG699" s="0" t="n">
        <v>1.41161970596323</v>
      </c>
      <c r="CH699" s="0" t="n">
        <v>1.25527250510331</v>
      </c>
      <c r="CI699" s="0" t="n">
        <v>2.09771450734151</v>
      </c>
      <c r="CJ699" s="0" t="n">
        <v>2.07570236963626</v>
      </c>
      <c r="CK699" s="0" t="n">
        <v>-0.0220121377052482</v>
      </c>
      <c r="CL699" s="20" t="n">
        <f aca="false">(CK699)^2</f>
        <v>0.000484534206354811</v>
      </c>
      <c r="CN699" s="0" t="n">
        <v>7.99</v>
      </c>
      <c r="CO699" s="0" t="n">
        <v>1.41161970596323</v>
      </c>
      <c r="CP699" s="0" t="n">
        <v>2.72084154386652</v>
      </c>
      <c r="CQ699" s="0" t="n">
        <v>2.7281271270983</v>
      </c>
      <c r="CR699" s="0" t="n">
        <v>0.00728558323178197</v>
      </c>
      <c r="CS699" s="20" t="n">
        <f aca="false">(CR699)^2</f>
        <v>5.30797230272226E-005</v>
      </c>
      <c r="CU699" s="0" t="n">
        <v>7.99</v>
      </c>
      <c r="CV699" s="0" t="n">
        <v>1.41161970596323</v>
      </c>
      <c r="CW699" s="0" t="n">
        <v>2.03038172730468</v>
      </c>
      <c r="CX699" s="0" t="n">
        <v>2.07570236963626</v>
      </c>
      <c r="CY699" s="0" t="n">
        <v>0.0453206423315757</v>
      </c>
      <c r="CZ699" s="20" t="n">
        <f aca="false">(CY699)^2</f>
        <v>0.00205396062134661</v>
      </c>
    </row>
    <row r="700" customFormat="false" ht="12.8" hidden="false" customHeight="false" outlineLevel="0" collapsed="false">
      <c r="BZ700" s="0" t="n">
        <v>1.45484486000851</v>
      </c>
      <c r="CA700" s="0" t="n">
        <v>2.02118929906994</v>
      </c>
      <c r="CB700" s="0" t="n">
        <v>2.6222827270409</v>
      </c>
      <c r="CC700" s="0" t="n">
        <v>2.60593617253213</v>
      </c>
      <c r="CD700" s="0" t="n">
        <v>-0.0163465545087735</v>
      </c>
      <c r="CE700" s="20" t="n">
        <f aca="false">(CD700)^2</f>
        <v>0.000267209844308304</v>
      </c>
      <c r="CG700" s="0" t="n">
        <v>1.45484486000851</v>
      </c>
      <c r="CH700" s="0" t="n">
        <v>2.02118929906994</v>
      </c>
      <c r="CI700" s="0" t="n">
        <v>2.00916338571314</v>
      </c>
      <c r="CJ700" s="0" t="n">
        <v>2.30379853246947</v>
      </c>
      <c r="CK700" s="0" t="n">
        <v>0.294635146756326</v>
      </c>
      <c r="CL700" s="20" t="n">
        <f aca="false">(CK700)^2</f>
        <v>0.0868098697041216</v>
      </c>
      <c r="CN700" s="0" t="n">
        <v>0</v>
      </c>
      <c r="CO700" s="0" t="n">
        <v>1.24797326636181</v>
      </c>
      <c r="CP700" s="0" t="n">
        <v>2.76942195422269</v>
      </c>
      <c r="CQ700" s="0" t="n">
        <v>2.81672091333267</v>
      </c>
      <c r="CR700" s="0" t="n">
        <v>0.0472989591099826</v>
      </c>
      <c r="CS700" s="20" t="n">
        <f aca="false">(CR700)^2</f>
        <v>0.00223719153288781</v>
      </c>
      <c r="CU700" s="0" t="n">
        <v>0</v>
      </c>
      <c r="CV700" s="0" t="n">
        <v>1.24797326636181</v>
      </c>
      <c r="CW700" s="0" t="n">
        <v>1.56768231611795</v>
      </c>
      <c r="CX700" s="0" t="n">
        <v>1.58373370004733</v>
      </c>
      <c r="CY700" s="0" t="n">
        <v>0.0160513839293832</v>
      </c>
      <c r="CZ700" s="20" t="n">
        <f aca="false">(CY700)^2</f>
        <v>0.000257646926048462</v>
      </c>
    </row>
    <row r="701" customFormat="false" ht="12.8" hidden="false" customHeight="false" outlineLevel="0" collapsed="false">
      <c r="BZ701" s="0" t="n">
        <v>1.24797326636181</v>
      </c>
      <c r="CA701" s="0" t="n">
        <v>1.85125834871908</v>
      </c>
      <c r="CB701" s="0" t="n">
        <v>2.54414540308582</v>
      </c>
      <c r="CC701" s="0" t="n">
        <v>2.81672091333267</v>
      </c>
      <c r="CD701" s="0" t="n">
        <v>0.272575510246852</v>
      </c>
      <c r="CE701" s="20" t="n">
        <f aca="false">(CD701)^2</f>
        <v>0.0742974087863315</v>
      </c>
      <c r="CG701" s="0" t="n">
        <v>1.24797326636181</v>
      </c>
      <c r="CH701" s="0" t="n">
        <v>1.85125834871908</v>
      </c>
      <c r="CI701" s="0" t="n">
        <v>1.80468568998894</v>
      </c>
      <c r="CJ701" s="0" t="n">
        <v>1.58373370004733</v>
      </c>
      <c r="CK701" s="0" t="n">
        <v>-0.220951989941613</v>
      </c>
      <c r="CL701" s="20" t="n">
        <f aca="false">(CK701)^2</f>
        <v>0.0488197818591587</v>
      </c>
      <c r="CN701" s="0" t="n">
        <v>8.01</v>
      </c>
      <c r="CO701" s="0" t="n">
        <v>1.3541084391474</v>
      </c>
      <c r="CP701" s="0" t="n">
        <v>2.67454068146753</v>
      </c>
      <c r="CQ701" s="0" t="n">
        <v>2.81967486601435</v>
      </c>
      <c r="CR701" s="0" t="n">
        <v>0.145134184546816</v>
      </c>
      <c r="CS701" s="20" t="n">
        <f aca="false">(CR701)^2</f>
        <v>0.0210639315240692</v>
      </c>
      <c r="CU701" s="0" t="n">
        <v>8.01</v>
      </c>
      <c r="CV701" s="0" t="n">
        <v>1.3541084391474</v>
      </c>
      <c r="CW701" s="0" t="n">
        <v>1.96759914938572</v>
      </c>
      <c r="CX701" s="0" t="n">
        <v>2.07441923117618</v>
      </c>
      <c r="CY701" s="0" t="n">
        <v>0.106820081790459</v>
      </c>
      <c r="CZ701" s="20" t="n">
        <f aca="false">(CY701)^2</f>
        <v>0.0114105298737203</v>
      </c>
    </row>
    <row r="702" customFormat="false" ht="12.8" hidden="false" customHeight="false" outlineLevel="0" collapsed="false">
      <c r="BZ702" s="0" t="n">
        <v>1.3541084391474</v>
      </c>
      <c r="CA702" s="0" t="n">
        <v>1.51851393987789</v>
      </c>
      <c r="CB702" s="0" t="n">
        <v>2.70284067862332</v>
      </c>
      <c r="CC702" s="0" t="n">
        <v>2.81967486601435</v>
      </c>
      <c r="CD702" s="0" t="n">
        <v>0.116834187391028</v>
      </c>
      <c r="CE702" s="20" t="n">
        <f aca="false">(CD702)^2</f>
        <v>0.0136502273433219</v>
      </c>
      <c r="CG702" s="0" t="n">
        <v>1.3541084391474</v>
      </c>
      <c r="CH702" s="0" t="n">
        <v>1.51851393987789</v>
      </c>
      <c r="CI702" s="0" t="n">
        <v>1.98506587788784</v>
      </c>
      <c r="CJ702" s="0" t="n">
        <v>2.07441923117618</v>
      </c>
      <c r="CK702" s="0" t="n">
        <v>0.0893533532883406</v>
      </c>
      <c r="CL702" s="20" t="n">
        <f aca="false">(CK702)^2</f>
        <v>0.00798402174387101</v>
      </c>
      <c r="CN702" s="0" t="n">
        <v>7.74</v>
      </c>
      <c r="CO702" s="0" t="n">
        <v>1.20682587603185</v>
      </c>
      <c r="CP702" s="0" t="n">
        <v>2.56316560678866</v>
      </c>
      <c r="CQ702" s="0" t="n">
        <v>2.98153856858654</v>
      </c>
      <c r="CR702" s="0" t="n">
        <v>0.418372961797879</v>
      </c>
      <c r="CS702" s="20" t="n">
        <f aca="false">(CR702)^2</f>
        <v>0.17503593516353</v>
      </c>
      <c r="CU702" s="0" t="n">
        <v>7.74</v>
      </c>
      <c r="CV702" s="0" t="n">
        <v>1.20682587603185</v>
      </c>
      <c r="CW702" s="0" t="n">
        <v>1.79547817729122</v>
      </c>
      <c r="CX702" s="0" t="n">
        <v>1.91822534255641</v>
      </c>
      <c r="CY702" s="0" t="n">
        <v>0.122747165265187</v>
      </c>
      <c r="CZ702" s="20" t="n">
        <f aca="false">(CY702)^2</f>
        <v>0.015066866580639</v>
      </c>
    </row>
    <row r="703" customFormat="false" ht="12.8" hidden="false" customHeight="false" outlineLevel="0" collapsed="false">
      <c r="BZ703" s="0" t="n">
        <v>1.20682587603185</v>
      </c>
      <c r="CA703" s="0" t="n">
        <v>1.69897000433602</v>
      </c>
      <c r="CB703" s="0" t="n">
        <v>2.5620703461649</v>
      </c>
      <c r="CC703" s="0" t="n">
        <v>2.98153856858654</v>
      </c>
      <c r="CD703" s="0" t="n">
        <v>0.41946822242164</v>
      </c>
      <c r="CE703" s="20" t="n">
        <f aca="false">(CD703)^2</f>
        <v>0.175953589621571</v>
      </c>
      <c r="CG703" s="0" t="n">
        <v>1.20682587603185</v>
      </c>
      <c r="CH703" s="0" t="n">
        <v>1.69897000433602</v>
      </c>
      <c r="CI703" s="0" t="n">
        <v>1.78531031153323</v>
      </c>
      <c r="CJ703" s="0" t="n">
        <v>1.91822534255641</v>
      </c>
      <c r="CK703" s="0" t="n">
        <v>0.132915031023181</v>
      </c>
      <c r="CL703" s="20" t="n">
        <f aca="false">(CK703)^2</f>
        <v>0.0176664054718932</v>
      </c>
      <c r="CN703" s="0" t="n">
        <v>7.95</v>
      </c>
      <c r="CO703" s="0" t="n">
        <v>1.09691001300806</v>
      </c>
      <c r="CP703" s="0" t="n">
        <v>2.47082570434624</v>
      </c>
      <c r="CQ703" s="0" t="n">
        <v>2.5381406092624</v>
      </c>
      <c r="CR703" s="0" t="n">
        <v>0.0673149049161643</v>
      </c>
      <c r="CS703" s="20" t="n">
        <f aca="false">(CR703)^2</f>
        <v>0.00453129642387224</v>
      </c>
      <c r="CU703" s="0" t="n">
        <v>7.95</v>
      </c>
      <c r="CV703" s="0" t="n">
        <v>1.09691001300806</v>
      </c>
      <c r="CW703" s="0" t="n">
        <v>1.68155139448433</v>
      </c>
      <c r="CX703" s="0" t="n">
        <v>1.53606284006086</v>
      </c>
      <c r="CY703" s="0" t="n">
        <v>-0.145488554423474</v>
      </c>
      <c r="CZ703" s="20" t="n">
        <f aca="false">(CY703)^2</f>
        <v>0.0211669194682321</v>
      </c>
    </row>
    <row r="704" customFormat="false" ht="12.8" hidden="false" customHeight="false" outlineLevel="0" collapsed="false">
      <c r="BZ704" s="0" t="n">
        <v>1.09691001300806</v>
      </c>
      <c r="CA704" s="0" t="n">
        <v>2.05307844348342</v>
      </c>
      <c r="CB704" s="0" t="n">
        <v>2.39503570975208</v>
      </c>
      <c r="CC704" s="0" t="n">
        <v>2.5381406092624</v>
      </c>
      <c r="CD704" s="0" t="n">
        <v>0.143104899510323</v>
      </c>
      <c r="CE704" s="20" t="n">
        <f aca="false">(CD704)^2</f>
        <v>0.0204790122638596</v>
      </c>
      <c r="CG704" s="0" t="n">
        <v>1.09691001300806</v>
      </c>
      <c r="CH704" s="0" t="n">
        <v>2.05307844348342</v>
      </c>
      <c r="CI704" s="0" t="n">
        <v>1.59679527884602</v>
      </c>
      <c r="CJ704" s="0" t="n">
        <v>1.53606284006086</v>
      </c>
      <c r="CK704" s="0" t="n">
        <v>-0.0607324387851644</v>
      </c>
      <c r="CL704" s="20" t="n">
        <f aca="false">(CK704)^2</f>
        <v>0.00368842912079374</v>
      </c>
      <c r="CN704" s="0" t="n">
        <v>7.77</v>
      </c>
      <c r="CO704" s="0" t="n">
        <v>1.28330122870355</v>
      </c>
      <c r="CP704" s="0" t="n">
        <v>2.62346570451954</v>
      </c>
      <c r="CQ704" s="0" t="n">
        <v>2.37977395062333</v>
      </c>
      <c r="CR704" s="0" t="n">
        <v>-0.243691753896208</v>
      </c>
      <c r="CS704" s="20" t="n">
        <f aca="false">(CR704)^2</f>
        <v>0.0593856709170101</v>
      </c>
      <c r="CU704" s="0" t="n">
        <v>7.77</v>
      </c>
      <c r="CV704" s="0" t="n">
        <v>1.28330122870355</v>
      </c>
      <c r="CW704" s="0" t="n">
        <v>1.8809608169794</v>
      </c>
      <c r="CX704" s="0" t="n">
        <v>1.58559671011752</v>
      </c>
      <c r="CY704" s="0" t="n">
        <v>-0.295364106861875</v>
      </c>
      <c r="CZ704" s="20" t="n">
        <f aca="false">(CY704)^2</f>
        <v>0.0872399556223132</v>
      </c>
    </row>
    <row r="705" customFormat="false" ht="12.8" hidden="false" customHeight="false" outlineLevel="0" collapsed="false">
      <c r="BZ705" s="0" t="n">
        <v>1.28330122870355</v>
      </c>
      <c r="CA705" s="0" t="n">
        <v>1.97772360528885</v>
      </c>
      <c r="CB705" s="0" t="n">
        <v>2.52996588254851</v>
      </c>
      <c r="CC705" s="0" t="n">
        <v>2.37977395062333</v>
      </c>
      <c r="CD705" s="0" t="n">
        <v>-0.150191931925183</v>
      </c>
      <c r="CE705" s="20" t="n">
        <f aca="false">(CD705)^2</f>
        <v>0.0225576164154187</v>
      </c>
      <c r="CG705" s="0" t="n">
        <v>1.28330122870355</v>
      </c>
      <c r="CH705" s="0" t="n">
        <v>1.97772360528885</v>
      </c>
      <c r="CI705" s="0" t="n">
        <v>1.82209099284082</v>
      </c>
      <c r="CJ705" s="0" t="n">
        <v>1.58559671011752</v>
      </c>
      <c r="CK705" s="0" t="n">
        <v>-0.236494282723303</v>
      </c>
      <c r="CL705" s="20" t="n">
        <f aca="false">(CK705)^2</f>
        <v>0.0559295457608096</v>
      </c>
      <c r="CN705" s="0" t="n">
        <v>7.92</v>
      </c>
      <c r="CO705" s="0" t="n">
        <v>1.23552844690755</v>
      </c>
      <c r="CP705" s="0" t="n">
        <v>2.58201590847225</v>
      </c>
      <c r="CQ705" s="0" t="n">
        <v>2.77079593079515</v>
      </c>
      <c r="CR705" s="0" t="n">
        <v>0.188780022322898</v>
      </c>
      <c r="CS705" s="20" t="n">
        <f aca="false">(CR705)^2</f>
        <v>0.0356378968282339</v>
      </c>
      <c r="CU705" s="0" t="n">
        <v>7.92</v>
      </c>
      <c r="CV705" s="0" t="n">
        <v>1.23552844690755</v>
      </c>
      <c r="CW705" s="0" t="n">
        <v>1.83351783511823</v>
      </c>
      <c r="CX705" s="0" t="n">
        <v>1.92192076742725</v>
      </c>
      <c r="CY705" s="0" t="n">
        <v>0.0884029323090165</v>
      </c>
      <c r="CZ705" s="20" t="n">
        <f aca="false">(CY705)^2</f>
        <v>0.00781507844083256</v>
      </c>
    </row>
    <row r="706" customFormat="false" ht="12.8" hidden="false" customHeight="false" outlineLevel="0" collapsed="false">
      <c r="BZ706" s="0" t="n">
        <v>1.23552844690755</v>
      </c>
      <c r="CA706" s="0" t="n">
        <v>1.07918124604762</v>
      </c>
      <c r="CB706" s="0" t="n">
        <v>2.75462812530273</v>
      </c>
      <c r="CC706" s="0" t="n">
        <v>2.77079593079515</v>
      </c>
      <c r="CD706" s="0" t="n">
        <v>0.0161678054924224</v>
      </c>
      <c r="CE706" s="20" t="n">
        <f aca="false">(CD706)^2</f>
        <v>0.000261397934440803</v>
      </c>
      <c r="CG706" s="0" t="n">
        <v>1.23552844690755</v>
      </c>
      <c r="CH706" s="0" t="n">
        <v>1.07918124604762</v>
      </c>
      <c r="CI706" s="0" t="n">
        <v>1.92931241213733</v>
      </c>
      <c r="CJ706" s="0" t="n">
        <v>1.92192076742725</v>
      </c>
      <c r="CK706" s="0" t="n">
        <v>-0.00739164471007903</v>
      </c>
      <c r="CL706" s="20" t="n">
        <f aca="false">(CK706)^2</f>
        <v>5.46364115200393E-005</v>
      </c>
      <c r="CN706" s="0" t="n">
        <v>7.85</v>
      </c>
      <c r="CO706" s="0" t="n">
        <v>1.22788670461367</v>
      </c>
      <c r="CP706" s="0" t="n">
        <v>2.57749196043783</v>
      </c>
      <c r="CQ706" s="0" t="n">
        <v>1.8572240799594</v>
      </c>
      <c r="CR706" s="0" t="n">
        <v>-0.72026788047843</v>
      </c>
      <c r="CS706" s="20" t="n">
        <f aca="false">(CR706)^2</f>
        <v>0.518785819648889</v>
      </c>
      <c r="CU706" s="0" t="n">
        <v>7.85</v>
      </c>
      <c r="CV706" s="0" t="n">
        <v>1.22788670461367</v>
      </c>
      <c r="CW706" s="0" t="n">
        <v>1.82261088512615</v>
      </c>
      <c r="CX706" s="0" t="n">
        <v>1.75461831766389</v>
      </c>
      <c r="CY706" s="0" t="n">
        <v>-0.0679925674622612</v>
      </c>
      <c r="CZ706" s="20" t="n">
        <f aca="false">(CY706)^2</f>
        <v>0.00462298923011015</v>
      </c>
    </row>
    <row r="707" customFormat="false" ht="12.8" hidden="false" customHeight="false" outlineLevel="0" collapsed="false">
      <c r="BZ707" s="0" t="n">
        <v>1.22788670461367</v>
      </c>
      <c r="CA707" s="0" t="n">
        <v>1.7160033436348</v>
      </c>
      <c r="CB707" s="0" t="n">
        <v>2.5701005452997</v>
      </c>
      <c r="CC707" s="0" t="n">
        <v>1.8572240799594</v>
      </c>
      <c r="CD707" s="0" t="n">
        <v>-0.712876465340305</v>
      </c>
      <c r="CE707" s="20" t="n">
        <f aca="false">(CD707)^2</f>
        <v>0.508192854836087</v>
      </c>
      <c r="CG707" s="0" t="n">
        <v>1.22788670461367</v>
      </c>
      <c r="CH707" s="0" t="n">
        <v>1.7160033436348</v>
      </c>
      <c r="CI707" s="0" t="n">
        <v>1.80617535997305</v>
      </c>
      <c r="CJ707" s="0" t="n">
        <v>1.75461831766389</v>
      </c>
      <c r="CK707" s="0" t="n">
        <v>-0.051557042309164</v>
      </c>
      <c r="CL707" s="20" t="n">
        <f aca="false">(CK707)^2</f>
        <v>0.00265812861166893</v>
      </c>
      <c r="CS707" s="0" t="n">
        <f aca="false">SQRT(SUM(CS669:CS706)/38)</f>
        <v>0.259815771617946</v>
      </c>
      <c r="CZ707" s="0" t="n">
        <f aca="false">SQRT(SUM(CZ669:CZ706)/38)</f>
        <v>0.217059871073371</v>
      </c>
    </row>
    <row r="708" customFormat="false" ht="12.8" hidden="false" customHeight="false" outlineLevel="0" collapsed="false">
      <c r="CE708" s="0" t="n">
        <f aca="false">SQRT(SUM(CE669:CE707)/39)</f>
        <v>0.231811364965825</v>
      </c>
      <c r="CL708" s="0" t="n">
        <f aca="false">SQRT(SUM(CL669:CL707)/39)</f>
        <v>0.209075480639637</v>
      </c>
    </row>
    <row r="710" customFormat="false" ht="12.8" hidden="false" customHeight="false" outlineLevel="0" collapsed="false">
      <c r="BS710" s="14"/>
      <c r="BZ710" s="14" t="s">
        <v>546</v>
      </c>
      <c r="CG710" s="14" t="s">
        <v>547</v>
      </c>
      <c r="CN710" s="14" t="s">
        <v>548</v>
      </c>
      <c r="CU710" s="14" t="s">
        <v>549</v>
      </c>
    </row>
    <row r="711" customFormat="false" ht="12.8" hidden="false" customHeight="false" outlineLevel="0" collapsed="false">
      <c r="BZ711" s="0" t="s">
        <v>78</v>
      </c>
      <c r="CA711" s="0" t="s">
        <v>79</v>
      </c>
      <c r="CG711" s="0" t="s">
        <v>78</v>
      </c>
      <c r="CH711" s="0" t="s">
        <v>79</v>
      </c>
      <c r="CN711" s="0" t="s">
        <v>78</v>
      </c>
      <c r="CO711" s="0" t="s">
        <v>79</v>
      </c>
      <c r="CU711" s="0" t="s">
        <v>78</v>
      </c>
      <c r="CV711" s="0" t="s">
        <v>79</v>
      </c>
    </row>
    <row r="713" customFormat="false" ht="12.8" hidden="false" customHeight="false" outlineLevel="0" collapsed="false">
      <c r="BZ713" s="0" t="s">
        <v>84</v>
      </c>
      <c r="CG713" s="0" t="s">
        <v>84</v>
      </c>
      <c r="CN713" s="0" t="s">
        <v>84</v>
      </c>
      <c r="CU713" s="0" t="s">
        <v>84</v>
      </c>
    </row>
    <row r="714" customFormat="false" ht="12.8" hidden="false" customHeight="false" outlineLevel="0" collapsed="false">
      <c r="BZ714" s="0" t="n">
        <f aca="false" t="array" ref="BZ714:CC718">LINEST($BG$95:$BG$132 , $BJ$95:$BL$132 , 1 , 1)</f>
        <v>2.35535511784666</v>
      </c>
      <c r="CA714" s="0" t="n">
        <v>0.384183571247483</v>
      </c>
      <c r="CB714" s="0" t="n">
        <v>0.840256910795675</v>
      </c>
      <c r="CC714" s="0" t="n">
        <v>33.7484943122836</v>
      </c>
      <c r="CG714" s="0" t="n">
        <f aca="false" t="array" ref="CG714:CJ718">LINEST($BH$95:$BH$132 , $BJ$95:$BL$132 , 1 , 1)</f>
        <v>1.84363862057518</v>
      </c>
      <c r="CH714" s="0" t="n">
        <v>0.276844331079389</v>
      </c>
      <c r="CI714" s="0" t="n">
        <v>0.657663140088664</v>
      </c>
      <c r="CJ714" s="0" t="n">
        <v>35.5920471084493</v>
      </c>
      <c r="CN714" s="0" t="n">
        <f aca="false" t="array" ref="CN714:CQ718">LINEST($BI$95:$BI$132 , $BJ$95:$BL$132 , 1 , 1)</f>
        <v>2.42330127080051</v>
      </c>
      <c r="CO714" s="0" t="n">
        <v>0.247698062736662</v>
      </c>
      <c r="CP714" s="0" t="n">
        <v>0.491482218522119</v>
      </c>
      <c r="CQ714" s="0" t="n">
        <v>35.0962367966217</v>
      </c>
      <c r="CU714" s="0" t="n">
        <f aca="false" t="array" ref="CU714:CV718">LINEST($BM$95:$BM$132 , $BL$95:$BL$132 , 1 , 1)</f>
        <v>-0.638852603342783</v>
      </c>
      <c r="CV714" s="0" t="n">
        <v>8.75873856508141</v>
      </c>
    </row>
    <row r="715" customFormat="false" ht="12.8" hidden="false" customHeight="false" outlineLevel="0" collapsed="false">
      <c r="BZ715" s="0" t="n">
        <v>0.329390313926833</v>
      </c>
      <c r="CA715" s="0" t="n">
        <v>0.111594256694338</v>
      </c>
      <c r="CB715" s="0" t="n">
        <v>0.1824506887563</v>
      </c>
      <c r="CC715" s="0" t="n">
        <v>0.641129196456942</v>
      </c>
      <c r="CG715" s="0" t="n">
        <v>0.440322046599098</v>
      </c>
      <c r="CH715" s="0" t="n">
        <v>0.149176856206132</v>
      </c>
      <c r="CI715" s="0" t="n">
        <v>0.243896244910328</v>
      </c>
      <c r="CJ715" s="0" t="n">
        <v>0.857048030808408</v>
      </c>
      <c r="CN715" s="0" t="n">
        <v>0.437323598898432</v>
      </c>
      <c r="CO715" s="0" t="n">
        <v>0.148161011087908</v>
      </c>
      <c r="CP715" s="0" t="n">
        <v>0.242235392040478</v>
      </c>
      <c r="CQ715" s="0" t="n">
        <v>0.851211816798261</v>
      </c>
      <c r="CU715" s="0" t="n">
        <v>1.43602994710897</v>
      </c>
      <c r="CV715" s="0" t="n">
        <v>1.96934646543522</v>
      </c>
    </row>
    <row r="716" customFormat="false" ht="12.8" hidden="false" customHeight="false" outlineLevel="0" collapsed="false">
      <c r="BZ716" s="0" t="n">
        <v>0.757677252871352</v>
      </c>
      <c r="CA716" s="0" t="n">
        <v>0.254371357380873</v>
      </c>
      <c r="CB716" s="0" t="e">
        <v>#N/A</v>
      </c>
      <c r="CC716" s="0" t="e">
        <v>#N/A</v>
      </c>
      <c r="CG716" s="0" t="n">
        <v>0.517645754082523</v>
      </c>
      <c r="CH716" s="0" t="n">
        <v>0.340038282677056</v>
      </c>
      <c r="CI716" s="0" t="e">
        <v>#N/A</v>
      </c>
      <c r="CJ716" s="0" t="e">
        <v>#N/A</v>
      </c>
      <c r="CN716" s="0" t="n">
        <v>0.58402537867328</v>
      </c>
      <c r="CO716" s="0" t="n">
        <v>0.337722734285358</v>
      </c>
      <c r="CP716" s="0" t="e">
        <v>#N/A</v>
      </c>
      <c r="CQ716" s="0" t="e">
        <v>#N/A</v>
      </c>
      <c r="CU716" s="0" t="n">
        <v>0.00546752543596281</v>
      </c>
      <c r="CV716" s="0" t="n">
        <v>1.1893748454785</v>
      </c>
    </row>
    <row r="717" customFormat="false" ht="12.8" hidden="false" customHeight="false" outlineLevel="0" collapsed="false">
      <c r="BZ717" s="0" t="n">
        <v>35.4362475979876</v>
      </c>
      <c r="CA717" s="0" t="n">
        <v>34</v>
      </c>
      <c r="CB717" s="0" t="e">
        <v>#N/A</v>
      </c>
      <c r="CC717" s="0" t="e">
        <v>#N/A</v>
      </c>
      <c r="CG717" s="0" t="n">
        <v>12.1625380708385</v>
      </c>
      <c r="CH717" s="0" t="n">
        <v>34</v>
      </c>
      <c r="CI717" s="0" t="e">
        <v>#N/A</v>
      </c>
      <c r="CJ717" s="0" t="e">
        <v>#N/A</v>
      </c>
      <c r="CN717" s="0" t="n">
        <v>15.9119185457032</v>
      </c>
      <c r="CO717" s="0" t="n">
        <v>34</v>
      </c>
      <c r="CP717" s="0" t="e">
        <v>#N/A</v>
      </c>
      <c r="CQ717" s="0" t="e">
        <v>#N/A</v>
      </c>
      <c r="CU717" s="0" t="n">
        <v>0.197913010111554</v>
      </c>
      <c r="CV717" s="0" t="n">
        <v>36</v>
      </c>
    </row>
    <row r="718" customFormat="false" ht="12.8" hidden="false" customHeight="false" outlineLevel="0" collapsed="false">
      <c r="BZ718" s="0" t="n">
        <v>6.8786846071754</v>
      </c>
      <c r="CA718" s="0" t="n">
        <v>2.19996277349679</v>
      </c>
      <c r="CB718" s="0" t="e">
        <v>#N/A</v>
      </c>
      <c r="CC718" s="0" t="e">
        <v>#N/A</v>
      </c>
      <c r="CG718" s="0" t="n">
        <v>4.21891811005669</v>
      </c>
      <c r="CH718" s="0" t="n">
        <v>3.93128514532269</v>
      </c>
      <c r="CI718" s="0" t="e">
        <v>#N/A</v>
      </c>
      <c r="CJ718" s="0" t="e">
        <v>#N/A</v>
      </c>
      <c r="CN718" s="0" t="n">
        <v>5.44458014659423</v>
      </c>
      <c r="CO718" s="0" t="n">
        <v>3.87792593860807</v>
      </c>
      <c r="CP718" s="0" t="e">
        <v>#N/A</v>
      </c>
      <c r="CQ718" s="0" t="e">
        <v>#N/A</v>
      </c>
      <c r="CU718" s="0" t="n">
        <v>0.27997022257971</v>
      </c>
      <c r="CV718" s="0" t="n">
        <v>50.9260508300519</v>
      </c>
    </row>
    <row r="720" customFormat="false" ht="12.8" hidden="false" customHeight="false" outlineLevel="0" collapsed="false">
      <c r="BZ720" s="0" t="s">
        <v>100</v>
      </c>
      <c r="CG720" s="0" t="s">
        <v>100</v>
      </c>
      <c r="CN720" s="0" t="s">
        <v>100</v>
      </c>
      <c r="CU720" s="0" t="s">
        <v>100</v>
      </c>
    </row>
    <row r="721" customFormat="false" ht="12.8" hidden="false" customHeight="false" outlineLevel="0" collapsed="false">
      <c r="BZ721" s="0" t="s">
        <v>103</v>
      </c>
      <c r="CA721" s="0" t="n">
        <f aca="false">$BZ$716</f>
        <v>0.757677252871352</v>
      </c>
      <c r="CG721" s="0" t="s">
        <v>103</v>
      </c>
      <c r="CH721" s="0" t="n">
        <f aca="false">$CG$716</f>
        <v>0.517645754082523</v>
      </c>
      <c r="CN721" s="0" t="s">
        <v>103</v>
      </c>
      <c r="CO721" s="0" t="n">
        <f aca="false">$CN$716</f>
        <v>0.58402537867328</v>
      </c>
      <c r="CU721" s="0" t="s">
        <v>103</v>
      </c>
      <c r="CV721" s="0" t="n">
        <f aca="false">$CU$716</f>
        <v>0.00546752543596281</v>
      </c>
    </row>
    <row r="722" customFormat="false" ht="12.8" hidden="false" customHeight="false" outlineLevel="0" collapsed="false">
      <c r="BZ722" s="0" t="s">
        <v>106</v>
      </c>
      <c r="CA722" s="0" t="n">
        <f aca="false">$CA$716</f>
        <v>0.254371357380873</v>
      </c>
      <c r="CG722" s="0" t="s">
        <v>106</v>
      </c>
      <c r="CH722" s="0" t="n">
        <f aca="false">$CH$716</f>
        <v>0.340038282677056</v>
      </c>
      <c r="CN722" s="0" t="s">
        <v>106</v>
      </c>
      <c r="CO722" s="0" t="n">
        <f aca="false">$CO$716</f>
        <v>0.337722734285358</v>
      </c>
      <c r="CU722" s="0" t="s">
        <v>106</v>
      </c>
      <c r="CV722" s="0" t="n">
        <f aca="false">$CV$716</f>
        <v>1.1893748454785</v>
      </c>
    </row>
    <row r="723" customFormat="false" ht="12.8" hidden="false" customHeight="false" outlineLevel="0" collapsed="false">
      <c r="BZ723" s="0" t="s">
        <v>109</v>
      </c>
      <c r="CA723" s="0" t="n">
        <f aca="false">3</f>
        <v>3</v>
      </c>
      <c r="CG723" s="0" t="s">
        <v>109</v>
      </c>
      <c r="CH723" s="0" t="n">
        <f aca="false">3</f>
        <v>3</v>
      </c>
      <c r="CN723" s="0" t="s">
        <v>109</v>
      </c>
      <c r="CO723" s="0" t="n">
        <f aca="false">3</f>
        <v>3</v>
      </c>
      <c r="CU723" s="0" t="s">
        <v>109</v>
      </c>
      <c r="CV723" s="0" t="n">
        <f aca="false">1</f>
        <v>1</v>
      </c>
    </row>
    <row r="724" customFormat="false" ht="12.8" hidden="false" customHeight="false" outlineLevel="0" collapsed="false">
      <c r="BZ724" s="0" t="s">
        <v>112</v>
      </c>
      <c r="CA724" s="0" t="n">
        <f aca="false">38</f>
        <v>38</v>
      </c>
      <c r="CG724" s="0" t="s">
        <v>112</v>
      </c>
      <c r="CH724" s="0" t="n">
        <f aca="false">38</f>
        <v>38</v>
      </c>
      <c r="CN724" s="0" t="s">
        <v>112</v>
      </c>
      <c r="CO724" s="0" t="n">
        <f aca="false">38</f>
        <v>38</v>
      </c>
      <c r="CU724" s="0" t="s">
        <v>112</v>
      </c>
      <c r="CV724" s="0" t="n">
        <f aca="false">38</f>
        <v>38</v>
      </c>
    </row>
    <row r="725" customFormat="false" ht="12.8" hidden="false" customHeight="false" outlineLevel="0" collapsed="false">
      <c r="BZ725" s="0" t="s">
        <v>115</v>
      </c>
      <c r="CA725" s="0" t="n">
        <f aca="false">1 - (1 - $BZ$716)*($CA$724 - 1)/($CA$724 - $CA$723 - 1)</f>
        <v>0.736295834007059</v>
      </c>
      <c r="CG725" s="0" t="s">
        <v>115</v>
      </c>
      <c r="CH725" s="0" t="n">
        <f aca="false">1 - (1 - $CG$716)*($CH$724 - 1)/($CH$724 - $CH$723 - 1)</f>
        <v>0.475085085325098</v>
      </c>
      <c r="CN725" s="0" t="s">
        <v>115</v>
      </c>
      <c r="CO725" s="0" t="n">
        <f aca="false">1 - (1 - $CN$716)*($CO$724 - 1)/($CO$724 - $CO$723 - 1)</f>
        <v>0.54732173561504</v>
      </c>
      <c r="CU725" s="0" t="s">
        <v>115</v>
      </c>
      <c r="CV725" s="0" t="n">
        <f aca="false">1 - (1 - $CU$716)*($CV$724 - 1)/($CV$724 - $CV$723 - 1)</f>
        <v>-0.0221583766352604</v>
      </c>
    </row>
    <row r="727" customFormat="false" ht="12.8" hidden="false" customHeight="false" outlineLevel="0" collapsed="false">
      <c r="BZ727" s="0" t="s">
        <v>120</v>
      </c>
      <c r="CG727" s="0" t="s">
        <v>120</v>
      </c>
      <c r="CN727" s="0" t="s">
        <v>120</v>
      </c>
      <c r="CU727" s="0" t="s">
        <v>120</v>
      </c>
    </row>
    <row r="728" customFormat="false" ht="12.8" hidden="false" customHeight="false" outlineLevel="0" collapsed="false">
      <c r="CA728" s="0" t="s">
        <v>123</v>
      </c>
      <c r="CB728" s="0" t="s">
        <v>124</v>
      </c>
      <c r="CC728" s="0" t="s">
        <v>125</v>
      </c>
      <c r="CD728" s="0" t="s">
        <v>126</v>
      </c>
      <c r="CE728" s="0" t="s">
        <v>127</v>
      </c>
      <c r="CH728" s="0" t="s">
        <v>123</v>
      </c>
      <c r="CI728" s="0" t="s">
        <v>124</v>
      </c>
      <c r="CJ728" s="0" t="s">
        <v>125</v>
      </c>
      <c r="CK728" s="0" t="s">
        <v>126</v>
      </c>
      <c r="CL728" s="0" t="s">
        <v>127</v>
      </c>
      <c r="CO728" s="0" t="s">
        <v>123</v>
      </c>
      <c r="CP728" s="0" t="s">
        <v>124</v>
      </c>
      <c r="CQ728" s="0" t="s">
        <v>125</v>
      </c>
      <c r="CR728" s="0" t="s">
        <v>126</v>
      </c>
      <c r="CS728" s="0" t="s">
        <v>127</v>
      </c>
      <c r="CV728" s="0" t="s">
        <v>123</v>
      </c>
      <c r="CW728" s="0" t="s">
        <v>124</v>
      </c>
      <c r="CX728" s="0" t="s">
        <v>125</v>
      </c>
      <c r="CY728" s="0" t="s">
        <v>126</v>
      </c>
      <c r="CZ728" s="0" t="s">
        <v>127</v>
      </c>
    </row>
    <row r="729" customFormat="false" ht="12.8" hidden="false" customHeight="false" outlineLevel="0" collapsed="false">
      <c r="BZ729" s="0" t="s">
        <v>130</v>
      </c>
      <c r="CA729" s="0" t="n">
        <f aca="false">$CA$723</f>
        <v>3</v>
      </c>
      <c r="CB729" s="0" t="n">
        <f aca="false">$BZ$718</f>
        <v>6.8786846071754</v>
      </c>
      <c r="CC729" s="0" t="n">
        <f aca="false">$BZ$718 / $CA$729</f>
        <v>2.29289486905847</v>
      </c>
      <c r="CD729" s="0" t="n">
        <f aca="false">$BZ$717</f>
        <v>35.4362475979876</v>
      </c>
      <c r="CE729" s="0" t="n">
        <f aca="false">FDIST($BZ$717 , $CA$729 , $CA$717)</f>
        <v>1.42997615445453E-010</v>
      </c>
      <c r="CG729" s="0" t="s">
        <v>130</v>
      </c>
      <c r="CH729" s="0" t="n">
        <f aca="false">$CH$723</f>
        <v>3</v>
      </c>
      <c r="CI729" s="0" t="n">
        <f aca="false">$CG$718</f>
        <v>4.21891811005669</v>
      </c>
      <c r="CJ729" s="0" t="n">
        <f aca="false">$CG$718 / $CH$729</f>
        <v>1.40630603668556</v>
      </c>
      <c r="CK729" s="0" t="n">
        <f aca="false">$CG$717</f>
        <v>12.1625380708385</v>
      </c>
      <c r="CL729" s="0" t="n">
        <f aca="false">FDIST($CG$717 , $CH$729 , $CH$717)</f>
        <v>1.45265445961492E-005</v>
      </c>
      <c r="CN729" s="0" t="s">
        <v>130</v>
      </c>
      <c r="CO729" s="0" t="n">
        <f aca="false">$CO$723</f>
        <v>3</v>
      </c>
      <c r="CP729" s="0" t="n">
        <f aca="false">$CN$718</f>
        <v>5.44458014659423</v>
      </c>
      <c r="CQ729" s="0" t="n">
        <f aca="false">$CN$718 / $CO$729</f>
        <v>1.81486004886474</v>
      </c>
      <c r="CR729" s="0" t="n">
        <f aca="false">$CN$717</f>
        <v>15.9119185457032</v>
      </c>
      <c r="CS729" s="0" t="n">
        <f aca="false">FDIST($CN$717 , $CO$729 , $CO$717)</f>
        <v>1.23818692155909E-006</v>
      </c>
      <c r="CU729" s="0" t="s">
        <v>130</v>
      </c>
      <c r="CV729" s="0" t="n">
        <f aca="false">$CV$723</f>
        <v>1</v>
      </c>
      <c r="CW729" s="0" t="n">
        <f aca="false">$CU$718</f>
        <v>0.27997022257971</v>
      </c>
      <c r="CX729" s="0" t="n">
        <f aca="false">$CU$718 / $CV$729</f>
        <v>0.27997022257971</v>
      </c>
      <c r="CY729" s="0" t="n">
        <f aca="false">$CU$717</f>
        <v>0.197913010111554</v>
      </c>
      <c r="CZ729" s="0" t="n">
        <f aca="false">FDIST($CU$717 , $CV$729 , $CV$717)</f>
        <v>0.659074104586054</v>
      </c>
    </row>
    <row r="730" customFormat="false" ht="12.8" hidden="false" customHeight="false" outlineLevel="0" collapsed="false">
      <c r="BZ730" s="0" t="s">
        <v>133</v>
      </c>
      <c r="CA730" s="0" t="n">
        <f aca="false">$CA$717</f>
        <v>34</v>
      </c>
      <c r="CB730" s="0" t="n">
        <f aca="false">$CA$718</f>
        <v>2.19996277349679</v>
      </c>
      <c r="CC730" s="0" t="n">
        <f aca="false">$CA$718 / $CA$717</f>
        <v>0.064704787455788</v>
      </c>
      <c r="CG730" s="0" t="s">
        <v>133</v>
      </c>
      <c r="CH730" s="0" t="n">
        <f aca="false">$CH$717</f>
        <v>34</v>
      </c>
      <c r="CI730" s="0" t="n">
        <f aca="false">$CH$718</f>
        <v>3.93128514532269</v>
      </c>
      <c r="CJ730" s="0" t="n">
        <f aca="false">$CH$718 / $CH$717</f>
        <v>0.115626033685961</v>
      </c>
      <c r="CN730" s="0" t="s">
        <v>133</v>
      </c>
      <c r="CO730" s="0" t="n">
        <f aca="false">$CO$717</f>
        <v>34</v>
      </c>
      <c r="CP730" s="0" t="n">
        <f aca="false">$CO$718</f>
        <v>3.87792593860807</v>
      </c>
      <c r="CQ730" s="0" t="n">
        <f aca="false">$CO$718 / $CO$717</f>
        <v>0.114056645253179</v>
      </c>
      <c r="CU730" s="0" t="s">
        <v>133</v>
      </c>
      <c r="CV730" s="0" t="n">
        <f aca="false">$CV$717</f>
        <v>36</v>
      </c>
      <c r="CW730" s="0" t="n">
        <f aca="false">$CV$718</f>
        <v>50.9260508300519</v>
      </c>
      <c r="CX730" s="0" t="n">
        <f aca="false">$CV$718 / $CV$717</f>
        <v>1.414612523057</v>
      </c>
    </row>
    <row r="731" customFormat="false" ht="12.8" hidden="false" customHeight="false" outlineLevel="0" collapsed="false">
      <c r="BZ731" s="0" t="s">
        <v>136</v>
      </c>
      <c r="CA731" s="0" t="n">
        <f aca="false">$CA$729 + $CA$717</f>
        <v>37</v>
      </c>
      <c r="CB731" s="0" t="n">
        <f aca="false">$BZ$718 + $CA$718</f>
        <v>9.07864738067219</v>
      </c>
      <c r="CG731" s="0" t="s">
        <v>136</v>
      </c>
      <c r="CH731" s="0" t="n">
        <f aca="false">$CH$729 + $CH$717</f>
        <v>37</v>
      </c>
      <c r="CI731" s="0" t="n">
        <f aca="false">$CG$718 + $CH$718</f>
        <v>8.15020325537938</v>
      </c>
      <c r="CN731" s="0" t="s">
        <v>136</v>
      </c>
      <c r="CO731" s="0" t="n">
        <f aca="false">$CO$729 + $CO$717</f>
        <v>37</v>
      </c>
      <c r="CP731" s="0" t="n">
        <f aca="false">$CN$718 + $CO$718</f>
        <v>9.32250608520231</v>
      </c>
      <c r="CU731" s="0" t="s">
        <v>136</v>
      </c>
      <c r="CV731" s="0" t="n">
        <f aca="false">$CV$729 + $CV$717</f>
        <v>37</v>
      </c>
      <c r="CW731" s="0" t="n">
        <f aca="false">$CU$718 + $CV$718</f>
        <v>51.2060210526316</v>
      </c>
    </row>
    <row r="733" customFormat="false" ht="12.8" hidden="false" customHeight="false" outlineLevel="0" collapsed="false">
      <c r="BZ733" s="0" t="s">
        <v>141</v>
      </c>
      <c r="CA733" s="0" t="n">
        <v>0.95</v>
      </c>
      <c r="CG733" s="0" t="s">
        <v>141</v>
      </c>
      <c r="CH733" s="0" t="n">
        <v>0.95</v>
      </c>
      <c r="CN733" s="0" t="s">
        <v>141</v>
      </c>
      <c r="CO733" s="0" t="n">
        <v>0.95</v>
      </c>
      <c r="CU733" s="0" t="s">
        <v>141</v>
      </c>
      <c r="CV733" s="0" t="n">
        <v>0.95</v>
      </c>
    </row>
    <row r="735" customFormat="false" ht="12.8" hidden="false" customHeight="false" outlineLevel="0" collapsed="false">
      <c r="CA735" s="0" t="s">
        <v>146</v>
      </c>
      <c r="CB735" s="0" t="s">
        <v>106</v>
      </c>
      <c r="CC735" s="0" t="s">
        <v>147</v>
      </c>
      <c r="CD735" s="0" t="s">
        <v>148</v>
      </c>
      <c r="CE735" s="0" t="str">
        <f aca="false">_xlfn.CONCAT("Lower " , INT($CA$733 * 100) , "%")</f>
        <v>Lower 95%</v>
      </c>
      <c r="CF735" s="0" t="str">
        <f aca="false">_xlfn.CONCAT("Upper " , INT($CA$733 * 100) , "%")</f>
        <v>Upper 95%</v>
      </c>
      <c r="CH735" s="0" t="s">
        <v>146</v>
      </c>
      <c r="CI735" s="0" t="s">
        <v>106</v>
      </c>
      <c r="CJ735" s="0" t="s">
        <v>147</v>
      </c>
      <c r="CK735" s="0" t="s">
        <v>148</v>
      </c>
      <c r="CL735" s="0" t="str">
        <f aca="false">_xlfn.CONCAT("Lower " , INT($CH$733 * 100) , "%")</f>
        <v>Lower 95%</v>
      </c>
      <c r="CM735" s="0" t="str">
        <f aca="false">_xlfn.CONCAT("Upper " , INT($CH$733 * 100) , "%")</f>
        <v>Upper 95%</v>
      </c>
      <c r="CO735" s="0" t="s">
        <v>146</v>
      </c>
      <c r="CP735" s="0" t="s">
        <v>106</v>
      </c>
      <c r="CQ735" s="0" t="s">
        <v>147</v>
      </c>
      <c r="CR735" s="0" t="s">
        <v>148</v>
      </c>
      <c r="CS735" s="0" t="str">
        <f aca="false">_xlfn.CONCAT("Lower " , INT($CO$733 * 100) , "%")</f>
        <v>Lower 95%</v>
      </c>
      <c r="CT735" s="0" t="str">
        <f aca="false">_xlfn.CONCAT("Upper " , INT($CO$733 * 100) , "%")</f>
        <v>Upper 95%</v>
      </c>
      <c r="CV735" s="0" t="s">
        <v>146</v>
      </c>
      <c r="CW735" s="0" t="s">
        <v>106</v>
      </c>
      <c r="CX735" s="0" t="s">
        <v>147</v>
      </c>
      <c r="CY735" s="0" t="s">
        <v>148</v>
      </c>
      <c r="CZ735" s="0" t="str">
        <f aca="false">_xlfn.CONCAT("Lower " , INT($CV$733 * 100) , "%")</f>
        <v>Lower 95%</v>
      </c>
      <c r="DA735" s="0" t="str">
        <f aca="false">_xlfn.CONCAT("Upper " , INT($CV$733 * 100) , "%")</f>
        <v>Upper 95%</v>
      </c>
    </row>
    <row r="736" customFormat="false" ht="12.8" hidden="false" customHeight="false" outlineLevel="0" collapsed="false">
      <c r="BZ736" s="0" t="str">
        <f aca="false">"Intercept"</f>
        <v>Intercept</v>
      </c>
      <c r="CA736" s="0" t="n">
        <f aca="false" t="array" ref="CA736:CA739">INDEX($BZ$714:$CC$714, 1 , 740 - ROW())</f>
        <v>33.7484943122836</v>
      </c>
      <c r="CB736" s="0" t="n">
        <f aca="false" t="array" ref="CB736:CB739">INDEX($BZ$715:$CC$715, 1 , 740 - ROW())</f>
        <v>0.641129196456942</v>
      </c>
      <c r="CC736" s="0" t="n">
        <f aca="false" t="array" ref="CC736:CC739">$CA$736:$CA$739 / $CB$736:$CB$739</f>
        <v>52.6391474585578</v>
      </c>
      <c r="CD736" s="0" t="n">
        <f aca="false" t="array" ref="CD736:CD739">TDIST(ABS($CC$736:$CC$739) , $CA$717 , 2 )</f>
        <v>3.59838174548126E-034</v>
      </c>
      <c r="CE736" s="0" t="n">
        <f aca="false" t="array" ref="CE736:CE739">$CA$736:$CA$739 - $CB$736:$CB$739 * TINV(1 - $CA$733 , $CA$717)</f>
        <v>32.4455630230207</v>
      </c>
      <c r="CF736" s="0" t="n">
        <f aca="false" t="array" ref="CF736:CF739">$CA$736:$CA$739 + $CB$736:$CB$739 * TINV(1 - $CA$733 , $CA$717)</f>
        <v>35.0514256015465</v>
      </c>
      <c r="CG736" s="0" t="str">
        <f aca="false">"Intercept"</f>
        <v>Intercept</v>
      </c>
      <c r="CH736" s="0" t="n">
        <f aca="false" t="array" ref="CH736:CH739">INDEX($CG$714:$CJ$714, 1 , 740 - ROW())</f>
        <v>35.5920471084493</v>
      </c>
      <c r="CI736" s="0" t="n">
        <f aca="false" t="array" ref="CI736:CI739">INDEX($CG$715:$CJ$715, 1 , 740 - ROW())</f>
        <v>0.857048030808408</v>
      </c>
      <c r="CJ736" s="0" t="n">
        <f aca="false" t="array" ref="CJ736:CJ739">$CH$736:$CH$739 / $CI$736:$CI$739</f>
        <v>41.5286493043771</v>
      </c>
      <c r="CK736" s="0" t="n">
        <f aca="false" t="array" ref="CK736:CK739">TDIST(ABS($CJ$736:$CJ$739) , $CH$717 , 2 )</f>
        <v>1.009695327841E-030</v>
      </c>
      <c r="CL736" s="0" t="n">
        <f aca="false" t="array" ref="CL736:CL739">$CH$736:$CH$739 - $CI$736:$CI$739 * TINV(1 - $CH$733 , $CH$717)</f>
        <v>33.8503159536174</v>
      </c>
      <c r="CM736" s="0" t="n">
        <f aca="false" t="array" ref="CM736:CM739">$CH$736:$CH$739 + $CI$736:$CI$739 * TINV(1 - $CH$733 , $CH$717)</f>
        <v>37.3337782632813</v>
      </c>
      <c r="CN736" s="0" t="str">
        <f aca="false">"Intercept"</f>
        <v>Intercept</v>
      </c>
      <c r="CO736" s="0" t="n">
        <f aca="false" t="array" ref="CO736:CO739">INDEX($CN$714:$CQ$714, 1 , 740 - ROW())</f>
        <v>35.0962367966217</v>
      </c>
      <c r="CP736" s="0" t="n">
        <f aca="false" t="array" ref="CP736:CP739">INDEX($CN$715:$CQ$715, 1 , 740 - ROW())</f>
        <v>0.851211816798261</v>
      </c>
      <c r="CQ736" s="0" t="n">
        <f aca="false" t="array" ref="CQ736:CQ739">$CO$736:$CO$739 / $CP$736:$CP$739</f>
        <v>41.2309088102562</v>
      </c>
      <c r="CR736" s="0" t="n">
        <f aca="false" t="array" ref="CR736:CR739">TDIST(ABS($CQ$736:$CQ$739) , $CO$717 , 2 )</f>
        <v>1.28358800439121E-030</v>
      </c>
      <c r="CS736" s="0" t="n">
        <f aca="false" t="array" ref="CS736:CS739">$CO$736:$CO$739 - $CP$736:$CP$739 * TINV(1 - $CO$733 , $CO$717)</f>
        <v>33.366366255667</v>
      </c>
      <c r="CT736" s="0" t="n">
        <f aca="false" t="array" ref="CT736:CT739">$CO$736:$CO$739 + $CP$736:$CP$739 * TINV(1 - $CO$733 , $CO$717)</f>
        <v>36.8261073375763</v>
      </c>
      <c r="CU736" s="0" t="str">
        <f aca="false">"Intercept"</f>
        <v>Intercept</v>
      </c>
      <c r="CV736" s="0" t="n">
        <f aca="false" t="array" ref="CV736:CV737">INDEX($CU$714:$CV$714, 1 , 738 - ROW())</f>
        <v>8.75873856508141</v>
      </c>
      <c r="CW736" s="0" t="n">
        <f aca="false" t="array" ref="CW736:CW737">INDEX($CU$715:$CV$715, 1 , 738 - ROW())</f>
        <v>1.96934646543522</v>
      </c>
      <c r="CX736" s="0" t="n">
        <f aca="false" t="array" ref="CX736:CX737">$CV$736:$CV$737 / $CW$736:$CW$737</f>
        <v>4.4475356260615</v>
      </c>
      <c r="CY736" s="0" t="n">
        <f aca="false" t="array" ref="CY736:CY737">TDIST(ABS($CX$736:$CX$737) , $CV$717 , 2 )</f>
        <v>8.01310016086565E-005</v>
      </c>
      <c r="CZ736" s="0" t="n">
        <f aca="false" t="array" ref="CZ736:CZ737">$CV$736:$CV$737 - $CW$736:$CW$737 * TINV(1 - $CV$733 , $CV$717)</f>
        <v>4.7647188126802</v>
      </c>
      <c r="DA736" s="0" t="n">
        <f aca="false" t="array" ref="DA736:DA737">$CV$736:$CV$737 + $CW$736:$CW$737 * TINV(1 - $CV$733 , $CV$717)</f>
        <v>12.7527583174826</v>
      </c>
    </row>
    <row r="737" customFormat="false" ht="12.8" hidden="false" customHeight="false" outlineLevel="0" collapsed="false">
      <c r="BS737" s="24"/>
      <c r="BZ737" s="24" t="str">
        <f aca="false">$BJ$94</f>
        <v>log (R)</v>
      </c>
      <c r="CA737" s="0" t="n">
        <v>0.840256910795675</v>
      </c>
      <c r="CB737" s="0" t="n">
        <v>0.1824506887563</v>
      </c>
      <c r="CC737" s="0" t="n">
        <v>4.60539182681854</v>
      </c>
      <c r="CD737" s="0" t="n">
        <v>5.54628421999085E-005</v>
      </c>
      <c r="CE737" s="0" t="n">
        <v>0.469472500349449</v>
      </c>
      <c r="CF737" s="0" t="n">
        <v>1.2110413212419</v>
      </c>
      <c r="CG737" s="24" t="str">
        <f aca="false">$BJ$94</f>
        <v>log (R)</v>
      </c>
      <c r="CH737" s="0" t="n">
        <v>0.657663140088664</v>
      </c>
      <c r="CI737" s="0" t="n">
        <v>0.243896244910328</v>
      </c>
      <c r="CJ737" s="0" t="n">
        <v>2.6964873539995</v>
      </c>
      <c r="CK737" s="0" t="n">
        <v>0.0108202226775011</v>
      </c>
      <c r="CL737" s="0" t="n">
        <v>0.16200633552644</v>
      </c>
      <c r="CM737" s="24" t="n">
        <v>1.15331994465089</v>
      </c>
      <c r="CN737" s="24" t="str">
        <f aca="false">$BJ$94</f>
        <v>log (R)</v>
      </c>
      <c r="CO737" s="0" t="n">
        <v>0.491482218522119</v>
      </c>
      <c r="CP737" s="0" t="n">
        <v>0.242235392040478</v>
      </c>
      <c r="CQ737" s="0" t="n">
        <v>2.02894471522969</v>
      </c>
      <c r="CR737" s="0" t="n">
        <v>0.0503525974830593</v>
      </c>
      <c r="CS737" s="0" t="n">
        <v>-0.000799326914566856</v>
      </c>
      <c r="CT737" s="0" t="n">
        <v>0.983763763958805</v>
      </c>
      <c r="CU737" s="24" t="str">
        <f aca="false">$BL$94</f>
        <v>log (σHβ) (Km s-¹)</v>
      </c>
      <c r="CV737" s="0" t="n">
        <v>-0.638852603342783</v>
      </c>
      <c r="CW737" s="0" t="n">
        <v>1.43602994710897</v>
      </c>
      <c r="CX737" s="0" t="n">
        <v>-0.444874150869158</v>
      </c>
      <c r="CY737" s="0" t="n">
        <v>0.659074104586054</v>
      </c>
      <c r="CZ737" s="0" t="n">
        <v>-3.55125632430275</v>
      </c>
      <c r="DA737" s="0" t="n">
        <v>2.27355111761719</v>
      </c>
    </row>
    <row r="738" customFormat="false" ht="12.8" hidden="false" customHeight="false" outlineLevel="0" collapsed="false">
      <c r="BZ738" s="0" t="str">
        <f aca="false">$BK$94</f>
        <v>log (Whβ) FEROS</v>
      </c>
      <c r="CA738" s="0" t="n">
        <v>0.384183571247483</v>
      </c>
      <c r="CB738" s="0" t="n">
        <v>0.111594256694338</v>
      </c>
      <c r="CC738" s="0" t="n">
        <v>3.44268229053921</v>
      </c>
      <c r="CD738" s="0" t="n">
        <v>0.00154569475041706</v>
      </c>
      <c r="CE738" s="0" t="n">
        <v>0.157396755809023</v>
      </c>
      <c r="CF738" s="0" t="n">
        <v>0.610970386685942</v>
      </c>
      <c r="CG738" s="0" t="str">
        <f aca="false">$BK$94</f>
        <v>log (Whβ) FEROS</v>
      </c>
      <c r="CH738" s="0" t="n">
        <v>0.276844331079389</v>
      </c>
      <c r="CI738" s="0" t="n">
        <v>0.149176856206132</v>
      </c>
      <c r="CJ738" s="0" t="n">
        <v>1.85581287955853</v>
      </c>
      <c r="CK738" s="0" t="n">
        <v>0.0721655418226738</v>
      </c>
      <c r="CL738" s="0" t="n">
        <v>-0.0263195158628006</v>
      </c>
      <c r="CM738" s="0" t="n">
        <v>0.580008178021579</v>
      </c>
      <c r="CN738" s="0" t="str">
        <f aca="false">$BK$94</f>
        <v>log (Whβ) FEROS</v>
      </c>
      <c r="CO738" s="0" t="n">
        <v>0.247698062736662</v>
      </c>
      <c r="CP738" s="0" t="n">
        <v>0.148161011087908</v>
      </c>
      <c r="CQ738" s="0" t="n">
        <v>1.6718167682434</v>
      </c>
      <c r="CR738" s="0" t="n">
        <v>0.103740511285711</v>
      </c>
      <c r="CS738" s="0" t="n">
        <v>-0.0534013385417012</v>
      </c>
      <c r="CT738" s="0" t="n">
        <v>0.548797464015024</v>
      </c>
    </row>
    <row r="739" customFormat="false" ht="12.8" hidden="false" customHeight="false" outlineLevel="0" collapsed="false">
      <c r="BZ739" s="0" t="str">
        <f aca="false">$BL$94</f>
        <v>log (σHβ) (Km s-¹)</v>
      </c>
      <c r="CA739" s="0" t="n">
        <v>2.35535511784666</v>
      </c>
      <c r="CB739" s="0" t="n">
        <v>0.329390313926833</v>
      </c>
      <c r="CC739" s="0" t="n">
        <v>7.1506508183779</v>
      </c>
      <c r="CD739" s="0" t="n">
        <v>2.8812973933834E-008</v>
      </c>
      <c r="CE739" s="0" t="n">
        <v>1.68595346094642</v>
      </c>
      <c r="CF739" s="0" t="n">
        <v>3.02475677474691</v>
      </c>
      <c r="CG739" s="0" t="str">
        <f aca="false">$BL$94</f>
        <v>log (σHβ) (Km s-¹)</v>
      </c>
      <c r="CH739" s="0" t="n">
        <v>1.84363862057518</v>
      </c>
      <c r="CI739" s="0" t="n">
        <v>0.440322046599098</v>
      </c>
      <c r="CJ739" s="0" t="n">
        <v>4.18702319090046</v>
      </c>
      <c r="CK739" s="0" t="n">
        <v>0.000188847947811244</v>
      </c>
      <c r="CL739" s="0" t="n">
        <v>0.948796559042619</v>
      </c>
      <c r="CM739" s="0" t="n">
        <v>2.73848068210774</v>
      </c>
      <c r="CN739" s="0" t="str">
        <f aca="false">$BL$94</f>
        <v>log (σHβ) (Km s-¹)</v>
      </c>
      <c r="CO739" s="0" t="n">
        <v>2.42330127080051</v>
      </c>
      <c r="CP739" s="0" t="n">
        <v>0.437323598898432</v>
      </c>
      <c r="CQ739" s="0" t="n">
        <v>5.54120856250275</v>
      </c>
      <c r="CR739" s="0" t="n">
        <v>3.40067563610548E-006</v>
      </c>
      <c r="CS739" s="0" t="n">
        <v>1.53455278814411</v>
      </c>
      <c r="CT739" s="0" t="n">
        <v>3.31204975345691</v>
      </c>
      <c r="CU739" s="0" t="str">
        <f aca="false">$BL$94</f>
        <v>log (σHβ) (Km s-¹)</v>
      </c>
      <c r="CV739" s="0" t="s">
        <v>157</v>
      </c>
      <c r="CW739" s="0" t="str">
        <f aca="false">$BM$94</f>
        <v>log(O/H)</v>
      </c>
      <c r="CX739" s="0" t="s">
        <v>133</v>
      </c>
      <c r="CY739" s="26" t="s">
        <v>158</v>
      </c>
    </row>
    <row r="740" customFormat="false" ht="12.8" hidden="false" customHeight="false" outlineLevel="0" collapsed="false">
      <c r="CU740" s="0" t="n">
        <f aca="false" t="array" ref="CU740:CU777">$BL$95:$BL$132</f>
        <v>1.18752072083646</v>
      </c>
      <c r="CV740" s="0" t="n">
        <f aca="false" t="array" ref="CV740:CV777">MMULT($CU$740:$CU$777 , $CV$737) + $CV$736</f>
        <v>8.00008786105154</v>
      </c>
      <c r="CW740" s="0" t="n">
        <f aca="false" t="array" ref="CW740:CW777">$BM$95:$BM$132</f>
        <v>7.73</v>
      </c>
      <c r="CX740" s="0" t="n">
        <f aca="false" t="array" ref="CX740:CX777">$CW$740:$CW$777 - $CV$740:$CV$777</f>
        <v>-0.27008786105154</v>
      </c>
      <c r="CY740" s="20" t="n">
        <f aca="false">(CX740)^2</f>
        <v>0.0729474526873958</v>
      </c>
    </row>
    <row r="741" customFormat="false" ht="12.8" hidden="false" customHeight="false" outlineLevel="0" collapsed="false">
      <c r="BZ741" s="0" t="str">
        <f aca="false">$BJ$94</f>
        <v>log (R)</v>
      </c>
      <c r="CA741" s="0" t="str">
        <f aca="false">$BK$94</f>
        <v>log (Whβ) FEROS</v>
      </c>
      <c r="CB741" s="0" t="str">
        <f aca="false">$BL$94</f>
        <v>log (σHβ) (Km s-¹)</v>
      </c>
      <c r="CC741" s="0" t="s">
        <v>157</v>
      </c>
      <c r="CD741" s="0" t="str">
        <f aca="false">$BG$94</f>
        <v>log (LHβ) (erg s-¹) KTC</v>
      </c>
      <c r="CE741" s="0" t="s">
        <v>133</v>
      </c>
      <c r="CF741" s="26" t="s">
        <v>158</v>
      </c>
      <c r="CG741" s="0" t="str">
        <f aca="false">$BJ$94</f>
        <v>log (R)</v>
      </c>
      <c r="CH741" s="0" t="str">
        <f aca="false">$BK$94</f>
        <v>log (Whβ) FEROS</v>
      </c>
      <c r="CI741" s="0" t="str">
        <f aca="false">$BL$94</f>
        <v>log (σHβ) (Km s-¹)</v>
      </c>
      <c r="CJ741" s="0" t="s">
        <v>157</v>
      </c>
      <c r="CK741" s="0" t="str">
        <f aca="false">$BH$94</f>
        <v>log (LHβ) (erg s-¹) NTT</v>
      </c>
      <c r="CL741" s="0" t="s">
        <v>133</v>
      </c>
      <c r="CM741" s="26" t="s">
        <v>158</v>
      </c>
      <c r="CN741" s="0" t="str">
        <f aca="false">$BJ$94</f>
        <v>log (R)</v>
      </c>
      <c r="CO741" s="0" t="str">
        <f aca="false">$BK$94</f>
        <v>log (Whβ) FEROS</v>
      </c>
      <c r="CP741" s="0" t="str">
        <f aca="false">$BL$94</f>
        <v>log (σHβ) (Km s-¹)</v>
      </c>
      <c r="CQ741" s="0" t="s">
        <v>157</v>
      </c>
      <c r="CR741" s="0" t="str">
        <f aca="false">$BI$94</f>
        <v>log(LHβ) B.K (erg s-¹) NTT</v>
      </c>
      <c r="CS741" s="0" t="s">
        <v>133</v>
      </c>
      <c r="CT741" s="26" t="s">
        <v>158</v>
      </c>
      <c r="CU741" s="0" t="n">
        <v>1.32633586092875</v>
      </c>
      <c r="CV741" s="0" t="n">
        <v>7.91140544742019</v>
      </c>
      <c r="CW741" s="0" t="n">
        <v>8.18</v>
      </c>
      <c r="CX741" s="0" t="n">
        <v>0.268594552579813</v>
      </c>
      <c r="CY741" s="20" t="n">
        <f aca="false">(CX741)^2</f>
        <v>0.0721430336755501</v>
      </c>
    </row>
    <row r="742" customFormat="false" ht="12.8" hidden="false" customHeight="false" outlineLevel="0" collapsed="false">
      <c r="BZ742" s="0" t="n">
        <f aca="false" t="array" ref="BZ742:CB779">$BJ$95:$BL$132</f>
        <v>2.62956092768934</v>
      </c>
      <c r="CA742" s="0" t="n">
        <v>1.64345267648619</v>
      </c>
      <c r="CB742" s="0" t="n">
        <v>1.18752072083646</v>
      </c>
      <c r="CC742" s="0" t="n">
        <f aca="false" t="array" ref="CC742:CC779">MMULT($BZ$742:$CB$779 , $CA$737:$CA$739) + $CA$736</f>
        <v>39.3864215799327</v>
      </c>
      <c r="CD742" s="0" t="n">
        <f aca="false" t="array" ref="CD742:CD779">$BG$95:$BG$132</f>
        <v>39.4693811697741</v>
      </c>
      <c r="CE742" s="0" t="n">
        <f aca="false" t="array" ref="CE742:CE779">$CD$742:$CD$779 - $CC$742:$CC$779</f>
        <v>0.0829595898413871</v>
      </c>
      <c r="CF742" s="20" t="n">
        <f aca="false">(CE742)^2</f>
        <v>0.00688229354665117</v>
      </c>
      <c r="CG742" s="0" t="n">
        <f aca="false" t="array" ref="CG742:CI779">$BJ$95:$BL$132</f>
        <v>2.62956092768934</v>
      </c>
      <c r="CH742" s="0" t="n">
        <v>1.64345267648619</v>
      </c>
      <c r="CI742" s="0" t="n">
        <v>1.18752072083646</v>
      </c>
      <c r="CJ742" s="0" t="n">
        <f aca="false" t="array" ref="CJ742:CJ779">MMULT($CG$742:$CI$779 , $CH$737:$CH$739) + $CH$736</f>
        <v>39.9657520257578</v>
      </c>
      <c r="CK742" s="0" t="n">
        <f aca="false" t="array" ref="CK742:CK779">$BH$95:$BH$132</f>
        <v>39.926839874903</v>
      </c>
      <c r="CL742" s="0" t="n">
        <f aca="false" t="array" ref="CL742:CL779">$CK$742:$CK$779 - $CJ$742:$CJ$779</f>
        <v>-0.0389121508547916</v>
      </c>
      <c r="CM742" s="20" t="n">
        <f aca="false">(CL742)^2</f>
        <v>0.00151415548414606</v>
      </c>
      <c r="CN742" s="0" t="n">
        <f aca="false" t="array" ref="CN742:CP779">$BJ$95:$BL$132</f>
        <v>2.62956092768934</v>
      </c>
      <c r="CO742" s="0" t="n">
        <v>1.64345267648619</v>
      </c>
      <c r="CP742" s="0" t="n">
        <v>1.18752072083646</v>
      </c>
      <c r="CQ742" s="0" t="n">
        <f aca="false" t="array" ref="CQ742:CQ779">MMULT($CN$742:$CP$779 , $CO$737:$CO$739) + $CO$736</f>
        <v>39.6734197511714</v>
      </c>
      <c r="CR742" s="0" t="n">
        <f aca="false" t="array" ref="CR742:CR779">$BI$95:$BI$132</f>
        <v>39.926839874903</v>
      </c>
      <c r="CS742" s="0" t="n">
        <f aca="false" t="array" ref="CS742:CS779">$CR$742:$CR$779 - $CQ$742:$CQ$779</f>
        <v>0.253420123731573</v>
      </c>
      <c r="CT742" s="20" t="n">
        <f aca="false">(CS742)^2</f>
        <v>0.0642217591121256</v>
      </c>
      <c r="CU742" s="0" t="n">
        <v>1.52762990087134</v>
      </c>
      <c r="CV742" s="0" t="n">
        <v>7.78280822596548</v>
      </c>
      <c r="CW742" s="0" t="n">
        <v>8.08</v>
      </c>
      <c r="CX742" s="0" t="n">
        <v>0.297191774034523</v>
      </c>
      <c r="CY742" s="20" t="n">
        <f aca="false">(CX742)^2</f>
        <v>0.0883229505537872</v>
      </c>
    </row>
    <row r="743" customFormat="false" ht="12.8" hidden="false" customHeight="false" outlineLevel="0" collapsed="false">
      <c r="BZ743" s="0" t="n">
        <v>2.78221676211721</v>
      </c>
      <c r="CA743" s="0" t="n">
        <v>1.96848294855394</v>
      </c>
      <c r="CB743" s="0" t="n">
        <v>1.32633586092875</v>
      </c>
      <c r="CC743" s="0" t="n">
        <v>39.9665219411215</v>
      </c>
      <c r="CD743" s="0" t="n">
        <v>40.1317447055601</v>
      </c>
      <c r="CE743" s="0" t="n">
        <v>0.165222764438582</v>
      </c>
      <c r="CF743" s="20" t="n">
        <f aca="false">(CE743)^2</f>
        <v>0.0272985618887271</v>
      </c>
      <c r="CG743" s="0" t="n">
        <v>2.78221676211721</v>
      </c>
      <c r="CH743" s="0" t="n">
        <v>1.96848294855394</v>
      </c>
      <c r="CI743" s="0" t="n">
        <v>1.32633586092875</v>
      </c>
      <c r="CJ743" s="0" t="n">
        <v>40.4120558828263</v>
      </c>
      <c r="CK743" s="0" t="n">
        <v>40.6654832485069</v>
      </c>
      <c r="CL743" s="0" t="n">
        <v>0.253427365680572</v>
      </c>
      <c r="CM743" s="20" t="n">
        <f aca="false">(CL743)^2</f>
        <v>0.0642254296757945</v>
      </c>
      <c r="CN743" s="0" t="n">
        <v>2.78221676211721</v>
      </c>
      <c r="CO743" s="0" t="n">
        <v>1.96848294855394</v>
      </c>
      <c r="CP743" s="0" t="n">
        <v>1.32633586092875</v>
      </c>
      <c r="CQ743" s="0" t="n">
        <v>40.1653476534603</v>
      </c>
      <c r="CR743" s="0" t="n">
        <v>40.0250782651027</v>
      </c>
      <c r="CS743" s="0" t="n">
        <v>-0.14026938835763</v>
      </c>
      <c r="CT743" s="20" t="n">
        <f aca="false">(CS743)^2</f>
        <v>0.0196755013102238</v>
      </c>
      <c r="CU743" s="0" t="n">
        <v>1.54530711646582</v>
      </c>
      <c r="CV743" s="0" t="n">
        <v>7.77151509076309</v>
      </c>
      <c r="CW743" s="0" t="n">
        <v>8.36</v>
      </c>
      <c r="CX743" s="0" t="n">
        <v>0.588484909236907</v>
      </c>
      <c r="CY743" s="20" t="n">
        <f aca="false">(CX743)^2</f>
        <v>0.346314488399571</v>
      </c>
    </row>
    <row r="744" customFormat="false" ht="12.8" hidden="false" customHeight="false" outlineLevel="0" collapsed="false">
      <c r="BZ744" s="0" t="n">
        <v>2.87283479667699</v>
      </c>
      <c r="CA744" s="0" t="n">
        <v>1.57978359661681</v>
      </c>
      <c r="CB744" s="0" t="n">
        <v>1.52762990087134</v>
      </c>
      <c r="CC744" s="0" t="n">
        <v>40.3674514129051</v>
      </c>
      <c r="CD744" s="0" t="n">
        <v>39.9963150223595</v>
      </c>
      <c r="CE744" s="0" t="n">
        <v>-0.371136390545622</v>
      </c>
      <c r="CF744" s="20" t="n">
        <f aca="false">(CE744)^2</f>
        <v>0.137742220387233</v>
      </c>
      <c r="CG744" s="0" t="n">
        <v>2.87283479667699</v>
      </c>
      <c r="CH744" s="0" t="n">
        <v>1.57978359661681</v>
      </c>
      <c r="CI744" s="0" t="n">
        <v>1.52762990087134</v>
      </c>
      <c r="CJ744" s="0" t="n">
        <v>40.7351562780353</v>
      </c>
      <c r="CK744" s="0" t="n">
        <v>40.4667860464016</v>
      </c>
      <c r="CL744" s="0" t="n">
        <v>-0.26837023163371</v>
      </c>
      <c r="CM744" s="20" t="n">
        <f aca="false">(CL744)^2</f>
        <v>0.0720225812271314</v>
      </c>
      <c r="CN744" s="0" t="n">
        <v>2.87283479667699</v>
      </c>
      <c r="CO744" s="0" t="n">
        <v>1.57978359661681</v>
      </c>
      <c r="CP744" s="0" t="n">
        <v>1.52762990087134</v>
      </c>
      <c r="CQ744" s="0" t="n">
        <v>40.6014008324595</v>
      </c>
      <c r="CR744" s="0" t="n">
        <v>40.4667860464016</v>
      </c>
      <c r="CS744" s="0" t="n">
        <v>-0.134614786057909</v>
      </c>
      <c r="CT744" s="20" t="n">
        <f aca="false">(CS744)^2</f>
        <v>0.0181211406254167</v>
      </c>
      <c r="CU744" s="0" t="n">
        <v>1.44247976906445</v>
      </c>
      <c r="CV744" s="0" t="n">
        <v>7.83720660934529</v>
      </c>
      <c r="CW744" s="0" t="n">
        <v>7.98</v>
      </c>
      <c r="CX744" s="0" t="n">
        <v>0.142793390654711</v>
      </c>
      <c r="CY744" s="20" t="n">
        <f aca="false">(CX744)^2</f>
        <v>0.0203899524146688</v>
      </c>
    </row>
    <row r="745" customFormat="false" ht="12.8" hidden="false" customHeight="false" outlineLevel="0" collapsed="false">
      <c r="BZ745" s="0" t="n">
        <v>2.8057379010057</v>
      </c>
      <c r="CA745" s="0" t="n">
        <v>1.41497334797082</v>
      </c>
      <c r="CB745" s="0" t="n">
        <v>1.54530711646582</v>
      </c>
      <c r="CC745" s="0" t="n">
        <v>40.2893915129411</v>
      </c>
      <c r="CD745" s="0" t="n">
        <v>40.3308782653967</v>
      </c>
      <c r="CE745" s="0" t="n">
        <v>0.0414867524555831</v>
      </c>
      <c r="CF745" s="20" t="n">
        <f aca="false">(CE745)^2</f>
        <v>0.00172115062931083</v>
      </c>
      <c r="CG745" s="0" t="n">
        <v>2.8057379010057</v>
      </c>
      <c r="CH745" s="0" t="n">
        <v>1.41497334797082</v>
      </c>
      <c r="CI745" s="0" t="n">
        <v>1.54530711646582</v>
      </c>
      <c r="CJ745" s="0" t="n">
        <v>40.6779927372707</v>
      </c>
      <c r="CK745" s="0" t="n">
        <v>40.6750396842358</v>
      </c>
      <c r="CL745" s="0" t="n">
        <v>-0.00295305303491489</v>
      </c>
      <c r="CM745" s="20" t="n">
        <f aca="false">(CL745)^2</f>
        <v>8.72052222702003E-006</v>
      </c>
      <c r="CN745" s="0" t="n">
        <v>2.8057379010057</v>
      </c>
      <c r="CO745" s="0" t="n">
        <v>1.41497334797082</v>
      </c>
      <c r="CP745" s="0" t="n">
        <v>1.54530711646582</v>
      </c>
      <c r="CQ745" s="0" t="n">
        <v>40.5704379410246</v>
      </c>
      <c r="CR745" s="0" t="n">
        <v>40.6750396842358</v>
      </c>
      <c r="CS745" s="0" t="n">
        <v>0.104601743211198</v>
      </c>
      <c r="CT745" s="20" t="n">
        <f aca="false">(CS745)^2</f>
        <v>0.0109415246828214</v>
      </c>
      <c r="CU745" s="0" t="n">
        <v>1.53781909507327</v>
      </c>
      <c r="CV745" s="0" t="n">
        <v>7.77629883272361</v>
      </c>
      <c r="CW745" s="0" t="n">
        <v>8.25</v>
      </c>
      <c r="CX745" s="0" t="n">
        <v>0.473701167276391</v>
      </c>
      <c r="CY745" s="20" t="n">
        <f aca="false">(CX745)^2</f>
        <v>0.224392795879015</v>
      </c>
    </row>
    <row r="746" customFormat="false" ht="12.8" hidden="false" customHeight="false" outlineLevel="0" collapsed="false">
      <c r="BZ746" s="0" t="n">
        <v>2.72333943354249</v>
      </c>
      <c r="CA746" s="0" t="n">
        <v>2.20682587603185</v>
      </c>
      <c r="CB746" s="0" t="n">
        <v>1.44247976906445</v>
      </c>
      <c r="CC746" s="0" t="n">
        <v>40.2821774443916</v>
      </c>
      <c r="CD746" s="0" t="n">
        <v>40.4850090486329</v>
      </c>
      <c r="CE746" s="0" t="n">
        <v>0.202831604241297</v>
      </c>
      <c r="CF746" s="20" t="n">
        <f aca="false">(CE746)^2</f>
        <v>0.041140659679098</v>
      </c>
      <c r="CG746" s="0" t="n">
        <v>2.72333943354249</v>
      </c>
      <c r="CH746" s="0" t="n">
        <v>2.20682587603185</v>
      </c>
      <c r="CI746" s="0" t="n">
        <v>1.44247976906445</v>
      </c>
      <c r="CJ746" s="0" t="n">
        <v>40.6534457169445</v>
      </c>
      <c r="CK746" s="0" t="n">
        <v>40.9096967114523</v>
      </c>
      <c r="CL746" s="0" t="n">
        <v>0.256250994507816</v>
      </c>
      <c r="CM746" s="20" t="n">
        <f aca="false">(CL746)^2</f>
        <v>0.0656645721862448</v>
      </c>
      <c r="CN746" s="0" t="n">
        <v>2.72333943354249</v>
      </c>
      <c r="CO746" s="0" t="n">
        <v>2.20682587603185</v>
      </c>
      <c r="CP746" s="0" t="n">
        <v>1.44247976906445</v>
      </c>
      <c r="CQ746" s="0" t="n">
        <v>40.476899254976</v>
      </c>
      <c r="CR746" s="0" t="n">
        <v>40.9096967114523</v>
      </c>
      <c r="CS746" s="0" t="n">
        <v>0.43279745647628</v>
      </c>
      <c r="CT746" s="20" t="n">
        <f aca="false">(CS746)^2</f>
        <v>0.187313638332337</v>
      </c>
      <c r="CU746" s="0" t="n">
        <v>1.3541084391474</v>
      </c>
      <c r="CV746" s="0" t="n">
        <v>7.89366286352366</v>
      </c>
      <c r="CW746" s="0" t="n">
        <v>8.09</v>
      </c>
      <c r="CX746" s="0" t="n">
        <v>0.196337136476338</v>
      </c>
      <c r="CY746" s="20" t="n">
        <f aca="false">(CX746)^2</f>
        <v>0.0385482711597283</v>
      </c>
    </row>
    <row r="747" customFormat="false" ht="12.8" hidden="false" customHeight="false" outlineLevel="0" collapsed="false">
      <c r="BZ747" s="0" t="n">
        <v>2.52960348518892</v>
      </c>
      <c r="CA747" s="0" t="n">
        <v>2.03742649794062</v>
      </c>
      <c r="CB747" s="0" t="n">
        <v>1.53781909507327</v>
      </c>
      <c r="CC747" s="0" t="n">
        <v>40.2788669863227</v>
      </c>
      <c r="CD747" s="0" t="n">
        <v>40.5363222856562</v>
      </c>
      <c r="CE747" s="0" t="n">
        <v>0.2574552993335</v>
      </c>
      <c r="CF747" s="20" t="n">
        <f aca="false">(CE747)^2</f>
        <v>0.0662832311549023</v>
      </c>
      <c r="CG747" s="0" t="n">
        <v>2.52960348518892</v>
      </c>
      <c r="CH747" s="0" t="n">
        <v>2.03742649794062</v>
      </c>
      <c r="CI747" s="0" t="n">
        <v>1.53781909507327</v>
      </c>
      <c r="CJ747" s="0" t="n">
        <v>40.6549067307788</v>
      </c>
      <c r="CK747" s="0" t="n">
        <v>40.8519069419647</v>
      </c>
      <c r="CL747" s="0" t="n">
        <v>0.197000211185944</v>
      </c>
      <c r="CM747" s="20" t="n">
        <f aca="false">(CL747)^2</f>
        <v>0.0388090832073067</v>
      </c>
      <c r="CN747" s="0" t="n">
        <v>2.52960348518892</v>
      </c>
      <c r="CO747" s="0" t="n">
        <v>2.03742649794062</v>
      </c>
      <c r="CP747" s="0" t="n">
        <v>1.53781909507327</v>
      </c>
      <c r="CQ747" s="0" t="n">
        <v>40.5707574933642</v>
      </c>
      <c r="CR747" s="0" t="n">
        <v>40.8519069419647</v>
      </c>
      <c r="CS747" s="0" t="n">
        <v>0.281149448600537</v>
      </c>
      <c r="CT747" s="20" t="n">
        <f aca="false">(CS747)^2</f>
        <v>0.0790450124483861</v>
      </c>
      <c r="CU747" s="0" t="n">
        <v>1.42488163663107</v>
      </c>
      <c r="CV747" s="0" t="n">
        <v>7.84844922206433</v>
      </c>
      <c r="CW747" s="0" t="n">
        <v>7.96</v>
      </c>
      <c r="CX747" s="0" t="n">
        <v>0.111550777935674</v>
      </c>
      <c r="CY747" s="20" t="n">
        <f aca="false">(CX747)^2</f>
        <v>0.0124435760580541</v>
      </c>
    </row>
    <row r="748" customFormat="false" ht="12.8" hidden="false" customHeight="false" outlineLevel="0" collapsed="false">
      <c r="BZ748" s="0" t="n">
        <v>2.40587460839648</v>
      </c>
      <c r="CA748" s="0" t="n">
        <v>1.75587485567249</v>
      </c>
      <c r="CB748" s="0" t="n">
        <v>1.3541084391474</v>
      </c>
      <c r="CC748" s="0" t="n">
        <v>39.6340315934777</v>
      </c>
      <c r="CD748" s="0" t="n">
        <v>39.9166540391504</v>
      </c>
      <c r="CE748" s="0" t="n">
        <v>0.282622445672672</v>
      </c>
      <c r="CF748" s="20" t="n">
        <f aca="false">(CE748)^2</f>
        <v>0.0798754467980025</v>
      </c>
      <c r="CG748" s="0" t="n">
        <v>2.40587460839648</v>
      </c>
      <c r="CH748" s="0" t="n">
        <v>1.75587485567249</v>
      </c>
      <c r="CI748" s="0" t="n">
        <v>1.3541084391474</v>
      </c>
      <c r="CJ748" s="0" t="n">
        <v>40.1568927728036</v>
      </c>
      <c r="CK748" s="0" t="n">
        <v>40.3823661888664</v>
      </c>
      <c r="CL748" s="0" t="n">
        <v>0.225473416062762</v>
      </c>
      <c r="CM748" s="20" t="n">
        <f aca="false">(CL748)^2</f>
        <v>0.0508382613510114</v>
      </c>
      <c r="CN748" s="0" t="n">
        <v>2.40587460839648</v>
      </c>
      <c r="CO748" s="0" t="n">
        <v>1.75587485567249</v>
      </c>
      <c r="CP748" s="0" t="n">
        <v>1.3541084391474</v>
      </c>
      <c r="CQ748" s="0" t="n">
        <v>39.9950208881881</v>
      </c>
      <c r="CR748" s="0" t="n">
        <v>40.3823661888664</v>
      </c>
      <c r="CS748" s="0" t="n">
        <v>0.387345300678334</v>
      </c>
      <c r="CT748" s="20" t="n">
        <f aca="false">(CS748)^2</f>
        <v>0.150036381957589</v>
      </c>
      <c r="CU748" s="0" t="n">
        <v>1.43775056282039</v>
      </c>
      <c r="CV748" s="0" t="n">
        <v>7.84022787506605</v>
      </c>
      <c r="CW748" s="0" t="n">
        <v>8.01</v>
      </c>
      <c r="CX748" s="0" t="n">
        <v>0.169772124933948</v>
      </c>
      <c r="CY748" s="20" t="n">
        <f aca="false">(CX748)^2</f>
        <v>0.0288225744045879</v>
      </c>
    </row>
    <row r="749" customFormat="false" ht="12.8" hidden="false" customHeight="false" outlineLevel="0" collapsed="false">
      <c r="BZ749" s="0" t="n">
        <v>3.06295399039048</v>
      </c>
      <c r="CA749" s="0" t="n">
        <v>1.30102999566398</v>
      </c>
      <c r="CB749" s="0" t="n">
        <v>1.42488163663107</v>
      </c>
      <c r="CC749" s="0" t="n">
        <v>40.1780991753575</v>
      </c>
      <c r="CD749" s="0" t="n">
        <v>39.9203081956583</v>
      </c>
      <c r="CE749" s="0" t="n">
        <v>-0.257790979699145</v>
      </c>
      <c r="CF749" s="20" t="n">
        <f aca="false">(CE749)^2</f>
        <v>0.0664561892142449</v>
      </c>
      <c r="CG749" s="0" t="n">
        <v>3.06295399039048</v>
      </c>
      <c r="CH749" s="0" t="n">
        <v>1.30102999566398</v>
      </c>
      <c r="CI749" s="0" t="n">
        <v>1.42488163663107</v>
      </c>
      <c r="CJ749" s="0" t="n">
        <v>40.5935886416219</v>
      </c>
      <c r="CK749" s="0" t="n">
        <v>39.8052047714277</v>
      </c>
      <c r="CL749" s="0" t="n">
        <v>-0.788383870194167</v>
      </c>
      <c r="CM749" s="20" t="n">
        <f aca="false">(CL749)^2</f>
        <v>0.621549126782333</v>
      </c>
      <c r="CN749" s="0" t="n">
        <v>3.06295399039048</v>
      </c>
      <c r="CO749" s="0" t="n">
        <v>1.30102999566398</v>
      </c>
      <c r="CP749" s="0" t="n">
        <v>1.42488163663107</v>
      </c>
      <c r="CQ749" s="0" t="n">
        <v>40.3768043093266</v>
      </c>
      <c r="CR749" s="0" t="n">
        <v>39.8052047714277</v>
      </c>
      <c r="CS749" s="0" t="n">
        <v>-0.571599537898884</v>
      </c>
      <c r="CT749" s="20" t="n">
        <f aca="false">(CS749)^2</f>
        <v>0.326726031726217</v>
      </c>
      <c r="CU749" s="0" t="n">
        <v>1.31386722036915</v>
      </c>
      <c r="CV749" s="0" t="n">
        <v>7.91937107090183</v>
      </c>
      <c r="CW749" s="0" t="n">
        <v>7.99</v>
      </c>
      <c r="CX749" s="0" t="n">
        <v>0.0706289290981674</v>
      </c>
      <c r="CY749" s="20" t="n">
        <f aca="false">(CX749)^2</f>
        <v>0.00498844562555396</v>
      </c>
    </row>
    <row r="750" customFormat="false" ht="12.8" hidden="false" customHeight="false" outlineLevel="0" collapsed="false">
      <c r="BZ750" s="0" t="n">
        <v>2.96671683363053</v>
      </c>
      <c r="CA750" s="0" t="n">
        <v>1.79239168949825</v>
      </c>
      <c r="CB750" s="0" t="n">
        <v>1.43775056282039</v>
      </c>
      <c r="CC750" s="0" t="n">
        <v>40.3163192207872</v>
      </c>
      <c r="CD750" s="0" t="n">
        <v>40.0555420750015</v>
      </c>
      <c r="CE750" s="0" t="n">
        <v>-0.260777145785738</v>
      </c>
      <c r="CF750" s="20" t="n">
        <f aca="false">(CE750)^2</f>
        <v>0.0680047197641561</v>
      </c>
      <c r="CG750" s="0" t="n">
        <v>2.96671683363053</v>
      </c>
      <c r="CH750" s="0" t="n">
        <v>1.79239168949825</v>
      </c>
      <c r="CI750" s="0" t="n">
        <v>1.43775056282039</v>
      </c>
      <c r="CJ750" s="0" t="n">
        <v>40.6900533596895</v>
      </c>
      <c r="CK750" s="0" t="n">
        <v>40.1409607062428</v>
      </c>
      <c r="CL750" s="0" t="n">
        <v>-0.549092653446657</v>
      </c>
      <c r="CM750" s="20" t="n">
        <f aca="false">(CL750)^2</f>
        <v>0.30150274206909</v>
      </c>
      <c r="CN750" s="0" t="n">
        <v>2.96671683363053</v>
      </c>
      <c r="CO750" s="0" t="n">
        <v>1.79239168949825</v>
      </c>
      <c r="CP750" s="0" t="n">
        <v>1.43775056282039</v>
      </c>
      <c r="CQ750" s="0" t="n">
        <v>40.4824000828721</v>
      </c>
      <c r="CR750" s="0" t="n">
        <v>40.1409607062428</v>
      </c>
      <c r="CS750" s="0" t="n">
        <v>-0.341439376629303</v>
      </c>
      <c r="CT750" s="20" t="n">
        <f aca="false">(CS750)^2</f>
        <v>0.116580847913007</v>
      </c>
      <c r="CU750" s="0" t="n">
        <v>1.51719589794997</v>
      </c>
      <c r="CV750" s="0" t="n">
        <v>7.78947401589508</v>
      </c>
      <c r="CW750" s="0" t="n">
        <v>1</v>
      </c>
      <c r="CX750" s="0" t="n">
        <v>-6.78947401589508</v>
      </c>
      <c r="CY750" s="20" t="n">
        <f aca="false">(CX750)^2</f>
        <v>46.0969574125145</v>
      </c>
    </row>
    <row r="751" customFormat="false" ht="12.8" hidden="false" customHeight="false" outlineLevel="0" collapsed="false">
      <c r="BZ751" s="0" t="n">
        <v>2.33023762449035</v>
      </c>
      <c r="CA751" s="0" t="n">
        <v>1.98677173426624</v>
      </c>
      <c r="CB751" s="0" t="n">
        <v>1.31386722036915</v>
      </c>
      <c r="CC751" s="0" t="n">
        <v>39.5644015218492</v>
      </c>
      <c r="CD751" s="0" t="n">
        <v>39.6009701741581</v>
      </c>
      <c r="CE751" s="0" t="n">
        <v>0.0365686523089295</v>
      </c>
      <c r="CF751" s="20" t="n">
        <f aca="false">(CE751)^2</f>
        <v>0.00133726633169137</v>
      </c>
      <c r="CG751" s="0" t="n">
        <v>2.33023762449035</v>
      </c>
      <c r="CH751" s="0" t="n">
        <v>1.98677173426624</v>
      </c>
      <c r="CI751" s="0" t="n">
        <v>1.31386722036915</v>
      </c>
      <c r="CJ751" s="0" t="n">
        <v>40.0968813432851</v>
      </c>
      <c r="CK751" s="0" t="n">
        <v>39.9728485150304</v>
      </c>
      <c r="CL751" s="0" t="n">
        <v>-0.124032828254705</v>
      </c>
      <c r="CM751" s="20" t="n">
        <f aca="false">(CL751)^2</f>
        <v>0.0153841424848612</v>
      </c>
      <c r="CN751" s="0" t="n">
        <v>2.33023762449035</v>
      </c>
      <c r="CO751" s="0" t="n">
        <v>1.98677173426624</v>
      </c>
      <c r="CP751" s="0" t="n">
        <v>1.31386722036915</v>
      </c>
      <c r="CQ751" s="0" t="n">
        <v>39.9175227684513</v>
      </c>
      <c r="CR751" s="0" t="n">
        <v>39.9728485150304</v>
      </c>
      <c r="CS751" s="0" t="n">
        <v>0.0553257465791219</v>
      </c>
      <c r="CT751" s="20" t="n">
        <f aca="false">(CS751)^2</f>
        <v>0.00306093823453722</v>
      </c>
      <c r="CU751" s="0" t="n">
        <v>1.32221929473392</v>
      </c>
      <c r="CV751" s="0" t="n">
        <v>7.91403532645059</v>
      </c>
      <c r="CW751" s="0" t="n">
        <v>8.07</v>
      </c>
      <c r="CX751" s="0" t="n">
        <v>0.155964673549414</v>
      </c>
      <c r="CY751" s="20" t="n">
        <f aca="false">(CX751)^2</f>
        <v>0.0243249793953751</v>
      </c>
    </row>
    <row r="752" customFormat="false" ht="12.8" hidden="false" customHeight="false" outlineLevel="0" collapsed="false">
      <c r="BZ752" s="0" t="n">
        <v>2.28501935429668</v>
      </c>
      <c r="CA752" s="0" t="n">
        <v>2.26481782300954</v>
      </c>
      <c r="CB752" s="0" t="n">
        <v>1.51719589794997</v>
      </c>
      <c r="CC752" s="0" t="n">
        <v>40.1121385385145</v>
      </c>
      <c r="CD752" s="0" t="n">
        <v>39.7119114592515</v>
      </c>
      <c r="CE752" s="0" t="n">
        <v>-0.400227079262983</v>
      </c>
      <c r="CF752" s="20" t="n">
        <f aca="false">(CE752)^2</f>
        <v>0.160181714975378</v>
      </c>
      <c r="CG752" s="0" t="n">
        <v>2.28501935429668</v>
      </c>
      <c r="CH752" s="0" t="n">
        <v>2.26481782300954</v>
      </c>
      <c r="CI752" s="0" t="n">
        <v>1.51719589794997</v>
      </c>
      <c r="CJ752" s="0" t="n">
        <v>40.518983039826</v>
      </c>
      <c r="CK752" s="0" t="n">
        <v>40.3675165950432</v>
      </c>
      <c r="CL752" s="0" t="n">
        <v>-0.15146644478282</v>
      </c>
      <c r="CM752" s="20" t="n">
        <f aca="false">(CL752)^2</f>
        <v>0.0229420838951469</v>
      </c>
      <c r="CN752" s="0" t="n">
        <v>2.28501935429668</v>
      </c>
      <c r="CO752" s="0" t="n">
        <v>2.26481782300954</v>
      </c>
      <c r="CP752" s="0" t="n">
        <v>1.51719589794997</v>
      </c>
      <c r="CQ752" s="0" t="n">
        <v>40.4568969130038</v>
      </c>
      <c r="CR752" s="0" t="n">
        <v>40.3675165950432</v>
      </c>
      <c r="CS752" s="0" t="n">
        <v>-0.0893803179605754</v>
      </c>
      <c r="CT752" s="20" t="n">
        <f aca="false">(CS752)^2</f>
        <v>0.00798884123873356</v>
      </c>
      <c r="CU752" s="0" t="n">
        <v>1.23299611039215</v>
      </c>
      <c r="CV752" s="0" t="n">
        <v>7.97103579004586</v>
      </c>
      <c r="CW752" s="0" t="n">
        <v>8.27</v>
      </c>
      <c r="CX752" s="0" t="n">
        <v>0.29896420995414</v>
      </c>
      <c r="CY752" s="20" t="n">
        <f aca="false">(CX752)^2</f>
        <v>0.0893795988335032</v>
      </c>
    </row>
    <row r="753" customFormat="false" ht="12.8" hidden="false" customHeight="false" outlineLevel="0" collapsed="false">
      <c r="BZ753" s="0" t="n">
        <v>2.18948247828467</v>
      </c>
      <c r="CA753" s="0" t="n">
        <v>1.69019608002851</v>
      </c>
      <c r="CB753" s="0" t="n">
        <v>1.32221929473392</v>
      </c>
      <c r="CC753" s="0" t="n">
        <v>39.3518636446294</v>
      </c>
      <c r="CD753" s="0" t="n">
        <v>39.8158956218551</v>
      </c>
      <c r="CE753" s="0" t="n">
        <v>0.464031977225723</v>
      </c>
      <c r="CF753" s="20" t="n">
        <f aca="false">(CE753)^2</f>
        <v>0.215325675888014</v>
      </c>
      <c r="CG753" s="0" t="n">
        <v>2.18948247828467</v>
      </c>
      <c r="CH753" s="0" t="n">
        <v>1.69019608002851</v>
      </c>
      <c r="CI753" s="0" t="n">
        <v>1.32221929473392</v>
      </c>
      <c r="CJ753" s="0" t="n">
        <v>39.9376047900968</v>
      </c>
      <c r="CK753" s="0" t="n">
        <v>40.2813702480347</v>
      </c>
      <c r="CL753" s="0" t="n">
        <v>0.343765457937927</v>
      </c>
      <c r="CM753" s="20" t="n">
        <f aca="false">(CL753)^2</f>
        <v>0.118174690071273</v>
      </c>
      <c r="CN753" s="0" t="n">
        <v>2.18948247828467</v>
      </c>
      <c r="CO753" s="0" t="n">
        <v>1.69019608002851</v>
      </c>
      <c r="CP753" s="0" t="n">
        <v>1.32221929473392</v>
      </c>
      <c r="CQ753" s="0" t="n">
        <v>39.7951224943381</v>
      </c>
      <c r="CR753" s="0" t="n">
        <v>40.2813702480347</v>
      </c>
      <c r="CS753" s="0" t="n">
        <v>0.486247753696567</v>
      </c>
      <c r="CT753" s="20" t="n">
        <f aca="false">(CS753)^2</f>
        <v>0.236436877974957</v>
      </c>
      <c r="CU753" s="0" t="n">
        <v>1.23299611039215</v>
      </c>
      <c r="CV753" s="0" t="n">
        <v>7.97103579004586</v>
      </c>
      <c r="CW753" s="0" t="n">
        <v>7.89</v>
      </c>
      <c r="CX753" s="0" t="n">
        <v>-0.0810357900458598</v>
      </c>
      <c r="CY753" s="20" t="n">
        <f aca="false">(CX753)^2</f>
        <v>0.00656679926835667</v>
      </c>
    </row>
    <row r="754" customFormat="false" ht="12.8" hidden="false" customHeight="false" outlineLevel="0" collapsed="false">
      <c r="BZ754" s="0" t="n">
        <v>3.01277417174865</v>
      </c>
      <c r="CA754" s="0" t="n">
        <v>1.83250891270624</v>
      </c>
      <c r="CB754" s="0" t="n">
        <v>1.23299611039215</v>
      </c>
      <c r="CC754" s="0" t="n">
        <v>39.8881621480857</v>
      </c>
      <c r="CD754" s="0" t="n">
        <v>39.9770046637507</v>
      </c>
      <c r="CE754" s="0" t="n">
        <v>0.0888425156650285</v>
      </c>
      <c r="CF754" s="20" t="n">
        <f aca="false">(CE754)^2</f>
        <v>0.00789299258969084</v>
      </c>
      <c r="CG754" s="0" t="n">
        <v>3.01277417174865</v>
      </c>
      <c r="CH754" s="0" t="n">
        <v>1.83250891270624</v>
      </c>
      <c r="CI754" s="0" t="n">
        <v>1.23299611039215</v>
      </c>
      <c r="CJ754" s="0" t="n">
        <v>40.3539565828927</v>
      </c>
      <c r="CK754" s="0" t="n">
        <v>40.5618565782759</v>
      </c>
      <c r="CL754" s="0" t="n">
        <v>0.207899995383201</v>
      </c>
      <c r="CM754" s="20" t="n">
        <f aca="false">(CL754)^2</f>
        <v>0.043222408080335</v>
      </c>
      <c r="CN754" s="0" t="n">
        <v>3.01277417174865</v>
      </c>
      <c r="CO754" s="0" t="n">
        <v>1.83250891270624</v>
      </c>
      <c r="CP754" s="0" t="n">
        <v>1.23299611039215</v>
      </c>
      <c r="CQ754" s="0" t="n">
        <v>40.0187916792892</v>
      </c>
      <c r="CR754" s="0" t="n">
        <v>40.2717584423895</v>
      </c>
      <c r="CS754" s="0" t="n">
        <v>0.252966763100297</v>
      </c>
      <c r="CT754" s="20" t="n">
        <f aca="false">(CS754)^2</f>
        <v>0.0639921832334416</v>
      </c>
      <c r="CU754" s="0" t="n">
        <v>1.3541084391474</v>
      </c>
      <c r="CV754" s="0" t="n">
        <v>7.89366286352366</v>
      </c>
      <c r="CW754" s="0" t="n">
        <v>8.27</v>
      </c>
      <c r="CX754" s="0" t="n">
        <v>0.376337136476338</v>
      </c>
      <c r="CY754" s="20" t="n">
        <f aca="false">(CX754)^2</f>
        <v>0.14162964029121</v>
      </c>
    </row>
    <row r="755" customFormat="false" ht="12.8" hidden="false" customHeight="false" outlineLevel="0" collapsed="false">
      <c r="BZ755" s="0" t="n">
        <v>2.23419219759188</v>
      </c>
      <c r="CA755" s="0" t="n">
        <v>1.79239168949825</v>
      </c>
      <c r="CB755" s="0" t="n">
        <v>1.23299611039215</v>
      </c>
      <c r="CC755" s="0" t="n">
        <v>39.2185408855989</v>
      </c>
      <c r="CD755" s="0" t="n">
        <v>39.0888685217564</v>
      </c>
      <c r="CE755" s="0" t="n">
        <v>-0.129672363842523</v>
      </c>
      <c r="CF755" s="20" t="n">
        <f aca="false">(CE755)^2</f>
        <v>0.0168149219445078</v>
      </c>
      <c r="CG755" s="0" t="n">
        <v>2.23419219759188</v>
      </c>
      <c r="CH755" s="0" t="n">
        <v>1.79239168949825</v>
      </c>
      <c r="CI755" s="0" t="n">
        <v>1.23299611039215</v>
      </c>
      <c r="CJ755" s="0" t="n">
        <v>39.8308056911285</v>
      </c>
      <c r="CK755" s="0" t="n">
        <v>39.807392282766</v>
      </c>
      <c r="CL755" s="0" t="n">
        <v>-0.0234134083625435</v>
      </c>
      <c r="CM755" s="20" t="n">
        <f aca="false">(CL755)^2</f>
        <v>0.00054818769115122</v>
      </c>
      <c r="CN755" s="0" t="n">
        <v>2.23419219759188</v>
      </c>
      <c r="CO755" s="0" t="n">
        <v>1.79239168949825</v>
      </c>
      <c r="CP755" s="0" t="n">
        <v>1.23299611039215</v>
      </c>
      <c r="CQ755" s="0" t="n">
        <v>39.6261955248583</v>
      </c>
      <c r="CR755" s="0" t="n">
        <v>39.2678630647137</v>
      </c>
      <c r="CS755" s="0" t="n">
        <v>-0.358332460144609</v>
      </c>
      <c r="CT755" s="20" t="n">
        <f aca="false">(CS755)^2</f>
        <v>0.128402151993288</v>
      </c>
      <c r="CU755" s="0" t="n">
        <v>1.48572142648158</v>
      </c>
      <c r="CV755" s="0" t="n">
        <v>7.8095815639315</v>
      </c>
      <c r="CW755" s="0" t="n">
        <v>8.49</v>
      </c>
      <c r="CX755" s="0" t="n">
        <v>0.680418436068501</v>
      </c>
      <c r="CY755" s="20" t="n">
        <f aca="false">(CX755)^2</f>
        <v>0.462969248141905</v>
      </c>
    </row>
    <row r="756" customFormat="false" ht="12.8" hidden="false" customHeight="false" outlineLevel="0" collapsed="false">
      <c r="BZ756" s="0" t="n">
        <v>2.51128671835605</v>
      </c>
      <c r="CA756" s="0" t="n">
        <v>1.53147891704226</v>
      </c>
      <c r="CB756" s="0" t="n">
        <v>1.3541084391474</v>
      </c>
      <c r="CC756" s="0" t="n">
        <v>39.6363956142764</v>
      </c>
      <c r="CD756" s="0" t="n">
        <v>39.3364926286811</v>
      </c>
      <c r="CE756" s="0" t="n">
        <v>-0.299902985595324</v>
      </c>
      <c r="CF756" s="20" t="n">
        <f aca="false">(CE756)^2</f>
        <v>0.0899418007689891</v>
      </c>
      <c r="CG756" s="0" t="n">
        <v>2.51128671835605</v>
      </c>
      <c r="CH756" s="0" t="n">
        <v>1.53147891704226</v>
      </c>
      <c r="CI756" s="0" t="n">
        <v>1.3541084391474</v>
      </c>
      <c r="CJ756" s="0" t="n">
        <v>40.164095688516</v>
      </c>
      <c r="CK756" s="0" t="n">
        <v>39.6234285182525</v>
      </c>
      <c r="CL756" s="0" t="n">
        <v>-0.540667170263504</v>
      </c>
      <c r="CM756" s="20" t="n">
        <f aca="false">(CL756)^2</f>
        <v>0.292320989000745</v>
      </c>
      <c r="CN756" s="0" t="n">
        <v>2.51128671835605</v>
      </c>
      <c r="CO756" s="0" t="n">
        <v>1.53147891704226</v>
      </c>
      <c r="CP756" s="0" t="n">
        <v>1.3541084391474</v>
      </c>
      <c r="CQ756" s="0" t="n">
        <v>39.9912466265654</v>
      </c>
      <c r="CR756" s="0" t="n">
        <v>39.6234285182525</v>
      </c>
      <c r="CS756" s="0" t="n">
        <v>-0.36781810831291</v>
      </c>
      <c r="CT756" s="20" t="n">
        <f aca="false">(CS756)^2</f>
        <v>0.135290160802888</v>
      </c>
      <c r="CU756" s="0" t="n">
        <v>1.39967372148104</v>
      </c>
      <c r="CV756" s="0" t="n">
        <v>7.86455336428277</v>
      </c>
      <c r="CW756" s="0" t="n">
        <v>8.02</v>
      </c>
      <c r="CX756" s="0" t="n">
        <v>0.155446635717233</v>
      </c>
      <c r="CY756" s="20" t="n">
        <f aca="false">(CX756)^2</f>
        <v>0.0241636565558062</v>
      </c>
    </row>
    <row r="757" customFormat="false" ht="12.8" hidden="false" customHeight="false" outlineLevel="0" collapsed="false">
      <c r="BZ757" s="0" t="n">
        <v>2.98461060088215</v>
      </c>
      <c r="CA757" s="0" t="n">
        <v>1.34242268082221</v>
      </c>
      <c r="CB757" s="0" t="n">
        <v>1.48572142648158</v>
      </c>
      <c r="CC757" s="0" t="n">
        <v>40.2714723009086</v>
      </c>
      <c r="CD757" s="0" t="n">
        <v>40.3263420583806</v>
      </c>
      <c r="CE757" s="0" t="n">
        <v>0.0548697574719554</v>
      </c>
      <c r="CF757" s="20" t="n">
        <f aca="false">(CE757)^2</f>
        <v>0.00301069028503121</v>
      </c>
      <c r="CG757" s="0" t="n">
        <v>2.98461060088215</v>
      </c>
      <c r="CH757" s="0" t="n">
        <v>1.34242268082221</v>
      </c>
      <c r="CI757" s="0" t="n">
        <v>1.48572142648158</v>
      </c>
      <c r="CJ757" s="0" t="n">
        <v>40.6656909985429</v>
      </c>
      <c r="CK757" s="0" t="n">
        <v>40.3264007404092</v>
      </c>
      <c r="CL757" s="0" t="n">
        <v>-0.339290258133715</v>
      </c>
      <c r="CM757" s="20" t="n">
        <f aca="false">(CL757)^2</f>
        <v>0.115117879264443</v>
      </c>
      <c r="CN757" s="0" t="n">
        <v>2.98461060088215</v>
      </c>
      <c r="CO757" s="0" t="n">
        <v>1.34242268082221</v>
      </c>
      <c r="CP757" s="0" t="n">
        <v>1.48572142648158</v>
      </c>
      <c r="CQ757" s="0" t="n">
        <v>40.4959859544296</v>
      </c>
      <c r="CR757" s="0" t="n">
        <v>40.3264007404092</v>
      </c>
      <c r="CS757" s="0" t="n">
        <v>-0.169585214020422</v>
      </c>
      <c r="CT757" s="20" t="n">
        <f aca="false">(CS757)^2</f>
        <v>0.0287591448143525</v>
      </c>
      <c r="CU757" s="0" t="n">
        <v>1.3384564936046</v>
      </c>
      <c r="CV757" s="0" t="n">
        <v>7.90366214968106</v>
      </c>
      <c r="CW757" s="0" t="n">
        <v>8.5</v>
      </c>
      <c r="CX757" s="0" t="n">
        <v>0.596337850318942</v>
      </c>
      <c r="CY757" s="20" t="n">
        <f aca="false">(CX757)^2</f>
        <v>0.355618831723016</v>
      </c>
    </row>
    <row r="758" customFormat="false" ht="12.8" hidden="false" customHeight="false" outlineLevel="0" collapsed="false">
      <c r="BZ758" s="0" t="n">
        <v>2.65208067517048</v>
      </c>
      <c r="CA758" s="0" t="n">
        <v>1.30102999566398</v>
      </c>
      <c r="CB758" s="0" t="n">
        <v>1.39967372148104</v>
      </c>
      <c r="CC758" s="0" t="n">
        <v>39.7734864408234</v>
      </c>
      <c r="CD758" s="0" t="n">
        <v>39.7238406799932</v>
      </c>
      <c r="CE758" s="0" t="n">
        <v>-0.0496457608302379</v>
      </c>
      <c r="CF758" s="20" t="n">
        <f aca="false">(CE758)^2</f>
        <v>0.00246470156841318</v>
      </c>
      <c r="CG758" s="0" t="n">
        <v>2.65208067517048</v>
      </c>
      <c r="CH758" s="0" t="n">
        <v>1.30102999566398</v>
      </c>
      <c r="CI758" s="0" t="n">
        <v>1.39967372148104</v>
      </c>
      <c r="CJ758" s="0" t="n">
        <v>40.2768981210409</v>
      </c>
      <c r="CK758" s="0" t="n">
        <v>40.2529720067542</v>
      </c>
      <c r="CL758" s="0" t="n">
        <v>-0.0239261142866667</v>
      </c>
      <c r="CM758" s="20" t="n">
        <f aca="false">(CL758)^2</f>
        <v>0.000572458944858636</v>
      </c>
      <c r="CN758" s="0" t="n">
        <v>2.65208067517048</v>
      </c>
      <c r="CO758" s="0" t="n">
        <v>1.30102999566398</v>
      </c>
      <c r="CP758" s="0" t="n">
        <v>1.39967372148104</v>
      </c>
      <c r="CQ758" s="0" t="n">
        <v>40.1137810080134</v>
      </c>
      <c r="CR758" s="0" t="n">
        <v>40.0756659371669</v>
      </c>
      <c r="CS758" s="0" t="n">
        <v>-0.0381150708465157</v>
      </c>
      <c r="CT758" s="20" t="n">
        <f aca="false">(CS758)^2</f>
        <v>0.00145275862563491</v>
      </c>
      <c r="CU758" s="0" t="n">
        <v>1.25527250510331</v>
      </c>
      <c r="CV758" s="0" t="n">
        <v>7.95680445729154</v>
      </c>
      <c r="CW758" s="0" t="n">
        <v>7.96</v>
      </c>
      <c r="CX758" s="0" t="n">
        <v>0.00319554270845668</v>
      </c>
      <c r="CY758" s="20" t="n">
        <f aca="false">(CX758)^2</f>
        <v>1.02114932015706E-005</v>
      </c>
    </row>
    <row r="759" customFormat="false" ht="12.8" hidden="false" customHeight="false" outlineLevel="0" collapsed="false">
      <c r="BZ759" s="0" t="n">
        <v>3.14327666168951</v>
      </c>
      <c r="CA759" s="0" t="n">
        <v>1</v>
      </c>
      <c r="CB759" s="0" t="n">
        <v>1.3384564936046</v>
      </c>
      <c r="CC759" s="0" t="n">
        <v>39.9263781732852</v>
      </c>
      <c r="CD759" s="0" t="n">
        <v>40.069553025812</v>
      </c>
      <c r="CE759" s="0" t="n">
        <v>0.143174852526805</v>
      </c>
      <c r="CF759" s="20" t="n">
        <f aca="false">(CE759)^2</f>
        <v>0.0204990383960723</v>
      </c>
      <c r="CG759" s="0" t="n">
        <v>3.14327666168951</v>
      </c>
      <c r="CH759" s="0" t="n">
        <v>1</v>
      </c>
      <c r="CI759" s="0" t="n">
        <v>1.3384564936046</v>
      </c>
      <c r="CJ759" s="0" t="n">
        <v>40.4037387225919</v>
      </c>
      <c r="CK759" s="0" t="n">
        <v>41.2641577153917</v>
      </c>
      <c r="CL759" s="0" t="n">
        <v>0.860418992799758</v>
      </c>
      <c r="CM759" s="20" t="n">
        <f aca="false">(CL759)^2</f>
        <v>0.74032084317055</v>
      </c>
      <c r="CN759" s="0" t="n">
        <v>3.14327666168951</v>
      </c>
      <c r="CO759" s="0" t="n">
        <v>1</v>
      </c>
      <c r="CP759" s="0" t="n">
        <v>1.3384564936046</v>
      </c>
      <c r="CQ759" s="0" t="n">
        <v>40.1322827683375</v>
      </c>
      <c r="CR759" s="0" t="n">
        <v>40.7238661685937</v>
      </c>
      <c r="CS759" s="0" t="n">
        <v>0.591583400256205</v>
      </c>
      <c r="CT759" s="20" t="n">
        <f aca="false">(CS759)^2</f>
        <v>0.349970919458693</v>
      </c>
      <c r="CU759" s="0" t="n">
        <v>1.22010808804006</v>
      </c>
      <c r="CV759" s="0" t="n">
        <v>7.97926933667743</v>
      </c>
      <c r="CW759" s="0" t="n">
        <v>8.56</v>
      </c>
      <c r="CX759" s="0" t="n">
        <v>0.580730663322568</v>
      </c>
      <c r="CY759" s="20" t="n">
        <f aca="false">(CX759)^2</f>
        <v>0.33724810332307</v>
      </c>
    </row>
    <row r="760" customFormat="false" ht="12.8" hidden="false" customHeight="false" outlineLevel="0" collapsed="false">
      <c r="BZ760" s="0" t="n">
        <v>2.72075204192537</v>
      </c>
      <c r="CA760" s="0" t="n">
        <v>1.32221929473392</v>
      </c>
      <c r="CB760" s="0" t="n">
        <v>1.25527250510331</v>
      </c>
      <c r="CC760" s="0" t="n">
        <v>39.4992124678834</v>
      </c>
      <c r="CD760" s="0" t="n">
        <v>39.8138398098754</v>
      </c>
      <c r="CE760" s="0" t="n">
        <v>0.314627341992022</v>
      </c>
      <c r="CF760" s="20" t="n">
        <f aca="false">(CE760)^2</f>
        <v>0.0989903643289648</v>
      </c>
      <c r="CG760" s="0" t="n">
        <v>2.72075204192537</v>
      </c>
      <c r="CH760" s="0" t="n">
        <v>1.32221929473392</v>
      </c>
      <c r="CI760" s="0" t="n">
        <v>1.25527250510331</v>
      </c>
      <c r="CJ760" s="0" t="n">
        <v>40.0617032256901</v>
      </c>
      <c r="CK760" s="0" t="n">
        <v>40.2861528339909</v>
      </c>
      <c r="CL760" s="0" t="n">
        <v>0.224449608300787</v>
      </c>
      <c r="CM760" s="20" t="n">
        <f aca="false">(CL760)^2</f>
        <v>0.0503776266663769</v>
      </c>
      <c r="CN760" s="0" t="n">
        <v>2.72075204192537</v>
      </c>
      <c r="CO760" s="0" t="n">
        <v>1.32221929473392</v>
      </c>
      <c r="CP760" s="0" t="n">
        <v>1.25527250510331</v>
      </c>
      <c r="CQ760" s="0" t="n">
        <v>39.8028526608721</v>
      </c>
      <c r="CR760" s="0" t="n">
        <v>39.8999512285901</v>
      </c>
      <c r="CS760" s="0" t="n">
        <v>0.0970985677179641</v>
      </c>
      <c r="CT760" s="20" t="n">
        <f aca="false">(CS760)^2</f>
        <v>0.00942813185288006</v>
      </c>
      <c r="CU760" s="0" t="n">
        <v>1.50514997831991</v>
      </c>
      <c r="CV760" s="0" t="n">
        <v>7.7971695830104</v>
      </c>
      <c r="CW760" s="0" t="n">
        <v>8.14</v>
      </c>
      <c r="CX760" s="0" t="n">
        <v>0.342830416989599</v>
      </c>
      <c r="CY760" s="20" t="n">
        <f aca="false">(CX760)^2</f>
        <v>0.117532694813262</v>
      </c>
    </row>
    <row r="761" customFormat="false" ht="12.8" hidden="false" customHeight="false" outlineLevel="0" collapsed="false">
      <c r="BZ761" s="0" t="n">
        <v>2.48769573000203</v>
      </c>
      <c r="CA761" s="0" t="n">
        <v>0.602059991327962</v>
      </c>
      <c r="CB761" s="0" t="n">
        <v>1.22010808804006</v>
      </c>
      <c r="CC761" s="0" t="n">
        <v>38.9438872284396</v>
      </c>
      <c r="CD761" s="0" t="n">
        <v>39.0981383321098</v>
      </c>
      <c r="CE761" s="0" t="n">
        <v>0.154251103670184</v>
      </c>
      <c r="CF761" s="20" t="n">
        <f aca="false">(CE761)^2</f>
        <v>0.0237934029834698</v>
      </c>
      <c r="CG761" s="0" t="n">
        <v>2.48769573000203</v>
      </c>
      <c r="CH761" s="0" t="n">
        <v>0.602059991327962</v>
      </c>
      <c r="CI761" s="0" t="n">
        <v>1.22010808804006</v>
      </c>
      <c r="CJ761" s="0" t="n">
        <v>39.6442281817833</v>
      </c>
      <c r="CK761" s="0" t="n">
        <v>39.9333875133335</v>
      </c>
      <c r="CL761" s="0" t="n">
        <v>0.289159331550223</v>
      </c>
      <c r="CM761" s="20" t="n">
        <f aca="false">(CL761)^2</f>
        <v>0.083613119022572</v>
      </c>
      <c r="CN761" s="0" t="n">
        <v>2.48769573000203</v>
      </c>
      <c r="CO761" s="0" t="n">
        <v>0.602059991327962</v>
      </c>
      <c r="CP761" s="0" t="n">
        <v>1.22010808804006</v>
      </c>
      <c r="CQ761" s="0" t="n">
        <v>39.4247135867757</v>
      </c>
      <c r="CR761" s="0" t="n">
        <v>39.7399913960693</v>
      </c>
      <c r="CS761" s="0" t="n">
        <v>0.315277809293605</v>
      </c>
      <c r="CT761" s="20" t="n">
        <f aca="false">(CS761)^2</f>
        <v>0.0994000970329745</v>
      </c>
      <c r="CU761" s="0" t="n">
        <v>1.45788189673399</v>
      </c>
      <c r="CV761" s="0" t="n">
        <v>7.82736691998659</v>
      </c>
      <c r="CW761" s="0" t="n">
        <v>7.77</v>
      </c>
      <c r="CX761" s="0" t="n">
        <v>-0.0573669199865865</v>
      </c>
      <c r="CY761" s="20" t="n">
        <f aca="false">(CX761)^2</f>
        <v>0.00329096350874742</v>
      </c>
    </row>
    <row r="762" customFormat="false" ht="12.8" hidden="false" customHeight="false" outlineLevel="0" collapsed="false">
      <c r="BZ762" s="0" t="n">
        <v>2.80181789701222</v>
      </c>
      <c r="CA762" s="0" t="n">
        <v>1.91907809237607</v>
      </c>
      <c r="CB762" s="0" t="n">
        <v>1.50514997831991</v>
      </c>
      <c r="CC762" s="0" t="n">
        <v>40.3851821426336</v>
      </c>
      <c r="CD762" s="0" t="n">
        <v>40.6295612869068</v>
      </c>
      <c r="CE762" s="0" t="n">
        <v>0.244379144273189</v>
      </c>
      <c r="CF762" s="20" t="n">
        <f aca="false">(CE762)^2</f>
        <v>0.0597211661556963</v>
      </c>
      <c r="CG762" s="0" t="n">
        <v>2.80181789701222</v>
      </c>
      <c r="CH762" s="0" t="n">
        <v>1.91907809237607</v>
      </c>
      <c r="CI762" s="0" t="n">
        <v>1.50514997831991</v>
      </c>
      <c r="CJ762" s="0" t="n">
        <v>40.7409379851165</v>
      </c>
      <c r="CK762" s="0" t="n">
        <v>40.9807675767649</v>
      </c>
      <c r="CL762" s="0" t="n">
        <v>0.239829591648444</v>
      </c>
      <c r="CM762" s="20" t="n">
        <f aca="false">(CL762)^2</f>
        <v>0.0575182330302595</v>
      </c>
      <c r="CN762" s="0" t="n">
        <v>2.80181789701222</v>
      </c>
      <c r="CO762" s="0" t="n">
        <v>1.91907809237607</v>
      </c>
      <c r="CP762" s="0" t="n">
        <v>1.50514997831991</v>
      </c>
      <c r="CQ762" s="0" t="n">
        <v>40.5960642534701</v>
      </c>
      <c r="CR762" s="0" t="n">
        <v>40.9807675767649</v>
      </c>
      <c r="CS762" s="0" t="n">
        <v>0.384703323294787</v>
      </c>
      <c r="CT762" s="20" t="n">
        <f aca="false">(CS762)^2</f>
        <v>0.147996646954053</v>
      </c>
      <c r="CU762" s="0" t="n">
        <v>1.39269695325967</v>
      </c>
      <c r="CV762" s="0" t="n">
        <v>7.86901049082391</v>
      </c>
      <c r="CW762" s="0" t="n">
        <v>8.02</v>
      </c>
      <c r="CX762" s="0" t="n">
        <v>0.150989509176092</v>
      </c>
      <c r="CY762" s="20" t="n">
        <f aca="false">(CX762)^2</f>
        <v>0.022797831881237</v>
      </c>
    </row>
    <row r="763" customFormat="false" ht="12.8" hidden="false" customHeight="false" outlineLevel="0" collapsed="false">
      <c r="BZ763" s="0" t="n">
        <v>3.10471867515012</v>
      </c>
      <c r="CA763" s="0" t="n">
        <v>1.44715803134222</v>
      </c>
      <c r="CB763" s="0" t="n">
        <v>1.45788189673399</v>
      </c>
      <c r="CC763" s="0" t="n">
        <v>40.3470595624839</v>
      </c>
      <c r="CD763" s="0" t="n">
        <v>40.2970404904863</v>
      </c>
      <c r="CE763" s="0" t="n">
        <v>-0.0500190719975606</v>
      </c>
      <c r="CF763" s="20" t="n">
        <f aca="false">(CE763)^2</f>
        <v>0.00250190756349715</v>
      </c>
      <c r="CG763" s="0" t="n">
        <v>3.10471867515012</v>
      </c>
      <c r="CH763" s="0" t="n">
        <v>1.44715803134222</v>
      </c>
      <c r="CI763" s="0" t="n">
        <v>1.45788189673399</v>
      </c>
      <c r="CJ763" s="0" t="n">
        <v>40.7223510076498</v>
      </c>
      <c r="CK763" s="0" t="n">
        <v>40.7309227353314</v>
      </c>
      <c r="CL763" s="0" t="n">
        <v>0.00857172768163395</v>
      </c>
      <c r="CM763" s="20" t="n">
        <f aca="false">(CL763)^2</f>
        <v>7.34745154480896E-005</v>
      </c>
      <c r="CN763" s="0" t="n">
        <v>3.10471867515012</v>
      </c>
      <c r="CO763" s="0" t="n">
        <v>1.44715803134222</v>
      </c>
      <c r="CP763" s="0" t="n">
        <v>1.45788189673399</v>
      </c>
      <c r="CQ763" s="0" t="n">
        <v>40.5134961128413</v>
      </c>
      <c r="CR763" s="0" t="n">
        <v>40.7309227353314</v>
      </c>
      <c r="CS763" s="0" t="n">
        <v>0.217426622490109</v>
      </c>
      <c r="CT763" s="20" t="n">
        <f aca="false">(CS763)^2</f>
        <v>0.0472743361674563</v>
      </c>
      <c r="CU763" s="0" t="n">
        <v>1.50379068305718</v>
      </c>
      <c r="CV763" s="0" t="n">
        <v>7.79803797232771</v>
      </c>
      <c r="CW763" s="0" t="n">
        <v>8.28</v>
      </c>
      <c r="CX763" s="0" t="n">
        <v>0.48196202767229</v>
      </c>
      <c r="CY763" s="20" t="n">
        <f aca="false">(CX763)^2</f>
        <v>0.232287396117986</v>
      </c>
    </row>
    <row r="764" customFormat="false" ht="12.8" hidden="false" customHeight="false" outlineLevel="0" collapsed="false">
      <c r="BZ764" s="0" t="n">
        <v>2.70767614445813</v>
      </c>
      <c r="CA764" s="0" t="n">
        <v>1.55630250076729</v>
      </c>
      <c r="CB764" s="0" t="n">
        <v>1.39269695325967</v>
      </c>
      <c r="CC764" s="0" t="n">
        <v>39.901839654017</v>
      </c>
      <c r="CD764" s="0" t="n">
        <v>39.5808250944804</v>
      </c>
      <c r="CE764" s="0" t="n">
        <v>-0.321014559536565</v>
      </c>
      <c r="CF764" s="20" t="n">
        <f aca="false">(CE764)^2</f>
        <v>0.103050347434455</v>
      </c>
      <c r="CG764" s="0" t="n">
        <v>2.70767614445813</v>
      </c>
      <c r="CH764" s="0" t="n">
        <v>1.55630250076729</v>
      </c>
      <c r="CI764" s="0" t="n">
        <v>1.39269695325967</v>
      </c>
      <c r="CJ764" s="0" t="n">
        <v>40.3712693185259</v>
      </c>
      <c r="CK764" s="0" t="n">
        <v>40.2880850465456</v>
      </c>
      <c r="CL764" s="0" t="n">
        <v>-0.0831842719802438</v>
      </c>
      <c r="CM764" s="20" t="n">
        <f aca="false">(CL764)^2</f>
        <v>0.00691962310488317</v>
      </c>
      <c r="CN764" s="0" t="n">
        <v>2.70767614445813</v>
      </c>
      <c r="CO764" s="0" t="n">
        <v>1.55630250076729</v>
      </c>
      <c r="CP764" s="0" t="n">
        <v>1.39269695325967</v>
      </c>
      <c r="CQ764" s="0" t="n">
        <v>40.1874288862858</v>
      </c>
      <c r="CR764" s="0" t="n">
        <v>39.4996349548837</v>
      </c>
      <c r="CS764" s="0" t="n">
        <v>-0.687793931402084</v>
      </c>
      <c r="CT764" s="20" t="n">
        <f aca="false">(CS764)^2</f>
        <v>0.473060492073534</v>
      </c>
      <c r="CU764" s="0" t="n">
        <v>1.76937732607614</v>
      </c>
      <c r="CV764" s="0" t="n">
        <v>7.62836725402198</v>
      </c>
      <c r="CW764" s="0" t="n">
        <v>8.71</v>
      </c>
      <c r="CX764" s="0" t="n">
        <v>1.08163274597803</v>
      </c>
      <c r="CY764" s="20" t="n">
        <f aca="false">(CX764)^2</f>
        <v>1.16992939717196</v>
      </c>
    </row>
    <row r="765" customFormat="false" ht="12.8" hidden="false" customHeight="false" outlineLevel="0" collapsed="false">
      <c r="BZ765" s="0" t="n">
        <v>2.82411303198074</v>
      </c>
      <c r="CA765" s="0" t="n">
        <v>1.79239168949825</v>
      </c>
      <c r="CB765" s="0" t="n">
        <v>1.50379068305718</v>
      </c>
      <c r="CC765" s="0" t="n">
        <v>40.3520433261282</v>
      </c>
      <c r="CD765" s="0" t="n">
        <v>40.3643638589132</v>
      </c>
      <c r="CE765" s="0" t="n">
        <v>0.0123205327850044</v>
      </c>
      <c r="CF765" s="20" t="n">
        <f aca="false">(CE765)^2</f>
        <v>0.000151795528106369</v>
      </c>
      <c r="CG765" s="0" t="n">
        <v>2.82411303198074</v>
      </c>
      <c r="CH765" s="0" t="n">
        <v>1.79239168949825</v>
      </c>
      <c r="CI765" s="0" t="n">
        <v>1.50379068305718</v>
      </c>
      <c r="CJ765" s="0" t="n">
        <v>40.7180222118839</v>
      </c>
      <c r="CK765" s="0" t="n">
        <v>41.0286745143046</v>
      </c>
      <c r="CL765" s="0" t="n">
        <v>0.310652302420749</v>
      </c>
      <c r="CM765" s="20" t="n">
        <f aca="false">(CL765)^2</f>
        <v>0.0965048529993125</v>
      </c>
      <c r="CN765" s="0" t="n">
        <v>2.82411303198074</v>
      </c>
      <c r="CO765" s="0" t="n">
        <v>1.79239168949825</v>
      </c>
      <c r="CP765" s="0" t="n">
        <v>1.50379068305718</v>
      </c>
      <c r="CQ765" s="0" t="n">
        <v>40.5723479573612</v>
      </c>
      <c r="CR765" s="0" t="n">
        <v>40.3849932800756</v>
      </c>
      <c r="CS765" s="0" t="n">
        <v>-0.187354677285612</v>
      </c>
      <c r="CT765" s="20" t="n">
        <f aca="false">(CS765)^2</f>
        <v>0.0351017751007957</v>
      </c>
      <c r="CU765" s="0" t="n">
        <v>1.23044892137827</v>
      </c>
      <c r="CV765" s="0" t="n">
        <v>7.97266306837858</v>
      </c>
      <c r="CW765" s="0" t="n">
        <v>7.88</v>
      </c>
      <c r="CX765" s="0" t="n">
        <v>-0.0926630683785827</v>
      </c>
      <c r="CY765" s="20" t="n">
        <f aca="false">(CX765)^2</f>
        <v>0.0085864442413339</v>
      </c>
    </row>
    <row r="766" customFormat="false" ht="12.8" hidden="false" customHeight="false" outlineLevel="0" collapsed="false">
      <c r="BZ766" s="0" t="n">
        <v>3.10408301855785</v>
      </c>
      <c r="CA766" s="0" t="n">
        <v>0.954242509439325</v>
      </c>
      <c r="CB766" s="0" t="n">
        <v>1.76937732607614</v>
      </c>
      <c r="CC766" s="0" t="n">
        <v>40.8908377557982</v>
      </c>
      <c r="CD766" s="0" t="n">
        <v>41.0032839602938</v>
      </c>
      <c r="CE766" s="0" t="n">
        <v>0.112446204495576</v>
      </c>
      <c r="CF766" s="20" t="n">
        <f aca="false">(CE766)^2</f>
        <v>0.012644148905461</v>
      </c>
      <c r="CG766" s="0" t="n">
        <v>3.10408301855785</v>
      </c>
      <c r="CH766" s="0" t="n">
        <v>0.954242509439325</v>
      </c>
      <c r="CI766" s="0" t="n">
        <v>1.76937732607614</v>
      </c>
      <c r="CJ766" s="0" t="n">
        <v>41.1597570954673</v>
      </c>
      <c r="CK766" s="0" t="n">
        <v>41.1844537060535</v>
      </c>
      <c r="CL766" s="0" t="n">
        <v>0.0246966105862541</v>
      </c>
      <c r="CM766" s="20" t="n">
        <f aca="false">(CL766)^2</f>
        <v>0.000609922574449076</v>
      </c>
      <c r="CN766" s="0" t="n">
        <v>3.10408301855785</v>
      </c>
      <c r="CO766" s="0" t="n">
        <v>0.954242509439325</v>
      </c>
      <c r="CP766" s="0" t="n">
        <v>1.76937732607614</v>
      </c>
      <c r="CQ766" s="0" t="n">
        <v>41.1459367488343</v>
      </c>
      <c r="CR766" s="0" t="n">
        <v>41.1844537060535</v>
      </c>
      <c r="CS766" s="0" t="n">
        <v>0.0385169572191941</v>
      </c>
      <c r="CT766" s="20" t="n">
        <f aca="false">(CS766)^2</f>
        <v>0.00148355599342523</v>
      </c>
      <c r="CU766" s="0" t="n">
        <v>1.24303804868629</v>
      </c>
      <c r="CV766" s="0" t="n">
        <v>7.96462047162404</v>
      </c>
      <c r="CW766" s="0" t="n">
        <v>7.54</v>
      </c>
      <c r="CX766" s="0" t="n">
        <v>-0.424620471624041</v>
      </c>
      <c r="CY766" s="20" t="n">
        <f aca="false">(CX766)^2</f>
        <v>0.180302544922223</v>
      </c>
    </row>
    <row r="767" customFormat="false" ht="12.8" hidden="false" customHeight="false" outlineLevel="0" collapsed="false">
      <c r="BZ767" s="0" t="n">
        <v>2.56730132345877</v>
      </c>
      <c r="CA767" s="0" t="n">
        <v>1.60205999132796</v>
      </c>
      <c r="CB767" s="0" t="n">
        <v>1.23044892137827</v>
      </c>
      <c r="CC767" s="0" t="n">
        <v>39.4193162844531</v>
      </c>
      <c r="CD767" s="0" t="n">
        <v>39.4879266153321</v>
      </c>
      <c r="CE767" s="0" t="n">
        <v>0.0686103308790322</v>
      </c>
      <c r="CF767" s="20" t="n">
        <f aca="false">(CE767)^2</f>
        <v>0.00470737750333028</v>
      </c>
      <c r="CG767" s="0" t="n">
        <v>2.56730132345877</v>
      </c>
      <c r="CH767" s="0" t="n">
        <v>1.60205999132796</v>
      </c>
      <c r="CI767" s="0" t="n">
        <v>1.23044892137827</v>
      </c>
      <c r="CJ767" s="0" t="n">
        <v>39.9924909371353</v>
      </c>
      <c r="CK767" s="0" t="n">
        <v>39.8774043417796</v>
      </c>
      <c r="CL767" s="0" t="n">
        <v>-0.115086595355699</v>
      </c>
      <c r="CM767" s="20" t="n">
        <f aca="false">(CL767)^2</f>
        <v>0.0132449244305663</v>
      </c>
      <c r="CN767" s="0" t="n">
        <v>2.56730132345877</v>
      </c>
      <c r="CO767" s="0" t="n">
        <v>1.60205999132796</v>
      </c>
      <c r="CP767" s="0" t="n">
        <v>1.23044892137827</v>
      </c>
      <c r="CQ767" s="0" t="n">
        <v>39.7365953377609</v>
      </c>
      <c r="CR767" s="0" t="n">
        <v>39.4378067534722</v>
      </c>
      <c r="CS767" s="0" t="n">
        <v>-0.298788584288666</v>
      </c>
      <c r="CT767" s="20" t="n">
        <f aca="false">(CS767)^2</f>
        <v>0.089274618101225</v>
      </c>
      <c r="CU767" s="0" t="n">
        <v>1.3096301674259</v>
      </c>
      <c r="CV767" s="0" t="n">
        <v>7.92207792320513</v>
      </c>
      <c r="CW767" s="0" t="n">
        <v>8.26</v>
      </c>
      <c r="CX767" s="0" t="n">
        <v>0.337922076794871</v>
      </c>
      <c r="CY767" s="20" t="n">
        <f aca="false">(CX767)^2</f>
        <v>0.114191329985359</v>
      </c>
    </row>
    <row r="768" customFormat="false" ht="12.8" hidden="false" customHeight="false" outlineLevel="0" collapsed="false">
      <c r="BZ768" s="0" t="n">
        <v>2.59311533827612</v>
      </c>
      <c r="CA768" s="0" t="n">
        <v>2.11058971029925</v>
      </c>
      <c r="CB768" s="0" t="n">
        <v>1.24303804868629</v>
      </c>
      <c r="CC768" s="0" t="n">
        <v>39.6660273177528</v>
      </c>
      <c r="CD768" s="0" t="n">
        <v>39.8907352023789</v>
      </c>
      <c r="CE768" s="0" t="n">
        <v>0.224707884626135</v>
      </c>
      <c r="CF768" s="20" t="n">
        <f aca="false">(CE768)^2</f>
        <v>0.0504936334131522</v>
      </c>
      <c r="CG768" s="0" t="n">
        <v>2.59311533827612</v>
      </c>
      <c r="CH768" s="0" t="n">
        <v>2.11058971029925</v>
      </c>
      <c r="CI768" s="0" t="n">
        <v>1.24303804868629</v>
      </c>
      <c r="CJ768" s="0" t="n">
        <v>40.1734612343654</v>
      </c>
      <c r="CK768" s="0" t="n">
        <v>40.3666338830954</v>
      </c>
      <c r="CL768" s="0" t="n">
        <v>0.193172648730027</v>
      </c>
      <c r="CM768" s="20" t="n">
        <f aca="false">(CL768)^2</f>
        <v>0.0373156722173743</v>
      </c>
      <c r="CN768" s="0" t="n">
        <v>2.59311533827612</v>
      </c>
      <c r="CO768" s="0" t="n">
        <v>2.11058971029925</v>
      </c>
      <c r="CP768" s="0" t="n">
        <v>1.24303804868629</v>
      </c>
      <c r="CQ768" s="0" t="n">
        <v>39.9057515414693</v>
      </c>
      <c r="CR768" s="0" t="n">
        <v>40.0674853105121</v>
      </c>
      <c r="CS768" s="0" t="n">
        <v>0.161733769042833</v>
      </c>
      <c r="CT768" s="20" t="n">
        <f aca="false">(CS768)^2</f>
        <v>0.0261578120488004</v>
      </c>
      <c r="CU768" s="0" t="n">
        <v>1.54900326202579</v>
      </c>
      <c r="CV768" s="0" t="n">
        <v>7.76915379854977</v>
      </c>
      <c r="CW768" s="0" t="n">
        <v>8.01</v>
      </c>
      <c r="CX768" s="0" t="n">
        <v>0.240846201450228</v>
      </c>
      <c r="CY768" s="20" t="n">
        <f aca="false">(CX768)^2</f>
        <v>0.058006892753004</v>
      </c>
    </row>
    <row r="769" customFormat="false" ht="12.8" hidden="false" customHeight="false" outlineLevel="0" collapsed="false">
      <c r="BZ769" s="0" t="n">
        <v>2.59318251388042</v>
      </c>
      <c r="CA769" s="0" t="n">
        <v>1.70757017609794</v>
      </c>
      <c r="CB769" s="0" t="n">
        <v>1.3096301674259</v>
      </c>
      <c r="CC769" s="0" t="n">
        <v>39.6680983662681</v>
      </c>
      <c r="CD769" s="0" t="n">
        <v>39.8855611883631</v>
      </c>
      <c r="CE769" s="0" t="n">
        <v>0.217462822094951</v>
      </c>
      <c r="CF769" s="20" t="n">
        <f aca="false">(CE769)^2</f>
        <v>0.0472900789935005</v>
      </c>
      <c r="CG769" s="0" t="n">
        <v>2.59318251388042</v>
      </c>
      <c r="CH769" s="0" t="n">
        <v>1.70757017609794</v>
      </c>
      <c r="CI769" s="0" t="n">
        <v>1.3096301674259</v>
      </c>
      <c r="CJ769" s="0" t="n">
        <v>40.1847035418606</v>
      </c>
      <c r="CK769" s="0" t="n">
        <v>40.3210963526474</v>
      </c>
      <c r="CL769" s="0" t="n">
        <v>0.136392810786781</v>
      </c>
      <c r="CM769" s="20" t="n">
        <f aca="false">(CL769)^2</f>
        <v>0.0186029988343186</v>
      </c>
      <c r="CN769" s="0" t="n">
        <v>2.59318251388042</v>
      </c>
      <c r="CO769" s="0" t="n">
        <v>1.70757017609794</v>
      </c>
      <c r="CP769" s="0" t="n">
        <v>1.3096301674259</v>
      </c>
      <c r="CQ769" s="0" t="n">
        <v>39.9673301651846</v>
      </c>
      <c r="CR769" s="0" t="n">
        <v>40.3210963526474</v>
      </c>
      <c r="CS769" s="0" t="n">
        <v>0.35376618746281</v>
      </c>
      <c r="CT769" s="20" t="n">
        <f aca="false">(CS769)^2</f>
        <v>0.125150515391972</v>
      </c>
      <c r="CU769" s="0" t="n">
        <v>1.38021124171161</v>
      </c>
      <c r="CV769" s="0" t="n">
        <v>7.87698702015097</v>
      </c>
      <c r="CW769" s="0" t="n">
        <v>8.48</v>
      </c>
      <c r="CX769" s="0" t="n">
        <v>0.603012979849027</v>
      </c>
      <c r="CY769" s="20" t="n">
        <f aca="false">(CX769)^2</f>
        <v>0.363624653866403</v>
      </c>
    </row>
    <row r="770" customFormat="false" ht="12.8" hidden="false" customHeight="false" outlineLevel="0" collapsed="false">
      <c r="BZ770" s="0" t="n">
        <v>2.70206666441626</v>
      </c>
      <c r="CA770" s="0" t="n">
        <v>2</v>
      </c>
      <c r="CB770" s="0" t="n">
        <v>1.54900326202579</v>
      </c>
      <c r="CC770" s="0" t="n">
        <v>40.4357444037586</v>
      </c>
      <c r="CD770" s="0" t="n">
        <v>40.8602418490241</v>
      </c>
      <c r="CE770" s="0" t="n">
        <v>0.424497445265487</v>
      </c>
      <c r="CF770" s="20" t="n">
        <f aca="false">(CE770)^2</f>
        <v>0.180198081036925</v>
      </c>
      <c r="CG770" s="0" t="n">
        <v>2.70206666441626</v>
      </c>
      <c r="CH770" s="0" t="n">
        <v>2</v>
      </c>
      <c r="CI770" s="0" t="n">
        <v>1.54900326202579</v>
      </c>
      <c r="CJ770" s="0" t="n">
        <v>40.7785876551247</v>
      </c>
      <c r="CK770" s="0" t="n">
        <v>41.2889669095893</v>
      </c>
      <c r="CL770" s="0" t="n">
        <v>0.510379254464603</v>
      </c>
      <c r="CM770" s="20" t="n">
        <f aca="false">(CL770)^2</f>
        <v>0.260486983387844</v>
      </c>
      <c r="CN770" s="0" t="n">
        <v>2.70206666441626</v>
      </c>
      <c r="CO770" s="0" t="n">
        <v>2</v>
      </c>
      <c r="CP770" s="0" t="n">
        <v>1.54900326202579</v>
      </c>
      <c r="CQ770" s="0" t="n">
        <v>40.6733522142582</v>
      </c>
      <c r="CR770" s="0" t="n">
        <v>40.7432526092177</v>
      </c>
      <c r="CS770" s="0" t="n">
        <v>0.0699003949595252</v>
      </c>
      <c r="CT770" s="20" t="n">
        <f aca="false">(CS770)^2</f>
        <v>0.00488606521549761</v>
      </c>
      <c r="CU770" s="0" t="n">
        <v>1.41161970596323</v>
      </c>
      <c r="CV770" s="0" t="n">
        <v>7.85692164099683</v>
      </c>
      <c r="CW770" s="0" t="n">
        <v>7.99</v>
      </c>
      <c r="CX770" s="0" t="n">
        <v>0.133078359003173</v>
      </c>
      <c r="CY770" s="20" t="n">
        <f aca="false">(CX770)^2</f>
        <v>0.0177098496349775</v>
      </c>
    </row>
    <row r="771" customFormat="false" ht="12.8" hidden="false" customHeight="false" outlineLevel="0" collapsed="false">
      <c r="BZ771" s="0" t="n">
        <v>2.85513640282165</v>
      </c>
      <c r="CA771" s="0" t="n">
        <v>0.698970004336019</v>
      </c>
      <c r="CB771" s="0" t="n">
        <v>1.38021124171161</v>
      </c>
      <c r="CC771" s="0" t="n">
        <v>39.6669628103545</v>
      </c>
      <c r="CD771" s="0" t="n">
        <v>39.5307026003539</v>
      </c>
      <c r="CE771" s="0" t="n">
        <v>-0.136260210000565</v>
      </c>
      <c r="CF771" s="20" t="n">
        <f aca="false">(CE771)^2</f>
        <v>0.0185668448293979</v>
      </c>
      <c r="CG771" s="0" t="n">
        <v>2.85513640282165</v>
      </c>
      <c r="CH771" s="0" t="n">
        <v>0.698970004336019</v>
      </c>
      <c r="CI771" s="0" t="n">
        <v>1.38021124171161</v>
      </c>
      <c r="CJ771" s="0" t="n">
        <v>40.207881713577</v>
      </c>
      <c r="CK771" s="0" t="n">
        <v>40.3112205857885</v>
      </c>
      <c r="CL771" s="0" t="n">
        <v>0.103338872211516</v>
      </c>
      <c r="CM771" s="20" t="n">
        <f aca="false">(CL771)^2</f>
        <v>0.0106789225099481</v>
      </c>
      <c r="CN771" s="0" t="n">
        <v>2.85513640282165</v>
      </c>
      <c r="CO771" s="0" t="n">
        <v>0.698970004336019</v>
      </c>
      <c r="CP771" s="0" t="n">
        <v>1.38021124171161</v>
      </c>
      <c r="CQ771" s="0" t="n">
        <v>40.0172867420617</v>
      </c>
      <c r="CR771" s="0" t="n">
        <v>39.8411325938</v>
      </c>
      <c r="CS771" s="0" t="n">
        <v>-0.176154148261659</v>
      </c>
      <c r="CT771" s="20" t="n">
        <f aca="false">(CS771)^2</f>
        <v>0.0310302839497907</v>
      </c>
      <c r="CU771" s="0" t="n">
        <v>1.24797326636181</v>
      </c>
      <c r="CV771" s="0" t="n">
        <v>7.96146759496397</v>
      </c>
      <c r="CW771" s="0" t="n">
        <v>8.01</v>
      </c>
      <c r="CX771" s="0" t="n">
        <v>0.0485324050360285</v>
      </c>
      <c r="CY771" s="20" t="n">
        <f aca="false">(CX771)^2</f>
        <v>0.00235539433858113</v>
      </c>
    </row>
    <row r="772" customFormat="false" ht="12.8" hidden="false" customHeight="false" outlineLevel="0" collapsed="false">
      <c r="BZ772" s="0" t="n">
        <v>2.7281271270983</v>
      </c>
      <c r="CA772" s="0" t="n">
        <v>1.04139268515823</v>
      </c>
      <c r="CB772" s="0" t="n">
        <v>1.41161970596323</v>
      </c>
      <c r="CC772" s="0" t="n">
        <v>39.7657736441059</v>
      </c>
      <c r="CD772" s="0" t="n">
        <v>39.4259659076773</v>
      </c>
      <c r="CE772" s="0" t="n">
        <v>-0.339807736428632</v>
      </c>
      <c r="CF772" s="20" t="n">
        <f aca="false">(CE772)^2</f>
        <v>0.115469297736751</v>
      </c>
      <c r="CG772" s="0" t="n">
        <v>2.7281271270983</v>
      </c>
      <c r="CH772" s="0" t="n">
        <v>1.04139268515823</v>
      </c>
      <c r="CI772" s="0" t="n">
        <v>1.41161970596323</v>
      </c>
      <c r="CJ772" s="0" t="n">
        <v>40.2770560302103</v>
      </c>
      <c r="CK772" s="0" t="n">
        <v>39.794334988839</v>
      </c>
      <c r="CL772" s="0" t="n">
        <v>-0.482721041371256</v>
      </c>
      <c r="CM772" s="20" t="n">
        <f aca="false">(CL772)^2</f>
        <v>0.23301960378255</v>
      </c>
      <c r="CN772" s="0" t="n">
        <v>2.7281271270983</v>
      </c>
      <c r="CO772" s="0" t="n">
        <v>1.04139268515823</v>
      </c>
      <c r="CP772" s="0" t="n">
        <v>1.41161970596323</v>
      </c>
      <c r="CQ772" s="0" t="n">
        <v>40.1157935474679</v>
      </c>
      <c r="CR772" s="0" t="n">
        <v>39.794334988839</v>
      </c>
      <c r="CS772" s="0" t="n">
        <v>-0.321458558628862</v>
      </c>
      <c r="CT772" s="20" t="n">
        <f aca="false">(CS772)^2</f>
        <v>0.103335604915746</v>
      </c>
      <c r="CU772" s="0" t="n">
        <v>1.3541084391474</v>
      </c>
      <c r="CV772" s="0" t="n">
        <v>7.89366286352366</v>
      </c>
      <c r="CW772" s="0" t="n">
        <v>7.74</v>
      </c>
      <c r="CX772" s="0" t="n">
        <v>-0.153662863523661</v>
      </c>
      <c r="CY772" s="20" t="n">
        <f aca="false">(CX772)^2</f>
        <v>0.0236122756262913</v>
      </c>
    </row>
    <row r="773" customFormat="false" ht="12.8" hidden="false" customHeight="false" outlineLevel="0" collapsed="false">
      <c r="BZ773" s="0" t="n">
        <v>2.81672091333267</v>
      </c>
      <c r="CA773" s="0" t="n">
        <v>1.69019608002851</v>
      </c>
      <c r="CB773" s="0" t="n">
        <v>1.24797326636181</v>
      </c>
      <c r="CC773" s="0" t="n">
        <v>39.7040293114891</v>
      </c>
      <c r="CD773" s="0" t="n">
        <v>39.3876198532141</v>
      </c>
      <c r="CE773" s="0" t="n">
        <v>-0.31640945827499</v>
      </c>
      <c r="CF773" s="20" t="n">
        <f aca="false">(CE773)^2</f>
        <v>0.100114945285872</v>
      </c>
      <c r="CG773" s="0" t="n">
        <v>2.81672091333267</v>
      </c>
      <c r="CH773" s="0" t="n">
        <v>1.69019608002851</v>
      </c>
      <c r="CI773" s="0" t="n">
        <v>1.24797326636181</v>
      </c>
      <c r="CJ773" s="0" t="n">
        <v>40.2132335435436</v>
      </c>
      <c r="CK773" s="0" t="n">
        <v>39.9396196552323</v>
      </c>
      <c r="CL773" s="0" t="n">
        <v>-0.273613888311296</v>
      </c>
      <c r="CM773" s="20" t="n">
        <f aca="false">(CL773)^2</f>
        <v>0.0748645598768262</v>
      </c>
      <c r="CN773" s="0" t="n">
        <v>2.81672091333267</v>
      </c>
      <c r="CO773" s="0" t="n">
        <v>1.69019608002851</v>
      </c>
      <c r="CP773" s="0" t="n">
        <v>1.24797326636181</v>
      </c>
      <c r="CQ773" s="0" t="n">
        <v>39.9234785370318</v>
      </c>
      <c r="CR773" s="0" t="n">
        <v>39.6143001977675</v>
      </c>
      <c r="CS773" s="0" t="n">
        <v>-0.309178339264342</v>
      </c>
      <c r="CT773" s="20" t="n">
        <f aca="false">(CS773)^2</f>
        <v>0.0955912454702566</v>
      </c>
      <c r="CU773" s="0" t="n">
        <v>1.20682587603185</v>
      </c>
      <c r="CV773" s="0" t="n">
        <v>7.98775471239703</v>
      </c>
      <c r="CW773" s="0" t="n">
        <v>7.95</v>
      </c>
      <c r="CX773" s="0" t="n">
        <v>-0.0377547123970281</v>
      </c>
      <c r="CY773" s="20" t="n">
        <f aca="false">(CX773)^2</f>
        <v>0.00142541830818231</v>
      </c>
    </row>
    <row r="774" customFormat="false" ht="12.8" hidden="false" customHeight="false" outlineLevel="0" collapsed="false">
      <c r="BZ774" s="0" t="n">
        <v>2.81967486601435</v>
      </c>
      <c r="CA774" s="0" t="n">
        <v>1.46239799789896</v>
      </c>
      <c r="CB774" s="0" t="n">
        <v>1.3541084391474</v>
      </c>
      <c r="CC774" s="0" t="n">
        <v>39.8689811323322</v>
      </c>
      <c r="CD774" s="0" t="n">
        <v>39.7992940202333</v>
      </c>
      <c r="CE774" s="0" t="n">
        <v>-0.0696871120989542</v>
      </c>
      <c r="CF774" s="20" t="n">
        <f aca="false">(CE774)^2</f>
        <v>0.00485629359269221</v>
      </c>
      <c r="CG774" s="0" t="n">
        <v>2.81967486601435</v>
      </c>
      <c r="CH774" s="0" t="n">
        <v>1.46239799789896</v>
      </c>
      <c r="CI774" s="0" t="n">
        <v>1.3541084391474</v>
      </c>
      <c r="CJ774" s="0" t="n">
        <v>40.3477865452205</v>
      </c>
      <c r="CK774" s="0" t="n">
        <v>40.5671950296227</v>
      </c>
      <c r="CL774" s="0" t="n">
        <v>0.219408484402187</v>
      </c>
      <c r="CM774" s="20" t="n">
        <f aca="false">(CL774)^2</f>
        <v>0.0481400830276649</v>
      </c>
      <c r="CN774" s="0" t="n">
        <v>2.81967486601435</v>
      </c>
      <c r="CO774" s="0" t="n">
        <v>1.46239799789896</v>
      </c>
      <c r="CP774" s="0" t="n">
        <v>1.3541084391474</v>
      </c>
      <c r="CQ774" s="0" t="n">
        <v>40.1257027076986</v>
      </c>
      <c r="CR774" s="0" t="n">
        <v>40.5671950296227</v>
      </c>
      <c r="CS774" s="0" t="n">
        <v>0.441492321924123</v>
      </c>
      <c r="CT774" s="20" t="n">
        <f aca="false">(CS774)^2</f>
        <v>0.194915470317954</v>
      </c>
      <c r="CU774" s="0" t="n">
        <v>1.09691001300806</v>
      </c>
      <c r="CV774" s="0" t="n">
        <v>8.05797474763845</v>
      </c>
      <c r="CW774" s="0" t="n">
        <v>7.77</v>
      </c>
      <c r="CX774" s="0" t="n">
        <v>-0.287974747638446</v>
      </c>
      <c r="CY774" s="20" t="n">
        <f aca="false">(CX774)^2</f>
        <v>0.0829294552774264</v>
      </c>
    </row>
    <row r="775" customFormat="false" ht="12.8" hidden="false" customHeight="false" outlineLevel="0" collapsed="false">
      <c r="BZ775" s="0" t="n">
        <v>2.98153856858654</v>
      </c>
      <c r="CA775" s="0" t="n">
        <v>1.64345267648619</v>
      </c>
      <c r="CB775" s="0" t="n">
        <v>1.20682587603185</v>
      </c>
      <c r="CC775" s="0" t="n">
        <v>39.7276437212324</v>
      </c>
      <c r="CD775" s="0" t="n">
        <v>39.5414546476421</v>
      </c>
      <c r="CE775" s="0" t="n">
        <v>-0.186189073590334</v>
      </c>
      <c r="CF775" s="20" t="n">
        <f aca="false">(CE775)^2</f>
        <v>0.034666371124427</v>
      </c>
      <c r="CG775" s="0" t="n">
        <v>2.98153856858654</v>
      </c>
      <c r="CH775" s="0" t="n">
        <v>1.64345267648619</v>
      </c>
      <c r="CI775" s="0" t="n">
        <v>1.20682587603185</v>
      </c>
      <c r="CJ775" s="0" t="n">
        <v>40.2328264760057</v>
      </c>
      <c r="CK775" s="0" t="n">
        <v>39.9994654634455</v>
      </c>
      <c r="CL775" s="0" t="n">
        <v>-0.233361012560159</v>
      </c>
      <c r="CM775" s="20" t="n">
        <f aca="false">(CL775)^2</f>
        <v>0.0544573621831029</v>
      </c>
      <c r="CN775" s="0" t="n">
        <v>2.98153856858654</v>
      </c>
      <c r="CO775" s="0" t="n">
        <v>1.64345267648619</v>
      </c>
      <c r="CP775" s="0" t="n">
        <v>1.20682587603185</v>
      </c>
      <c r="CQ775" s="0" t="n">
        <v>39.8931927101078</v>
      </c>
      <c r="CR775" s="0" t="n">
        <v>39.4317743737488</v>
      </c>
      <c r="CS775" s="0" t="n">
        <v>-0.461418336358953</v>
      </c>
      <c r="CT775" s="20" t="n">
        <f aca="false">(CS775)^2</f>
        <v>0.212906881128264</v>
      </c>
      <c r="CU775" s="0" t="n">
        <v>1.28330122870355</v>
      </c>
      <c r="CV775" s="0" t="n">
        <v>7.93889823425116</v>
      </c>
      <c r="CW775" s="0" t="n">
        <v>7.92</v>
      </c>
      <c r="CX775" s="0" t="n">
        <v>-0.0188982342511554</v>
      </c>
      <c r="CY775" s="20" t="n">
        <f aca="false">(CX775)^2</f>
        <v>0.000357143257811545</v>
      </c>
    </row>
    <row r="776" customFormat="false" ht="12.8" hidden="false" customHeight="false" outlineLevel="0" collapsed="false">
      <c r="BZ776" s="0" t="n">
        <v>2.5381406092624</v>
      </c>
      <c r="CA776" s="0" t="n">
        <v>2.19033169817029</v>
      </c>
      <c r="CB776" s="0" t="n">
        <v>1.09691001300806</v>
      </c>
      <c r="CC776" s="0" t="n">
        <v>39.3062865667629</v>
      </c>
      <c r="CD776" s="0" t="n">
        <v>39.2951320767752</v>
      </c>
      <c r="CE776" s="0" t="n">
        <v>-0.0111544899877387</v>
      </c>
      <c r="CF776" s="20" t="n">
        <f aca="false">(CE776)^2</f>
        <v>0.000124422646886563</v>
      </c>
      <c r="CG776" s="0" t="n">
        <v>2.5381406092624</v>
      </c>
      <c r="CH776" s="0" t="n">
        <v>2.19033169817029</v>
      </c>
      <c r="CI776" s="0" t="n">
        <v>1.09691001300806</v>
      </c>
      <c r="CJ776" s="0" t="n">
        <v>39.8899752086226</v>
      </c>
      <c r="CK776" s="0" t="n">
        <v>39.8338814731209</v>
      </c>
      <c r="CL776" s="0" t="n">
        <v>-0.0560937355017188</v>
      </c>
      <c r="CM776" s="20" t="n">
        <f aca="false">(CL776)^2</f>
        <v>0.00314650716253679</v>
      </c>
      <c r="CN776" s="0" t="n">
        <v>2.5381406092624</v>
      </c>
      <c r="CO776" s="0" t="n">
        <v>2.19033169817029</v>
      </c>
      <c r="CP776" s="0" t="n">
        <v>1.09691001300806</v>
      </c>
      <c r="CQ776" s="0" t="n">
        <v>39.5443721210467</v>
      </c>
      <c r="CR776" s="0" t="n">
        <v>39.7495605874209</v>
      </c>
      <c r="CS776" s="0" t="n">
        <v>0.205188466374167</v>
      </c>
      <c r="CT776" s="20" t="n">
        <f aca="false">(CS776)^2</f>
        <v>0.0421023067329828</v>
      </c>
      <c r="CU776" s="0" t="n">
        <v>1.23552844690755</v>
      </c>
      <c r="CV776" s="0" t="n">
        <v>7.96941800027046</v>
      </c>
      <c r="CW776" s="0" t="n">
        <v>7.85</v>
      </c>
      <c r="CX776" s="0" t="n">
        <v>-0.119418000270457</v>
      </c>
      <c r="CY776" s="20" t="n">
        <f aca="false">(CX776)^2</f>
        <v>0.0142606587885949</v>
      </c>
    </row>
    <row r="777" customFormat="false" ht="12.8" hidden="false" customHeight="false" outlineLevel="0" collapsed="false">
      <c r="BZ777" s="0" t="n">
        <v>2.37977395062333</v>
      </c>
      <c r="CA777" s="0" t="n">
        <v>1.86923171973098</v>
      </c>
      <c r="CB777" s="0" t="n">
        <v>1.28330122870355</v>
      </c>
      <c r="CC777" s="0" t="n">
        <v>39.4888740547676</v>
      </c>
      <c r="CD777" s="0" t="n">
        <v>39.0423920343584</v>
      </c>
      <c r="CE777" s="0" t="n">
        <v>-0.446482020409164</v>
      </c>
      <c r="CF777" s="20" t="n">
        <f aca="false">(CE777)^2</f>
        <v>0.199346194548649</v>
      </c>
      <c r="CG777" s="0" t="n">
        <v>2.37977395062333</v>
      </c>
      <c r="CH777" s="0" t="n">
        <v>1.86923171973098</v>
      </c>
      <c r="CI777" s="0" t="n">
        <v>1.28330122870355</v>
      </c>
      <c r="CJ777" s="0" t="n">
        <v>40.0405666296682</v>
      </c>
      <c r="CK777" s="0" t="n">
        <v>39.4843141944881</v>
      </c>
      <c r="CL777" s="0" t="n">
        <v>-0.55625243518012</v>
      </c>
      <c r="CM777" s="20" t="n">
        <f aca="false">(CL777)^2</f>
        <v>0.309416771643814</v>
      </c>
      <c r="CN777" s="0" t="n">
        <v>2.37977395062333</v>
      </c>
      <c r="CO777" s="0" t="n">
        <v>1.86923171973098</v>
      </c>
      <c r="CP777" s="0" t="n">
        <v>1.28330122870355</v>
      </c>
      <c r="CQ777" s="0" t="n">
        <v>39.8386839515756</v>
      </c>
      <c r="CR777" s="0" t="n">
        <v>39.4843141944881</v>
      </c>
      <c r="CS777" s="0" t="n">
        <v>-0.354369757087504</v>
      </c>
      <c r="CT777" s="20" t="n">
        <f aca="false">(CS777)^2</f>
        <v>0.125577924738257</v>
      </c>
      <c r="CU777" s="0" t="n">
        <v>1.22788670461367</v>
      </c>
      <c r="CV777" s="0" t="n">
        <v>7.97429994722898</v>
      </c>
      <c r="CW777" s="0" t="n">
        <v>7.72</v>
      </c>
      <c r="CX777" s="0" t="n">
        <v>-0.254299947228977</v>
      </c>
      <c r="CY777" s="20" t="n">
        <f aca="false">(CX777)^2</f>
        <v>0.0646684631606603</v>
      </c>
    </row>
    <row r="778" customFormat="false" ht="12.8" hidden="false" customHeight="false" outlineLevel="0" collapsed="false">
      <c r="BZ778" s="0" t="n">
        <v>2.77079593079515</v>
      </c>
      <c r="CA778" s="0" t="n">
        <v>1.27875360095283</v>
      </c>
      <c r="CB778" s="0" t="n">
        <v>1.23552844690755</v>
      </c>
      <c r="CC778" s="0" t="n">
        <v>39.4780591173673</v>
      </c>
      <c r="CD778" s="0" t="n">
        <v>39.7584397069598</v>
      </c>
      <c r="CE778" s="0" t="n">
        <v>0.280380589592518</v>
      </c>
      <c r="CF778" s="20" t="n">
        <f aca="false">(CE778)^2</f>
        <v>0.078613275020248</v>
      </c>
      <c r="CG778" s="0" t="n">
        <v>2.77079593079515</v>
      </c>
      <c r="CH778" s="0" t="n">
        <v>1.27875360095283</v>
      </c>
      <c r="CI778" s="0" t="n">
        <v>1.23552844690755</v>
      </c>
      <c r="CJ778" s="0" t="n">
        <v>40.0461811076501</v>
      </c>
      <c r="CK778" s="0" t="n">
        <v>40.1263375099171</v>
      </c>
      <c r="CL778" s="0" t="n">
        <v>0.0801564022669581</v>
      </c>
      <c r="CM778" s="20" t="n">
        <f aca="false">(CL778)^2</f>
        <v>0.0064250488243824</v>
      </c>
      <c r="CN778" s="0" t="n">
        <v>2.77079593079515</v>
      </c>
      <c r="CO778" s="0" t="n">
        <v>1.27875360095283</v>
      </c>
      <c r="CP778" s="0" t="n">
        <v>1.23552844690755</v>
      </c>
      <c r="CQ778" s="0" t="n">
        <v>39.7688361729357</v>
      </c>
      <c r="CR778" s="0" t="n">
        <v>39.9044887603007</v>
      </c>
      <c r="CS778" s="0" t="n">
        <v>0.135652587364994</v>
      </c>
      <c r="CT778" s="20" t="n">
        <f aca="false">(CS778)^2</f>
        <v>0.0184016244588174</v>
      </c>
      <c r="CY778" s="0" t="n">
        <f aca="false">SQRT(SUM(CY740:CY777)/38)</f>
        <v>1.15765246614422</v>
      </c>
    </row>
    <row r="779" customFormat="false" ht="12.8" hidden="false" customHeight="false" outlineLevel="0" collapsed="false">
      <c r="BZ779" s="0" t="n">
        <v>1.8572240799594</v>
      </c>
      <c r="CA779" s="0" t="n">
        <v>2.72835378202123</v>
      </c>
      <c r="CB779" s="0" t="n">
        <v>1.22788670461367</v>
      </c>
      <c r="CC779" s="0" t="n">
        <v>39.2493376138168</v>
      </c>
      <c r="CD779" s="0" t="n">
        <v>39.0217644408478</v>
      </c>
      <c r="CE779" s="0" t="n">
        <v>-0.227573172969052</v>
      </c>
      <c r="CF779" s="20" t="n">
        <f aca="false">(CE779)^2</f>
        <v>0.0517895490552021</v>
      </c>
      <c r="CG779" s="13" t="n">
        <v>1.8572240799594</v>
      </c>
      <c r="CH779" s="0" t="n">
        <v>2.72835378202123</v>
      </c>
      <c r="CI779" s="0" t="n">
        <v>1.22788670461367</v>
      </c>
      <c r="CJ779" s="0" t="n">
        <v>39.8325835567719</v>
      </c>
      <c r="CK779" s="0" t="n">
        <v>39.7989606416723</v>
      </c>
      <c r="CL779" s="0" t="n">
        <v>-0.0336229150995493</v>
      </c>
      <c r="CM779" s="20" t="n">
        <f aca="false">(CL779)^2</f>
        <v>0.0011305004197915</v>
      </c>
      <c r="CN779" s="0" t="n">
        <v>1.8572240799594</v>
      </c>
      <c r="CO779" s="0" t="n">
        <v>2.72835378202123</v>
      </c>
      <c r="CP779" s="0" t="n">
        <v>1.22788670461367</v>
      </c>
      <c r="CQ779" s="0" t="n">
        <v>39.6603767656891</v>
      </c>
      <c r="CR779" s="0" t="n">
        <v>39.4018526150208</v>
      </c>
      <c r="CS779" s="0" t="n">
        <v>-0.258524150668258</v>
      </c>
      <c r="CT779" s="20" t="n">
        <f aca="false">(CS779)^2</f>
        <v>0.0668347364787441</v>
      </c>
    </row>
    <row r="780" customFormat="false" ht="12.8" hidden="false" customHeight="false" outlineLevel="0" collapsed="false">
      <c r="BS780" s="14"/>
      <c r="BZ780" s="14"/>
      <c r="CF780" s="0" t="n">
        <f aca="false">SQRT(SUM(CF742:CF779)/38)</f>
        <v>0.240611215859286</v>
      </c>
      <c r="CG780" s="14"/>
      <c r="CM780" s="0" t="n">
        <f aca="false">SQRT(SUM(CM742:CM779)/38)</f>
        <v>0.321644014782389</v>
      </c>
      <c r="CN780" s="14"/>
      <c r="CT780" s="0" t="n">
        <f aca="false">SQRT(SUM(CT742:CT779)/38)</f>
        <v>0.319453725279499</v>
      </c>
    </row>
    <row r="782" customFormat="false" ht="12.8" hidden="false" customHeight="false" outlineLevel="0" collapsed="false">
      <c r="BZ782" s="14" t="s">
        <v>550</v>
      </c>
      <c r="CG782" s="14" t="s">
        <v>551</v>
      </c>
      <c r="CN782" s="14" t="s">
        <v>552</v>
      </c>
      <c r="CU782" s="0" t="s">
        <v>553</v>
      </c>
    </row>
    <row r="783" customFormat="false" ht="12.8" hidden="false" customHeight="false" outlineLevel="0" collapsed="false">
      <c r="BZ783" s="0" t="s">
        <v>78</v>
      </c>
      <c r="CA783" s="0" t="s">
        <v>79</v>
      </c>
      <c r="CG783" s="0" t="s">
        <v>78</v>
      </c>
      <c r="CH783" s="0" t="s">
        <v>79</v>
      </c>
      <c r="CN783" s="0" t="s">
        <v>78</v>
      </c>
      <c r="CO783" s="0" t="s">
        <v>79</v>
      </c>
      <c r="CU783" s="0" t="s">
        <v>78</v>
      </c>
      <c r="CV783" s="0" t="s">
        <v>79</v>
      </c>
    </row>
    <row r="785" customFormat="false" ht="12.8" hidden="false" customHeight="false" outlineLevel="0" collapsed="false">
      <c r="BZ785" s="0" t="s">
        <v>84</v>
      </c>
      <c r="CG785" s="0" t="s">
        <v>84</v>
      </c>
      <c r="CN785" s="0" t="s">
        <v>84</v>
      </c>
      <c r="CU785" s="0" t="s">
        <v>84</v>
      </c>
    </row>
    <row r="786" customFormat="false" ht="12.8" hidden="false" customHeight="false" outlineLevel="0" collapsed="false">
      <c r="BZ786" s="0" t="n">
        <f aca="false" t="array" ref="BZ786:CC790">LINEST($BG$95:$BG$132 , $BL$53:$BN$90 , 1 , 1)</f>
        <v>0.258730741986869</v>
      </c>
      <c r="CA786" s="0" t="n">
        <v>0.805656232243408</v>
      </c>
      <c r="CB786" s="0" t="n">
        <v>1.97132423569941</v>
      </c>
      <c r="CC786" s="0" t="n">
        <v>35.1438733316032</v>
      </c>
      <c r="CG786" s="0" t="n">
        <f aca="false" t="array" ref="CG786:CJ790">LINEST($BH$95:$BH$132 , $BL$53:$BN$90 , 1 , 1)</f>
        <v>0.152375533750732</v>
      </c>
      <c r="CH786" s="0" t="n">
        <v>0.470480643307818</v>
      </c>
      <c r="CI786" s="0" t="n">
        <v>1.72030129467864</v>
      </c>
      <c r="CJ786" s="0" t="n">
        <v>36.8013278590557</v>
      </c>
      <c r="CN786" s="0" t="n">
        <f aca="false" t="array" ref="CN786:CQ790">LINEST($BI$95:$BI$132 , $BL$53:$BN$90 , 1 , 1)</f>
        <v>0.21247654772805</v>
      </c>
      <c r="CO786" s="0" t="n">
        <v>0.703727797663138</v>
      </c>
      <c r="CP786" s="0" t="n">
        <v>1.94130075512432</v>
      </c>
      <c r="CQ786" s="0" t="n">
        <v>35.7423383577494</v>
      </c>
      <c r="CU786" s="0" t="n">
        <f aca="false" t="array" ref="CU786:CV790">LINEST($BK$95:$BK$132 , $BL$95:$BL$132 , 1 , 1)</f>
        <v>-0.464535875219086</v>
      </c>
      <c r="CV786" s="0" t="n">
        <v>2.26711295798092</v>
      </c>
    </row>
    <row r="787" customFormat="false" ht="12.8" hidden="false" customHeight="false" outlineLevel="0" collapsed="false">
      <c r="BZ787" s="0" t="n">
        <v>0.108087138070962</v>
      </c>
      <c r="CA787" s="0" t="n">
        <v>0.208332890258679</v>
      </c>
      <c r="CB787" s="0" t="n">
        <v>0.402291250653496</v>
      </c>
      <c r="CC787" s="0" t="n">
        <v>0.526619660816757</v>
      </c>
      <c r="CG787" s="0" t="n">
        <v>0.143938223657718</v>
      </c>
      <c r="CH787" s="0" t="n">
        <v>0.277434176614291</v>
      </c>
      <c r="CI787" s="0" t="n">
        <v>0.53572598040379</v>
      </c>
      <c r="CJ787" s="0" t="n">
        <v>0.701292493020111</v>
      </c>
      <c r="CN787" s="0" t="n">
        <v>0.128649826266267</v>
      </c>
      <c r="CO787" s="0" t="n">
        <v>0.247966507538872</v>
      </c>
      <c r="CP787" s="0" t="n">
        <v>0.47882384924498</v>
      </c>
      <c r="CQ787" s="0" t="n">
        <v>0.626804715913535</v>
      </c>
      <c r="CU787" s="0" t="n">
        <v>0.530146114723153</v>
      </c>
      <c r="CV787" s="0" t="n">
        <v>0.727033150872745</v>
      </c>
    </row>
    <row r="788" customFormat="false" ht="12.8" hidden="false" customHeight="false" outlineLevel="0" collapsed="false">
      <c r="BZ788" s="0" t="n">
        <v>0.726716899641536</v>
      </c>
      <c r="CA788" s="0" t="n">
        <v>0.270132914085082</v>
      </c>
      <c r="CB788" s="0" t="e">
        <v>#N/A</v>
      </c>
      <c r="CC788" s="0" t="e">
        <v>#N/A</v>
      </c>
      <c r="CG788" s="0" t="n">
        <v>0.460154200333223</v>
      </c>
      <c r="CH788" s="0" t="n">
        <v>0.359732457522951</v>
      </c>
      <c r="CI788" s="0" t="e">
        <v>#N/A</v>
      </c>
      <c r="CJ788" s="0" t="e">
        <v>#N/A</v>
      </c>
      <c r="CN788" s="0" t="n">
        <v>0.622973721477775</v>
      </c>
      <c r="CO788" s="0" t="n">
        <v>0.321523477132222</v>
      </c>
      <c r="CP788" s="0" t="e">
        <v>#N/A</v>
      </c>
      <c r="CQ788" s="0" t="e">
        <v>#N/A</v>
      </c>
      <c r="CU788" s="0" t="n">
        <v>0.0208823669942528</v>
      </c>
      <c r="CV788" s="0" t="n">
        <v>0.439087258973457</v>
      </c>
    </row>
    <row r="789" customFormat="false" ht="12.8" hidden="false" customHeight="false" outlineLevel="0" collapsed="false">
      <c r="BZ789" s="0" t="n">
        <v>30.1377028136785</v>
      </c>
      <c r="CA789" s="0" t="n">
        <v>34</v>
      </c>
      <c r="CB789" s="0" t="e">
        <v>#N/A</v>
      </c>
      <c r="CC789" s="0" t="e">
        <v>#N/A</v>
      </c>
      <c r="CG789" s="0" t="n">
        <v>9.66031585376583</v>
      </c>
      <c r="CH789" s="0" t="n">
        <v>34</v>
      </c>
      <c r="CI789" s="0" t="e">
        <v>#N/A</v>
      </c>
      <c r="CJ789" s="0" t="e">
        <v>#N/A</v>
      </c>
      <c r="CN789" s="0" t="n">
        <v>18.7264635003382</v>
      </c>
      <c r="CO789" s="0" t="n">
        <v>34</v>
      </c>
      <c r="CP789" s="0" t="e">
        <v>#N/A</v>
      </c>
      <c r="CQ789" s="0" t="e">
        <v>#N/A</v>
      </c>
      <c r="CU789" s="0" t="n">
        <v>0.767798665299583</v>
      </c>
      <c r="CV789" s="0" t="n">
        <v>36</v>
      </c>
    </row>
    <row r="790" customFormat="false" ht="12.8" hidden="false" customHeight="false" outlineLevel="0" collapsed="false">
      <c r="BZ790" s="0" t="n">
        <v>6.59760647742085</v>
      </c>
      <c r="CA790" s="0" t="n">
        <v>2.48104090325135</v>
      </c>
      <c r="CB790" s="0" t="e">
        <v>#N/A</v>
      </c>
      <c r="CC790" s="0" t="e">
        <v>#N/A</v>
      </c>
      <c r="CG790" s="0" t="n">
        <v>3.75035026153233</v>
      </c>
      <c r="CH790" s="0" t="n">
        <v>4.39985299384705</v>
      </c>
      <c r="CI790" s="0" t="e">
        <v>#N/A</v>
      </c>
      <c r="CJ790" s="0" t="e">
        <v>#N/A</v>
      </c>
      <c r="CN790" s="0" t="n">
        <v>5.80767630939769</v>
      </c>
      <c r="CO790" s="0" t="n">
        <v>3.51482977580462</v>
      </c>
      <c r="CP790" s="0" t="e">
        <v>#N/A</v>
      </c>
      <c r="CQ790" s="0" t="e">
        <v>#N/A</v>
      </c>
      <c r="CU790" s="0" t="n">
        <v>0.148029756071225</v>
      </c>
      <c r="CV790" s="0" t="n">
        <v>6.94071435574165</v>
      </c>
    </row>
    <row r="792" customFormat="false" ht="12.8" hidden="false" customHeight="false" outlineLevel="0" collapsed="false">
      <c r="BZ792" s="0" t="s">
        <v>100</v>
      </c>
      <c r="CG792" s="0" t="s">
        <v>100</v>
      </c>
      <c r="CN792" s="0" t="s">
        <v>100</v>
      </c>
      <c r="CU792" s="0" t="s">
        <v>100</v>
      </c>
    </row>
    <row r="793" customFormat="false" ht="12.8" hidden="false" customHeight="false" outlineLevel="0" collapsed="false">
      <c r="BZ793" s="0" t="s">
        <v>103</v>
      </c>
      <c r="CA793" s="0" t="n">
        <f aca="false">$BZ$788</f>
        <v>0.726716899641536</v>
      </c>
      <c r="CG793" s="0" t="s">
        <v>103</v>
      </c>
      <c r="CH793" s="0" t="n">
        <f aca="false">$CG$788</f>
        <v>0.460154200333223</v>
      </c>
      <c r="CN793" s="0" t="s">
        <v>103</v>
      </c>
      <c r="CO793" s="0" t="n">
        <f aca="false">$CN$788</f>
        <v>0.622973721477775</v>
      </c>
      <c r="CU793" s="0" t="s">
        <v>103</v>
      </c>
      <c r="CV793" s="0" t="n">
        <f aca="false">$CU$788</f>
        <v>0.0208823669942528</v>
      </c>
    </row>
    <row r="794" customFormat="false" ht="12.8" hidden="false" customHeight="false" outlineLevel="0" collapsed="false">
      <c r="BZ794" s="0" t="s">
        <v>106</v>
      </c>
      <c r="CA794" s="0" t="n">
        <f aca="false">$CA$788</f>
        <v>0.270132914085082</v>
      </c>
      <c r="CG794" s="0" t="s">
        <v>106</v>
      </c>
      <c r="CH794" s="0" t="n">
        <f aca="false">$CH$788</f>
        <v>0.359732457522951</v>
      </c>
      <c r="CN794" s="0" t="s">
        <v>106</v>
      </c>
      <c r="CO794" s="0" t="n">
        <f aca="false">$CO$788</f>
        <v>0.321523477132222</v>
      </c>
      <c r="CU794" s="0" t="s">
        <v>106</v>
      </c>
      <c r="CV794" s="0" t="n">
        <f aca="false">$CV$788</f>
        <v>0.439087258973457</v>
      </c>
    </row>
    <row r="795" customFormat="false" ht="12.8" hidden="false" customHeight="false" outlineLevel="0" collapsed="false">
      <c r="BZ795" s="0" t="s">
        <v>109</v>
      </c>
      <c r="CA795" s="0" t="n">
        <f aca="false">3</f>
        <v>3</v>
      </c>
      <c r="CG795" s="0" t="s">
        <v>109</v>
      </c>
      <c r="CH795" s="0" t="n">
        <f aca="false">3</f>
        <v>3</v>
      </c>
      <c r="CN795" s="0" t="s">
        <v>109</v>
      </c>
      <c r="CO795" s="0" t="n">
        <f aca="false">3</f>
        <v>3</v>
      </c>
      <c r="CU795" s="0" t="s">
        <v>109</v>
      </c>
      <c r="CV795" s="0" t="n">
        <f aca="false">1</f>
        <v>1</v>
      </c>
    </row>
    <row r="796" customFormat="false" ht="12.8" hidden="false" customHeight="false" outlineLevel="0" collapsed="false">
      <c r="BZ796" s="0" t="s">
        <v>112</v>
      </c>
      <c r="CA796" s="0" t="n">
        <f aca="false">38</f>
        <v>38</v>
      </c>
      <c r="CG796" s="0" t="s">
        <v>112</v>
      </c>
      <c r="CH796" s="0" t="n">
        <f aca="false">38</f>
        <v>38</v>
      </c>
      <c r="CN796" s="0" t="s">
        <v>112</v>
      </c>
      <c r="CO796" s="0" t="n">
        <f aca="false">38</f>
        <v>38</v>
      </c>
      <c r="CU796" s="0" t="s">
        <v>112</v>
      </c>
      <c r="CV796" s="0" t="n">
        <f aca="false">38</f>
        <v>38</v>
      </c>
    </row>
    <row r="797" customFormat="false" ht="12.8" hidden="false" customHeight="false" outlineLevel="0" collapsed="false">
      <c r="BZ797" s="0" t="s">
        <v>115</v>
      </c>
      <c r="CA797" s="0" t="n">
        <f aca="false">1 - (1 - $BZ$788)*($CA$796 - 1)/($CA$796 - $CA$795 - 1)</f>
        <v>0.702603684904024</v>
      </c>
      <c r="CG797" s="0" t="s">
        <v>115</v>
      </c>
      <c r="CH797" s="0" t="n">
        <f aca="false">1 - (1 - $CG$788)*($CH$796 - 1)/($CH$796 - $CH$795 - 1)</f>
        <v>0.412520747421448</v>
      </c>
      <c r="CN797" s="0" t="s">
        <v>115</v>
      </c>
      <c r="CO797" s="0" t="n">
        <f aca="false">1 - (1 - $CN$788)*($CO$796 - 1)/($CO$796 - $CO$795 - 1)</f>
        <v>0.589706696902285</v>
      </c>
      <c r="CU797" s="0" t="s">
        <v>115</v>
      </c>
      <c r="CV797" s="0" t="n">
        <f aca="false">1 - (1 - $CU$788)*($CV$796 - 1)/($CV$796 - $CV$795 - 1)</f>
        <v>-0.00631534503368481</v>
      </c>
    </row>
    <row r="799" customFormat="false" ht="12.8" hidden="false" customHeight="false" outlineLevel="0" collapsed="false">
      <c r="BZ799" s="0" t="s">
        <v>120</v>
      </c>
      <c r="CG799" s="0" t="s">
        <v>120</v>
      </c>
      <c r="CN799" s="0" t="s">
        <v>120</v>
      </c>
      <c r="CU799" s="0" t="s">
        <v>120</v>
      </c>
    </row>
    <row r="800" customFormat="false" ht="12.8" hidden="false" customHeight="false" outlineLevel="0" collapsed="false">
      <c r="CA800" s="0" t="s">
        <v>123</v>
      </c>
      <c r="CB800" s="0" t="s">
        <v>124</v>
      </c>
      <c r="CC800" s="0" t="s">
        <v>125</v>
      </c>
      <c r="CD800" s="0" t="s">
        <v>126</v>
      </c>
      <c r="CE800" s="0" t="s">
        <v>127</v>
      </c>
      <c r="CH800" s="0" t="s">
        <v>123</v>
      </c>
      <c r="CI800" s="0" t="s">
        <v>124</v>
      </c>
      <c r="CJ800" s="0" t="s">
        <v>125</v>
      </c>
      <c r="CK800" s="0" t="s">
        <v>126</v>
      </c>
      <c r="CL800" s="0" t="s">
        <v>127</v>
      </c>
      <c r="CO800" s="0" t="s">
        <v>123</v>
      </c>
      <c r="CP800" s="0" t="s">
        <v>124</v>
      </c>
      <c r="CQ800" s="0" t="s">
        <v>125</v>
      </c>
      <c r="CR800" s="0" t="s">
        <v>126</v>
      </c>
      <c r="CS800" s="0" t="s">
        <v>127</v>
      </c>
      <c r="CV800" s="0" t="s">
        <v>123</v>
      </c>
      <c r="CW800" s="0" t="s">
        <v>124</v>
      </c>
      <c r="CX800" s="0" t="s">
        <v>125</v>
      </c>
      <c r="CY800" s="0" t="s">
        <v>126</v>
      </c>
      <c r="CZ800" s="0" t="s">
        <v>127</v>
      </c>
    </row>
    <row r="801" customFormat="false" ht="12.8" hidden="false" customHeight="false" outlineLevel="0" collapsed="false">
      <c r="BZ801" s="0" t="s">
        <v>130</v>
      </c>
      <c r="CA801" s="0" t="n">
        <f aca="false">$CA$795</f>
        <v>3</v>
      </c>
      <c r="CB801" s="0" t="n">
        <f aca="false">$BZ$790</f>
        <v>6.59760647742085</v>
      </c>
      <c r="CC801" s="0" t="n">
        <f aca="false">$BZ$790 / $CA$801</f>
        <v>2.19920215914028</v>
      </c>
      <c r="CD801" s="0" t="n">
        <f aca="false">$BZ$789</f>
        <v>30.1377028136785</v>
      </c>
      <c r="CE801" s="0" t="n">
        <f aca="false">FDIST($BZ$789 , $CA$801 , $CA$789)</f>
        <v>1.08304228487606E-009</v>
      </c>
      <c r="CG801" s="0" t="s">
        <v>130</v>
      </c>
      <c r="CH801" s="0" t="n">
        <f aca="false">$CH$795</f>
        <v>3</v>
      </c>
      <c r="CI801" s="0" t="n">
        <f aca="false">$CG$790</f>
        <v>3.75035026153233</v>
      </c>
      <c r="CJ801" s="0" t="n">
        <f aca="false">$CG$790 / $CH$801</f>
        <v>1.25011675384411</v>
      </c>
      <c r="CK801" s="0" t="n">
        <f aca="false">$CG$789</f>
        <v>9.66031585376583</v>
      </c>
      <c r="CL801" s="0" t="n">
        <f aca="false">FDIST($CG$789 , $CH$801 , $CH$789)</f>
        <v>9.34651211596216E-005</v>
      </c>
      <c r="CN801" s="0" t="s">
        <v>130</v>
      </c>
      <c r="CO801" s="0" t="n">
        <f aca="false">$CO$795</f>
        <v>3</v>
      </c>
      <c r="CP801" s="0" t="n">
        <f aca="false">$CN$790</f>
        <v>5.80767630939769</v>
      </c>
      <c r="CQ801" s="0" t="n">
        <f aca="false">$CN$790 / $CO$801</f>
        <v>1.93589210313256</v>
      </c>
      <c r="CR801" s="0" t="n">
        <f aca="false">$CN$789</f>
        <v>18.7264635003382</v>
      </c>
      <c r="CS801" s="0" t="n">
        <f aca="false">FDIST($CN$789 , $CO$801 , $CO$789)</f>
        <v>2.39750213706659E-007</v>
      </c>
      <c r="CU801" s="0" t="s">
        <v>130</v>
      </c>
      <c r="CV801" s="0" t="n">
        <f aca="false">$CV$795</f>
        <v>1</v>
      </c>
      <c r="CW801" s="0" t="n">
        <f aca="false">$CU$790</f>
        <v>0.148029756071225</v>
      </c>
      <c r="CX801" s="0" t="n">
        <f aca="false">$CU$790 / $CV$801</f>
        <v>0.148029756071225</v>
      </c>
      <c r="CY801" s="0" t="n">
        <f aca="false">$CU$789</f>
        <v>0.767798665299583</v>
      </c>
      <c r="CZ801" s="0" t="n">
        <f aca="false">FDIST($CU$789 , $CV$801 , $CV$789)</f>
        <v>0.386708520553546</v>
      </c>
    </row>
    <row r="802" customFormat="false" ht="12.8" hidden="false" customHeight="false" outlineLevel="0" collapsed="false">
      <c r="BZ802" s="0" t="s">
        <v>133</v>
      </c>
      <c r="CA802" s="0" t="n">
        <f aca="false">$CA$789</f>
        <v>34</v>
      </c>
      <c r="CB802" s="0" t="n">
        <f aca="false">$CA$790</f>
        <v>2.48104090325135</v>
      </c>
      <c r="CC802" s="0" t="n">
        <f aca="false">$CA$790 / $CA$789</f>
        <v>0.0729717912720984</v>
      </c>
      <c r="CG802" s="0" t="s">
        <v>133</v>
      </c>
      <c r="CH802" s="0" t="n">
        <f aca="false">$CH$789</f>
        <v>34</v>
      </c>
      <c r="CI802" s="0" t="n">
        <f aca="false">$CH$790</f>
        <v>4.39985299384705</v>
      </c>
      <c r="CJ802" s="0" t="n">
        <f aca="false">$CH$790 / $CH$789</f>
        <v>0.129407440995502</v>
      </c>
      <c r="CN802" s="0" t="s">
        <v>133</v>
      </c>
      <c r="CO802" s="0" t="n">
        <f aca="false">$CO$789</f>
        <v>34</v>
      </c>
      <c r="CP802" s="0" t="n">
        <f aca="false">$CO$790</f>
        <v>3.51482977580462</v>
      </c>
      <c r="CQ802" s="0" t="n">
        <f aca="false">$CO$790 / $CO$789</f>
        <v>0.103377346347195</v>
      </c>
      <c r="CU802" s="0" t="s">
        <v>133</v>
      </c>
      <c r="CV802" s="0" t="n">
        <f aca="false">$CV$789</f>
        <v>36</v>
      </c>
      <c r="CW802" s="0" t="n">
        <f aca="false">$CV$790</f>
        <v>6.94071435574165</v>
      </c>
      <c r="CX802" s="0" t="n">
        <f aca="false">$CV$790 / $CV$789</f>
        <v>0.192797620992824</v>
      </c>
    </row>
    <row r="803" customFormat="false" ht="12.8" hidden="false" customHeight="false" outlineLevel="0" collapsed="false">
      <c r="BZ803" s="0" t="s">
        <v>136</v>
      </c>
      <c r="CA803" s="0" t="n">
        <f aca="false">$CA$801 + $CA$789</f>
        <v>37</v>
      </c>
      <c r="CB803" s="0" t="n">
        <f aca="false">$BZ$790 + $CA$790</f>
        <v>9.07864738067219</v>
      </c>
      <c r="CG803" s="0" t="s">
        <v>136</v>
      </c>
      <c r="CH803" s="0" t="n">
        <f aca="false">$CH$801 + $CH$789</f>
        <v>37</v>
      </c>
      <c r="CI803" s="0" t="n">
        <f aca="false">$CG$790 + $CH$790</f>
        <v>8.15020325537938</v>
      </c>
      <c r="CN803" s="0" t="s">
        <v>136</v>
      </c>
      <c r="CO803" s="0" t="n">
        <f aca="false">$CO$801 + $CO$789</f>
        <v>37</v>
      </c>
      <c r="CP803" s="0" t="n">
        <f aca="false">$CN$790 + $CO$790</f>
        <v>9.32250608520232</v>
      </c>
      <c r="CU803" s="0" t="s">
        <v>136</v>
      </c>
      <c r="CV803" s="0" t="n">
        <f aca="false">$CV$801 + $CV$789</f>
        <v>37</v>
      </c>
      <c r="CW803" s="0" t="n">
        <f aca="false">$CU$790 + $CV$790</f>
        <v>7.08874411181287</v>
      </c>
    </row>
    <row r="805" customFormat="false" ht="12.8" hidden="false" customHeight="false" outlineLevel="0" collapsed="false">
      <c r="BZ805" s="0" t="s">
        <v>141</v>
      </c>
      <c r="CA805" s="0" t="n">
        <v>0.95</v>
      </c>
      <c r="CG805" s="0" t="s">
        <v>141</v>
      </c>
      <c r="CH805" s="0" t="n">
        <v>0.95</v>
      </c>
      <c r="CN805" s="0" t="s">
        <v>141</v>
      </c>
      <c r="CO805" s="0" t="n">
        <v>0.95</v>
      </c>
      <c r="CU805" s="0" t="s">
        <v>141</v>
      </c>
      <c r="CV805" s="0" t="n">
        <v>0.95</v>
      </c>
    </row>
    <row r="807" customFormat="false" ht="12.8" hidden="false" customHeight="false" outlineLevel="0" collapsed="false">
      <c r="BS807" s="24"/>
      <c r="BZ807" s="46"/>
      <c r="CA807" s="0" t="s">
        <v>146</v>
      </c>
      <c r="CB807" s="0" t="s">
        <v>106</v>
      </c>
      <c r="CC807" s="0" t="s">
        <v>147</v>
      </c>
      <c r="CD807" s="0" t="s">
        <v>148</v>
      </c>
      <c r="CE807" s="0" t="str">
        <f aca="false">_xlfn.CONCAT("Lower " , INT($CA$805 * 100) , "%")</f>
        <v>Lower 95%</v>
      </c>
      <c r="CF807" s="0" t="str">
        <f aca="false">_xlfn.CONCAT("Upper " , INT($CA$805 * 100) , "%")</f>
        <v>Upper 95%</v>
      </c>
      <c r="CG807" s="46"/>
      <c r="CH807" s="0" t="s">
        <v>146</v>
      </c>
      <c r="CI807" s="0" t="s">
        <v>106</v>
      </c>
      <c r="CJ807" s="0" t="s">
        <v>147</v>
      </c>
      <c r="CK807" s="0" t="s">
        <v>148</v>
      </c>
      <c r="CL807" s="0" t="str">
        <f aca="false">_xlfn.CONCAT("Lower " , INT($CH$805 * 100) , "%")</f>
        <v>Lower 95%</v>
      </c>
      <c r="CM807" s="0" t="str">
        <f aca="false">_xlfn.CONCAT("Upper " , INT($CH$805 * 100) , "%")</f>
        <v>Upper 95%</v>
      </c>
      <c r="CN807" s="46"/>
      <c r="CO807" s="0" t="s">
        <v>146</v>
      </c>
      <c r="CP807" s="0" t="s">
        <v>106</v>
      </c>
      <c r="CQ807" s="0" t="s">
        <v>147</v>
      </c>
      <c r="CR807" s="0" t="s">
        <v>148</v>
      </c>
      <c r="CS807" s="0" t="str">
        <f aca="false">_xlfn.CONCAT("Lower " , INT($CO$805 * 100) , "%")</f>
        <v>Lower 95%</v>
      </c>
      <c r="CT807" s="0" t="str">
        <f aca="false">_xlfn.CONCAT("Upper " , INT($CO$805 * 100) , "%")</f>
        <v>Upper 95%</v>
      </c>
      <c r="CV807" s="0" t="s">
        <v>146</v>
      </c>
      <c r="CW807" s="0" t="s">
        <v>106</v>
      </c>
      <c r="CX807" s="0" t="s">
        <v>147</v>
      </c>
      <c r="CY807" s="0" t="s">
        <v>148</v>
      </c>
      <c r="CZ807" s="0" t="str">
        <f aca="false">_xlfn.CONCAT("Lower " , INT($CV$805 * 100) , "%")</f>
        <v>Lower 95%</v>
      </c>
      <c r="DA807" s="0" t="str">
        <f aca="false">_xlfn.CONCAT("Upper " , INT($CV$805 * 100) , "%")</f>
        <v>Upper 95%</v>
      </c>
    </row>
    <row r="808" customFormat="false" ht="12.8" hidden="false" customHeight="false" outlineLevel="0" collapsed="false">
      <c r="BS808" s="24"/>
      <c r="BZ808" s="46" t="str">
        <f aca="false">"Intercept"</f>
        <v>Intercept</v>
      </c>
      <c r="CA808" s="0" t="n">
        <f aca="false" t="array" ref="CA808:CA811">INDEX($BZ$786:$CC$786, 1 , 812 - ROW())</f>
        <v>35.1438733316032</v>
      </c>
      <c r="CB808" s="0" t="n">
        <f aca="false" t="array" ref="CB808:CB811">INDEX($BZ$787:$CC$787, 1 , 812 - ROW())</f>
        <v>0.526619660816757</v>
      </c>
      <c r="CC808" s="0" t="n">
        <f aca="false" t="array" ref="CC808:CC811">$CA$808:$CA$811 / $CB$808:$CB$811</f>
        <v>66.7348296056723</v>
      </c>
      <c r="CD808" s="0" t="n">
        <f aca="false" t="array" ref="CD808:CD811">TDIST(ABS($CC$808:$CC$811) , $CA$789 , 2 )</f>
        <v>1.21778671412295E-037</v>
      </c>
      <c r="CE808" s="0" t="n">
        <f aca="false" t="array" ref="CE808:CE811">$CA$808:$CA$811 - $CB$808:$CB$811 * TINV(1 - $CA$805 , $CA$789)</f>
        <v>34.0736534174096</v>
      </c>
      <c r="CF808" s="0" t="n">
        <f aca="false" t="array" ref="CF808:CF811">$CA$808:$CA$811 + $CB$808:$CB$811 * TINV(1 - $CA$805 , $CA$789)</f>
        <v>36.2140932457968</v>
      </c>
      <c r="CG808" s="46" t="str">
        <f aca="false">"Intercept"</f>
        <v>Intercept</v>
      </c>
      <c r="CH808" s="0" t="n">
        <f aca="false" t="array" ref="CH808:CH811">INDEX($CG$786:$CJ$786, 1 , 812 - ROW())</f>
        <v>36.8013278590557</v>
      </c>
      <c r="CI808" s="0" t="n">
        <f aca="false" t="array" ref="CI808:CI811">INDEX($CG$787:$CJ$787, 1 , 812 - ROW())</f>
        <v>0.701292493020111</v>
      </c>
      <c r="CJ808" s="0" t="n">
        <f aca="false" t="array" ref="CJ808:CJ811">$CH$808:$CH$811 / $CI$808:$CI$811</f>
        <v>52.4764320527246</v>
      </c>
      <c r="CK808" s="0" t="n">
        <f aca="false" t="array" ref="CK808:CK811">TDIST(ABS($CJ$808:$CJ$811) , $CH$789 , 2 )</f>
        <v>3.99283580158104E-034</v>
      </c>
      <c r="CL808" s="0" t="n">
        <f aca="false" t="array" ref="CL808:CL811">$CH$808:$CH$811 - $CI$808:$CI$811 * TINV(1 - $CH$805 , $CH$789)</f>
        <v>35.3761300406898</v>
      </c>
      <c r="CM808" s="0" t="n">
        <f aca="false" t="array" ref="CM808:CM811">$CH$808:$CH$811 + $CI$808:$CI$811 * TINV(1 - $CH$805 , $CH$789)</f>
        <v>38.2265256774215</v>
      </c>
      <c r="CN808" s="24" t="str">
        <f aca="false">"Intercept"</f>
        <v>Intercept</v>
      </c>
      <c r="CO808" s="0" t="n">
        <f aca="false" t="array" ref="CO808:CO811">INDEX($CN$786:$CQ$786, 1 , 812 - ROW())</f>
        <v>35.7423383577494</v>
      </c>
      <c r="CP808" s="0" t="n">
        <f aca="false" t="array" ref="CP808:CP811">INDEX($CN$787:$CQ$787, 1 , 812 - ROW())</f>
        <v>0.626804715913535</v>
      </c>
      <c r="CQ808" s="0" t="n">
        <f aca="false" t="array" ref="CQ808:CQ811">$CO$808:$CO$811 / $CP$808:$CP$811</f>
        <v>57.0230846231858</v>
      </c>
      <c r="CR808" s="0" t="n">
        <f aca="false" t="array" ref="CR808:CR811">TDIST(ABS($CQ$808:$CQ$811) , $CO$789 , 2 )</f>
        <v>2.44208053465893E-035</v>
      </c>
      <c r="CS808" s="0" t="n">
        <f aca="false" t="array" ref="CS808:CS811">$CO$808:$CO$811 - $CP$808:$CP$811 * TINV(1 - $CO$805 , $CO$789)</f>
        <v>34.4685179154197</v>
      </c>
      <c r="CT808" s="0" t="n">
        <f aca="false" t="array" ref="CT808:CT811">$CO$808:$CO$811 + $CP$808:$CP$811 * TINV(1 - $CO$805 , $CO$789)</f>
        <v>37.0161588000791</v>
      </c>
      <c r="CU808" s="0" t="str">
        <f aca="false">"Intercept"</f>
        <v>Intercept</v>
      </c>
      <c r="CV808" s="0" t="n">
        <f aca="false" t="array" ref="CV808:CV809">INDEX($CU$786:$CV$786, 1 , 810 - ROW())</f>
        <v>2.26711295798092</v>
      </c>
      <c r="CW808" s="0" t="n">
        <f aca="false" t="array" ref="CW808:CW809">INDEX($CU$787:$CV$787, 1 , 810 - ROW())</f>
        <v>0.727033150872745</v>
      </c>
      <c r="CX808" s="0" t="n">
        <f aca="false" t="array" ref="CX808:CX809">$CV$808:$CV$809 / $CW$808:$CW$809</f>
        <v>3.11830754245447</v>
      </c>
      <c r="CY808" s="0" t="n">
        <f aca="false" t="array" ref="CY808:CY809">TDIST(ABS($CX$808:$CX$809) , $CV$789 , 2 )</f>
        <v>0.00356848017624196</v>
      </c>
      <c r="CZ808" s="0" t="n">
        <f aca="false" t="array" ref="CZ808:CZ809">$CV$808:$CV$809 - $CW$808:$CW$809 * TINV(1 - $CV$805 , $CV$789)</f>
        <v>0.792621386181992</v>
      </c>
      <c r="DA808" s="0" t="n">
        <f aca="false" t="array" ref="DA808:DA809">$CV$808:$CV$809 + $CW$808:$CW$809 * TINV(1 - $CV$805 , $CV$789)</f>
        <v>3.74160452977985</v>
      </c>
    </row>
    <row r="809" customFormat="false" ht="12.8" hidden="false" customHeight="false" outlineLevel="0" collapsed="false">
      <c r="BZ809" s="24" t="str">
        <f aca="false">$BL$52</f>
        <v>log (σHβ) (Km s-¹)</v>
      </c>
      <c r="CA809" s="0" t="n">
        <v>1.97132423569941</v>
      </c>
      <c r="CB809" s="0" t="n">
        <v>0.402291250653496</v>
      </c>
      <c r="CC809" s="0" t="n">
        <v>4.90024138605332</v>
      </c>
      <c r="CD809" s="0" t="n">
        <v>2.31266786762177E-005</v>
      </c>
      <c r="CE809" s="0" t="n">
        <v>1.15377005041228</v>
      </c>
      <c r="CF809" s="0" t="n">
        <v>2.78887842098654</v>
      </c>
      <c r="CG809" s="24" t="str">
        <f aca="false">$BL$52</f>
        <v>log (σHβ) (Km s-¹)</v>
      </c>
      <c r="CH809" s="0" t="n">
        <v>1.72030129467864</v>
      </c>
      <c r="CI809" s="0" t="n">
        <v>0.53572598040379</v>
      </c>
      <c r="CJ809" s="0" t="n">
        <v>3.21115898351991</v>
      </c>
      <c r="CK809" s="0" t="n">
        <v>0.00288699766818045</v>
      </c>
      <c r="CL809" s="0" t="n">
        <v>0.631575112504186</v>
      </c>
      <c r="CM809" s="0" t="n">
        <v>2.80902747685309</v>
      </c>
      <c r="CN809" s="24" t="str">
        <f aca="false">$BL$52</f>
        <v>log (σHβ) (Km s-¹)</v>
      </c>
      <c r="CO809" s="0" t="n">
        <v>1.94130075512432</v>
      </c>
      <c r="CP809" s="0" t="n">
        <v>0.47882384924498</v>
      </c>
      <c r="CQ809" s="0" t="n">
        <v>4.05431090825031</v>
      </c>
      <c r="CR809" s="0" t="n">
        <v>0.000277060805630554</v>
      </c>
      <c r="CS809" s="0" t="n">
        <v>0.968213616565837</v>
      </c>
      <c r="CT809" s="0" t="n">
        <v>2.91438789368281</v>
      </c>
      <c r="CU809" s="0" t="str">
        <f aca="false">$BL$94</f>
        <v>log (σHβ) (Km s-¹)</v>
      </c>
      <c r="CV809" s="0" t="n">
        <v>-0.464535875219086</v>
      </c>
      <c r="CW809" s="0" t="n">
        <v>0.530146114723153</v>
      </c>
      <c r="CX809" s="0" t="n">
        <v>-0.876241214106928</v>
      </c>
      <c r="CY809" s="0" t="n">
        <v>0.386708520553546</v>
      </c>
      <c r="CZ809" s="0" t="n">
        <v>-1.53972203013221</v>
      </c>
      <c r="DA809" s="0" t="n">
        <v>0.610650279694033</v>
      </c>
    </row>
    <row r="810" customFormat="false" ht="12.8" hidden="false" customHeight="false" outlineLevel="0" collapsed="false">
      <c r="BZ810" s="24" t="str">
        <f aca="false">$BM$52</f>
        <v>log (r)</v>
      </c>
      <c r="CA810" s="0" t="n">
        <v>0.805656232243408</v>
      </c>
      <c r="CB810" s="0" t="n">
        <v>0.208332890258679</v>
      </c>
      <c r="CC810" s="0" t="n">
        <v>3.86715813927919</v>
      </c>
      <c r="CD810" s="0" t="n">
        <v>0.000473066075497001</v>
      </c>
      <c r="CE810" s="0" t="n">
        <v>0.382272859904918</v>
      </c>
      <c r="CF810" s="0" t="n">
        <v>1.2290396045819</v>
      </c>
      <c r="CG810" s="24" t="str">
        <f aca="false">$BM$52</f>
        <v>log (r)</v>
      </c>
      <c r="CH810" s="0" t="n">
        <v>0.470480643307818</v>
      </c>
      <c r="CI810" s="0" t="n">
        <v>0.277434176614291</v>
      </c>
      <c r="CJ810" s="0" t="n">
        <v>1.69582799440717</v>
      </c>
      <c r="CK810" s="0" t="n">
        <v>0.0990583551525194</v>
      </c>
      <c r="CL810" s="0" t="n">
        <v>-0.0933334388136561</v>
      </c>
      <c r="CM810" s="0" t="n">
        <v>1.03429472542929</v>
      </c>
      <c r="CN810" s="24" t="str">
        <f aca="false">$BM$52</f>
        <v>log (r)</v>
      </c>
      <c r="CO810" s="0" t="n">
        <v>0.703727797663138</v>
      </c>
      <c r="CP810" s="0" t="n">
        <v>0.247966507538872</v>
      </c>
      <c r="CQ810" s="0" t="n">
        <v>2.83799535932415</v>
      </c>
      <c r="CR810" s="0" t="n">
        <v>0.00760271929296563</v>
      </c>
      <c r="CS810" s="0" t="n">
        <v>0.199799224222573</v>
      </c>
      <c r="CT810" s="0" t="n">
        <v>1.2076563711037</v>
      </c>
    </row>
    <row r="811" customFormat="false" ht="12.8" hidden="false" customHeight="false" outlineLevel="0" collapsed="false">
      <c r="BZ811" s="24" t="str">
        <f aca="false">$BN$52</f>
        <v>log (Whβ) FEROS</v>
      </c>
      <c r="CA811" s="0" t="n">
        <v>0.258730741986869</v>
      </c>
      <c r="CB811" s="0" t="n">
        <v>0.108087138070962</v>
      </c>
      <c r="CC811" s="0" t="n">
        <v>2.3937236807677</v>
      </c>
      <c r="CD811" s="0" t="n">
        <v>0.0223412683376942</v>
      </c>
      <c r="CE811" s="0" t="n">
        <v>0.0390712491142911</v>
      </c>
      <c r="CF811" s="0" t="n">
        <v>0.478390234859448</v>
      </c>
      <c r="CG811" s="24" t="str">
        <f aca="false">$BN$52</f>
        <v>log (Whβ) FEROS</v>
      </c>
      <c r="CH811" s="0" t="n">
        <v>0.152375533750732</v>
      </c>
      <c r="CI811" s="0" t="n">
        <v>0.143938223657718</v>
      </c>
      <c r="CJ811" s="0" t="n">
        <v>1.0586175782819</v>
      </c>
      <c r="CK811" s="0" t="n">
        <v>0.297237298201259</v>
      </c>
      <c r="CL811" s="0" t="n">
        <v>-0.14014213095861</v>
      </c>
      <c r="CM811" s="0" t="n">
        <v>0.444893198460074</v>
      </c>
      <c r="CN811" s="24" t="str">
        <f aca="false">$BN$52</f>
        <v>log (Whβ) FEROS</v>
      </c>
      <c r="CO811" s="0" t="n">
        <v>0.21247654772805</v>
      </c>
      <c r="CP811" s="0" t="n">
        <v>0.128649826266267</v>
      </c>
      <c r="CQ811" s="0" t="n">
        <v>1.65158829898679</v>
      </c>
      <c r="CR811" s="0" t="n">
        <v>0.107826272307361</v>
      </c>
      <c r="CS811" s="0" t="n">
        <v>-0.0489713553262492</v>
      </c>
      <c r="CT811" s="0" t="n">
        <v>0.47392445078235</v>
      </c>
      <c r="CU811" s="0" t="str">
        <f aca="false">$BL$94</f>
        <v>log (σHβ) (Km s-¹)</v>
      </c>
      <c r="CV811" s="0" t="s">
        <v>157</v>
      </c>
      <c r="CW811" s="0" t="str">
        <f aca="false">$BK$94</f>
        <v>log (Whβ) FEROS</v>
      </c>
      <c r="CX811" s="0" t="s">
        <v>133</v>
      </c>
      <c r="CY811" s="26" t="s">
        <v>158</v>
      </c>
    </row>
    <row r="812" customFormat="false" ht="12.8" hidden="false" customHeight="false" outlineLevel="0" collapsed="false">
      <c r="CU812" s="0" t="n">
        <f aca="false" t="array" ref="CU812:CU849">$BL$95:$BL$132</f>
        <v>1.18752072083646</v>
      </c>
      <c r="CV812" s="0" t="n">
        <f aca="false" t="array" ref="CV812:CV849">MMULT($CU$812:$CU$849 , $CV$809) + $CV$808</f>
        <v>1.71546698058636</v>
      </c>
      <c r="CW812" s="0" t="n">
        <f aca="false" t="array" ref="CW812:CW849">$BK$95:$BK$132</f>
        <v>1.64345267648619</v>
      </c>
      <c r="CX812" s="0" t="n">
        <f aca="false" t="array" ref="CX812:CX849">$CW$812:$CW$849 - $CV$812:$CV$849</f>
        <v>-0.0720143041001651</v>
      </c>
      <c r="CY812" s="20" t="n">
        <f aca="false">(CX812)^2</f>
        <v>0.00518605999503105</v>
      </c>
    </row>
    <row r="813" customFormat="false" ht="12.8" hidden="false" customHeight="false" outlineLevel="0" collapsed="false">
      <c r="BZ813" s="0" t="str">
        <f aca="false">$BL$52</f>
        <v>log (σHβ) (Km s-¹)</v>
      </c>
      <c r="CA813" s="0" t="str">
        <f aca="false">$BM$52</f>
        <v>log (r)</v>
      </c>
      <c r="CB813" s="0" t="str">
        <f aca="false">$BN$52</f>
        <v>log (Whβ) FEROS</v>
      </c>
      <c r="CC813" s="0" t="s">
        <v>157</v>
      </c>
      <c r="CD813" s="0" t="str">
        <f aca="false">$BG$94</f>
        <v>log (LHβ) (erg s-¹) KTC</v>
      </c>
      <c r="CE813" s="0" t="s">
        <v>133</v>
      </c>
      <c r="CF813" s="26" t="s">
        <v>158</v>
      </c>
      <c r="CG813" s="0" t="str">
        <f aca="false">$BL$52</f>
        <v>log (σHβ) (Km s-¹)</v>
      </c>
      <c r="CH813" s="0" t="str">
        <f aca="false">$BM$52</f>
        <v>log (r)</v>
      </c>
      <c r="CI813" s="0" t="str">
        <f aca="false">$BN$52</f>
        <v>log (Whβ) FEROS</v>
      </c>
      <c r="CJ813" s="0" t="s">
        <v>157</v>
      </c>
      <c r="CK813" s="0" t="str">
        <f aca="false">$BH$94</f>
        <v>log (LHβ) (erg s-¹) NTT</v>
      </c>
      <c r="CL813" s="0" t="s">
        <v>133</v>
      </c>
      <c r="CM813" s="26" t="s">
        <v>158</v>
      </c>
      <c r="CN813" s="0" t="str">
        <f aca="false">$BL$52</f>
        <v>log (σHβ) (Km s-¹)</v>
      </c>
      <c r="CO813" s="0" t="str">
        <f aca="false">$BM$52</f>
        <v>log (r)</v>
      </c>
      <c r="CP813" s="0" t="str">
        <f aca="false">$BN$52</f>
        <v>log (Whβ) FEROS</v>
      </c>
      <c r="CQ813" s="0" t="s">
        <v>157</v>
      </c>
      <c r="CR813" s="0" t="str">
        <f aca="false">$BI$94</f>
        <v>log(LHβ) B.K (erg s-¹) NTT</v>
      </c>
      <c r="CS813" s="0" t="s">
        <v>133</v>
      </c>
      <c r="CT813" s="26" t="s">
        <v>158</v>
      </c>
      <c r="CU813" s="0" t="n">
        <v>1.32633586092875</v>
      </c>
      <c r="CV813" s="0" t="n">
        <v>1.65098236798992</v>
      </c>
      <c r="CW813" s="0" t="n">
        <v>1.96848294855394</v>
      </c>
      <c r="CX813" s="0" t="n">
        <v>0.317500580564017</v>
      </c>
      <c r="CY813" s="20" t="n">
        <f aca="false">(CX813)^2</f>
        <v>0.100806618658488</v>
      </c>
    </row>
    <row r="814" customFormat="false" ht="12.8" hidden="false" customHeight="false" outlineLevel="0" collapsed="false">
      <c r="BZ814" s="0" t="n">
        <f aca="false" t="array" ref="BZ814:CB851">$BL$53:$BN$90</f>
        <v>1.18752072083646</v>
      </c>
      <c r="CA814" s="0" t="n">
        <v>2.05463340928398</v>
      </c>
      <c r="CB814" s="0" t="n">
        <v>1.64345267648619</v>
      </c>
      <c r="CC814" s="0" t="n">
        <f aca="false" t="array" ref="CC814:CC851">MMULT($BZ$814:$CB$851 , $CA$809:$CA$811) + $CA$808</f>
        <v>39.5654016505561</v>
      </c>
      <c r="CD814" s="0" t="n">
        <f aca="false" t="array" ref="CD814:CD851">$BG$95:$BG$132</f>
        <v>39.4693811697741</v>
      </c>
      <c r="CE814" s="0" t="n">
        <f aca="false" t="array" ref="CE814:CE851">$CD$814:$CD$851 - $CC$814:$CC$851</f>
        <v>-0.0960204807820091</v>
      </c>
      <c r="CF814" s="20" t="n">
        <f aca="false">(CE814)^2</f>
        <v>0.00921993272960818</v>
      </c>
      <c r="CG814" s="0" t="n">
        <f aca="false" t="array" ref="CG814:CI851">$BL$53:$BN$90</f>
        <v>1.18752072083646</v>
      </c>
      <c r="CH814" s="0" t="n">
        <v>2.05463340928398</v>
      </c>
      <c r="CI814" s="0" t="n">
        <v>1.64345267648619</v>
      </c>
      <c r="CJ814" s="0" t="n">
        <f aca="false" t="array" ref="CJ814:CJ851">MMULT($CG$814:$CI$851 , $CH$809:$CH$811) + $CH$808</f>
        <v>40.0613085195037</v>
      </c>
      <c r="CK814" s="0" t="n">
        <f aca="false" t="array" ref="CK814:CK851">$BH$95:$BH$132</f>
        <v>39.926839874903</v>
      </c>
      <c r="CL814" s="0" t="n">
        <f aca="false" t="array" ref="CL814:CL851">$CK$814:$CK$851 - $CJ$814:$CJ$851</f>
        <v>-0.134468644600652</v>
      </c>
      <c r="CM814" s="20" t="n">
        <f aca="false">(CL814)^2</f>
        <v>0.0180818163807365</v>
      </c>
      <c r="CN814" s="0" t="n">
        <f aca="false" t="array" ref="CN814:CP851">$BL$53:$BN$90</f>
        <v>1.18752072083646</v>
      </c>
      <c r="CO814" s="0" t="n">
        <v>2.05463340928398</v>
      </c>
      <c r="CP814" s="0" t="n">
        <v>1.64345267648619</v>
      </c>
      <c r="CQ814" s="0" t="n">
        <f aca="false" t="array" ref="CQ814:CQ851">MMULT($CN$814:$CP$851 , $CO$809:$CO$811) + $CO$808</f>
        <v>39.8427710250097</v>
      </c>
      <c r="CR814" s="0" t="n">
        <f aca="false" t="array" ref="CR814:CR851">$BI$95:$BI$132</f>
        <v>39.926839874903</v>
      </c>
      <c r="CS814" s="0" t="n">
        <f aca="false" t="array" ref="CS814:CS851">$CR$814:$CR$851 - $CQ$814:$CQ$851</f>
        <v>0.0840688498932636</v>
      </c>
      <c r="CT814" s="20" t="n">
        <f aca="false">(CS814)^2</f>
        <v>0.00706757152237608</v>
      </c>
      <c r="CU814" s="0" t="n">
        <v>1.52762990087134</v>
      </c>
      <c r="CV814" s="0" t="n">
        <v>1.55747406496881</v>
      </c>
      <c r="CW814" s="0" t="n">
        <v>1.57978359661681</v>
      </c>
      <c r="CX814" s="0" t="n">
        <v>0.0223095316480035</v>
      </c>
      <c r="CY814" s="20" t="n">
        <f aca="false">(CX814)^2</f>
        <v>0.000497715202353271</v>
      </c>
    </row>
    <row r="815" customFormat="false" ht="12.8" hidden="false" customHeight="false" outlineLevel="0" collapsed="false">
      <c r="BZ815" s="0" t="n">
        <v>1.32633586092875</v>
      </c>
      <c r="CA815" s="0" t="n">
        <v>2.08700408042741</v>
      </c>
      <c r="CB815" s="0" t="n">
        <v>1.96848294855394</v>
      </c>
      <c r="CC815" s="0" t="n">
        <v>39.9492262569109</v>
      </c>
      <c r="CD815" s="0" t="n">
        <v>40.1317447055601</v>
      </c>
      <c r="CE815" s="0" t="n">
        <v>0.182518448649162</v>
      </c>
      <c r="CF815" s="20" t="n">
        <f aca="false">(CE815)^2</f>
        <v>0.0333129840972969</v>
      </c>
      <c r="CG815" s="0" t="n">
        <v>1.32633586092875</v>
      </c>
      <c r="CH815" s="0" t="n">
        <v>2.08700408042741</v>
      </c>
      <c r="CI815" s="0" t="n">
        <v>1.96848294855394</v>
      </c>
      <c r="CJ815" s="0" t="n">
        <v>40.3648688201008</v>
      </c>
      <c r="CK815" s="0" t="n">
        <v>40.6654832485069</v>
      </c>
      <c r="CL815" s="0" t="n">
        <v>0.300614428406149</v>
      </c>
      <c r="CM815" s="20" t="n">
        <f aca="false">(CL815)^2</f>
        <v>0.0903690345659558</v>
      </c>
      <c r="CN815" s="0" t="n">
        <v>1.32633586092875</v>
      </c>
      <c r="CO815" s="0" t="n">
        <v>2.08700408042741</v>
      </c>
      <c r="CP815" s="0" t="n">
        <v>1.96848294855394</v>
      </c>
      <c r="CQ815" s="0" t="n">
        <v>40.2040944125223</v>
      </c>
      <c r="CR815" s="0" t="n">
        <v>40.0250782651027</v>
      </c>
      <c r="CS815" s="0" t="n">
        <v>-0.179016147419603</v>
      </c>
      <c r="CT815" s="20" t="n">
        <f aca="false">(CS815)^2</f>
        <v>0.0320467810369569</v>
      </c>
      <c r="CU815" s="0" t="n">
        <v>1.54530711646582</v>
      </c>
      <c r="CV815" s="0" t="n">
        <v>1.54926236415119</v>
      </c>
      <c r="CW815" s="0" t="n">
        <v>1.41497334797082</v>
      </c>
      <c r="CX815" s="0" t="n">
        <v>-0.134289016180368</v>
      </c>
      <c r="CY815" s="20" t="n">
        <f aca="false">(CX815)^2</f>
        <v>0.0180335398666913</v>
      </c>
    </row>
    <row r="816" customFormat="false" ht="12.8" hidden="false" customHeight="false" outlineLevel="0" collapsed="false">
      <c r="BZ816" s="0" t="n">
        <v>1.52762990087134</v>
      </c>
      <c r="CA816" s="0" t="n">
        <v>2.3176102420111</v>
      </c>
      <c r="CB816" s="0" t="n">
        <v>1.57978359661681</v>
      </c>
      <c r="CC816" s="0" t="n">
        <v>40.4312628958887</v>
      </c>
      <c r="CD816" s="0" t="n">
        <v>39.9963150223595</v>
      </c>
      <c r="CE816" s="0" t="n">
        <v>-0.434947873529239</v>
      </c>
      <c r="CF816" s="20" t="n">
        <f aca="false">(CE816)^2</f>
        <v>0.189179652687607</v>
      </c>
      <c r="CG816" s="0" t="n">
        <v>1.52762990087134</v>
      </c>
      <c r="CH816" s="0" t="n">
        <v>2.3176102420111</v>
      </c>
      <c r="CI816" s="0" t="n">
        <v>1.57978359661681</v>
      </c>
      <c r="CJ816" s="0" t="n">
        <v>40.7604226816577</v>
      </c>
      <c r="CK816" s="0" t="n">
        <v>40.4667860464016</v>
      </c>
      <c r="CL816" s="0" t="n">
        <v>-0.293636635256142</v>
      </c>
      <c r="CM816" s="20" t="n">
        <f aca="false">(CL816)^2</f>
        <v>0.0862224735645487</v>
      </c>
      <c r="CN816" s="0" t="n">
        <v>1.52762990087134</v>
      </c>
      <c r="CO816" s="0" t="n">
        <v>2.3176102420111</v>
      </c>
      <c r="CP816" s="0" t="n">
        <v>1.57978359661681</v>
      </c>
      <c r="CQ816" s="0" t="n">
        <v>40.67456115408</v>
      </c>
      <c r="CR816" s="0" t="n">
        <v>40.4667860464016</v>
      </c>
      <c r="CS816" s="0" t="n">
        <v>-0.20777510767838</v>
      </c>
      <c r="CT816" s="20" t="n">
        <f aca="false">(CS816)^2</f>
        <v>0.0431704953707623</v>
      </c>
      <c r="CU816" s="0" t="n">
        <v>1.44247976906445</v>
      </c>
      <c r="CV816" s="0" t="n">
        <v>1.59702935597274</v>
      </c>
      <c r="CW816" s="0" t="n">
        <v>2.20682587603185</v>
      </c>
      <c r="CX816" s="0" t="n">
        <v>0.609796520059109</v>
      </c>
      <c r="CY816" s="20" t="n">
        <f aca="false">(CX816)^2</f>
        <v>0.3718517958762</v>
      </c>
    </row>
    <row r="817" customFormat="false" ht="12.8" hidden="false" customHeight="false" outlineLevel="0" collapsed="false">
      <c r="BZ817" s="0" t="n">
        <v>1.54530711646582</v>
      </c>
      <c r="CA817" s="0" t="n">
        <v>2.39479758741265</v>
      </c>
      <c r="CB817" s="0" t="n">
        <v>1.41497334797082</v>
      </c>
      <c r="CC817" s="0" t="n">
        <v>40.4856554073637</v>
      </c>
      <c r="CD817" s="0" t="n">
        <v>40.3308782653967</v>
      </c>
      <c r="CE817" s="0" t="n">
        <v>-0.154777141966981</v>
      </c>
      <c r="CF817" s="20" t="n">
        <f aca="false">(CE817)^2</f>
        <v>0.0239559636754671</v>
      </c>
      <c r="CG817" s="0" t="n">
        <v>1.54530711646582</v>
      </c>
      <c r="CH817" s="0" t="n">
        <v>2.39479758741265</v>
      </c>
      <c r="CI817" s="0" t="n">
        <v>1.41497334797082</v>
      </c>
      <c r="CJ817" s="0" t="n">
        <v>40.802034920846</v>
      </c>
      <c r="CK817" s="0" t="n">
        <v>40.6750396842358</v>
      </c>
      <c r="CL817" s="0" t="n">
        <v>-0.126995236610163</v>
      </c>
      <c r="CM817" s="20" t="n">
        <f aca="false">(CL817)^2</f>
        <v>0.0161277901216714</v>
      </c>
      <c r="CN817" s="0" t="n">
        <v>1.54530711646582</v>
      </c>
      <c r="CO817" s="0" t="n">
        <v>2.39479758741265</v>
      </c>
      <c r="CP817" s="0" t="n">
        <v>1.41497334797082</v>
      </c>
      <c r="CQ817" s="0" t="n">
        <v>40.7281785139864</v>
      </c>
      <c r="CR817" s="0" t="n">
        <v>40.6750396842358</v>
      </c>
      <c r="CS817" s="0" t="n">
        <v>-0.0531388297506368</v>
      </c>
      <c r="CT817" s="20" t="n">
        <f aca="false">(CS817)^2</f>
        <v>0.00282373522726716</v>
      </c>
      <c r="CU817" s="0" t="n">
        <v>1.53781909507327</v>
      </c>
      <c r="CV817" s="0" t="n">
        <v>1.55274081872244</v>
      </c>
      <c r="CW817" s="0" t="n">
        <v>2.03742649794062</v>
      </c>
      <c r="CX817" s="0" t="n">
        <v>0.484685679218184</v>
      </c>
      <c r="CY817" s="20" t="n">
        <f aca="false">(CX817)^2</f>
        <v>0.234920207639193</v>
      </c>
    </row>
    <row r="818" customFormat="false" ht="12.8" hidden="false" customHeight="false" outlineLevel="0" collapsed="false">
      <c r="BZ818" s="0" t="n">
        <v>1.44247976906445</v>
      </c>
      <c r="CA818" s="0" t="n">
        <v>2.41617635379349</v>
      </c>
      <c r="CB818" s="0" t="n">
        <v>2.20682587603185</v>
      </c>
      <c r="CC818" s="0" t="n">
        <v>40.5050498938405</v>
      </c>
      <c r="CD818" s="0" t="n">
        <v>40.4850090486329</v>
      </c>
      <c r="CE818" s="0" t="n">
        <v>-0.0200408452075891</v>
      </c>
      <c r="CF818" s="20" t="n">
        <f aca="false">(CE818)^2</f>
        <v>0.000401635476634546</v>
      </c>
      <c r="CG818" s="0" t="n">
        <v>1.44247976906445</v>
      </c>
      <c r="CH818" s="0" t="n">
        <v>2.41617635379349</v>
      </c>
      <c r="CI818" s="0" t="n">
        <v>2.20682587603185</v>
      </c>
      <c r="CJ818" s="0" t="n">
        <v>40.7558581493582</v>
      </c>
      <c r="CK818" s="0" t="n">
        <v>40.9096967114523</v>
      </c>
      <c r="CL818" s="0" t="n">
        <v>0.15383856209413</v>
      </c>
      <c r="CM818" s="20" t="n">
        <f aca="false">(CL818)^2</f>
        <v>0.0236663031871894</v>
      </c>
      <c r="CN818" s="0" t="n">
        <v>1.44247976906445</v>
      </c>
      <c r="CO818" s="0" t="n">
        <v>2.41617635379349</v>
      </c>
      <c r="CP818" s="0" t="n">
        <v>2.20682587603185</v>
      </c>
      <c r="CQ818" s="0" t="n">
        <v>40.7118546304828</v>
      </c>
      <c r="CR818" s="0" t="n">
        <v>40.9096967114523</v>
      </c>
      <c r="CS818" s="0" t="n">
        <v>0.197842080969494</v>
      </c>
      <c r="CT818" s="20" t="n">
        <f aca="false">(CS818)^2</f>
        <v>0.0391414890023398</v>
      </c>
      <c r="CU818" s="0" t="n">
        <v>1.3541084391474</v>
      </c>
      <c r="CV818" s="0" t="n">
        <v>1.63808100906003</v>
      </c>
      <c r="CW818" s="0" t="n">
        <v>1.75587485567249</v>
      </c>
      <c r="CX818" s="0" t="n">
        <v>0.117793846612458</v>
      </c>
      <c r="CY818" s="20" t="n">
        <f aca="false">(CX818)^2</f>
        <v>0.0138753902997593</v>
      </c>
    </row>
    <row r="819" customFormat="false" ht="12.8" hidden="false" customHeight="false" outlineLevel="0" collapsed="false">
      <c r="BZ819" s="0" t="n">
        <v>1.53781909507327</v>
      </c>
      <c r="CA819" s="0" t="n">
        <v>2.17640387683549</v>
      </c>
      <c r="CB819" s="0" t="n">
        <v>2.03742649794062</v>
      </c>
      <c r="CC819" s="0" t="n">
        <v>40.4559916006496</v>
      </c>
      <c r="CD819" s="0" t="n">
        <v>40.5363222856562</v>
      </c>
      <c r="CE819" s="0" t="n">
        <v>0.0803306850065866</v>
      </c>
      <c r="CF819" s="20" t="n">
        <f aca="false">(CE819)^2</f>
        <v>0.00645301895362743</v>
      </c>
      <c r="CG819" s="0" t="n">
        <v>1.53781909507327</v>
      </c>
      <c r="CH819" s="0" t="n">
        <v>2.17640387683549</v>
      </c>
      <c r="CI819" s="0" t="n">
        <v>2.03742649794062</v>
      </c>
      <c r="CJ819" s="0" t="n">
        <v>40.7812498854645</v>
      </c>
      <c r="CK819" s="0" t="n">
        <v>40.8519069419647</v>
      </c>
      <c r="CL819" s="0" t="n">
        <v>0.0706570565001741</v>
      </c>
      <c r="CM819" s="20" t="n">
        <f aca="false">(CL819)^2</f>
        <v>0.00499241963326879</v>
      </c>
      <c r="CN819" s="0" t="n">
        <v>1.53781909507327</v>
      </c>
      <c r="CO819" s="0" t="n">
        <v>2.17640387683549</v>
      </c>
      <c r="CP819" s="0" t="n">
        <v>2.03742649794062</v>
      </c>
      <c r="CQ819" s="0" t="n">
        <v>40.6922089838628</v>
      </c>
      <c r="CR819" s="0" t="n">
        <v>40.8519069419647</v>
      </c>
      <c r="CS819" s="0" t="n">
        <v>0.159697958101916</v>
      </c>
      <c r="CT819" s="20" t="n">
        <f aca="false">(CS819)^2</f>
        <v>0.0255034378219212</v>
      </c>
      <c r="CU819" s="0" t="n">
        <v>1.42488163663107</v>
      </c>
      <c r="CV819" s="0" t="n">
        <v>1.6052043198249</v>
      </c>
      <c r="CW819" s="0" t="n">
        <v>1.30102999566398</v>
      </c>
      <c r="CX819" s="0" t="n">
        <v>-0.304174324160922</v>
      </c>
      <c r="CY819" s="20" t="n">
        <f aca="false">(CX819)^2</f>
        <v>0.0925220194787538</v>
      </c>
    </row>
    <row r="820" customFormat="false" ht="12.8" hidden="false" customHeight="false" outlineLevel="0" collapsed="false">
      <c r="BZ820" s="0" t="n">
        <v>1.3541084391474</v>
      </c>
      <c r="CA820" s="0" t="n">
        <v>2.06468635947822</v>
      </c>
      <c r="CB820" s="0" t="n">
        <v>1.75587485567249</v>
      </c>
      <c r="CC820" s="0" t="n">
        <v>39.9309863528454</v>
      </c>
      <c r="CD820" s="0" t="n">
        <v>39.9166540391504</v>
      </c>
      <c r="CE820" s="0" t="n">
        <v>-0.0143323136950073</v>
      </c>
      <c r="CF820" s="20" t="n">
        <f aca="false">(CE820)^2</f>
        <v>0.000205415215852094</v>
      </c>
      <c r="CG820" s="0" t="n">
        <v>1.3541084391474</v>
      </c>
      <c r="CH820" s="0" t="n">
        <v>2.06468635947822</v>
      </c>
      <c r="CI820" s="0" t="n">
        <v>1.75587485567249</v>
      </c>
      <c r="CJ820" s="0" t="n">
        <v>40.369749695025</v>
      </c>
      <c r="CK820" s="0" t="n">
        <v>40.3823661888664</v>
      </c>
      <c r="CL820" s="0" t="n">
        <v>0.0126164938414135</v>
      </c>
      <c r="CM820" s="20" t="n">
        <f aca="false">(CL820)^2</f>
        <v>0.000159175916850425</v>
      </c>
      <c r="CN820" s="0" t="n">
        <v>1.3541084391474</v>
      </c>
      <c r="CO820" s="0" t="n">
        <v>2.06468635947822</v>
      </c>
      <c r="CP820" s="0" t="n">
        <v>1.75587485567249</v>
      </c>
      <c r="CQ820" s="0" t="n">
        <v>40.197129505383</v>
      </c>
      <c r="CR820" s="0" t="n">
        <v>40.3823661888664</v>
      </c>
      <c r="CS820" s="0" t="n">
        <v>0.18523668348341</v>
      </c>
      <c r="CT820" s="20" t="n">
        <f aca="false">(CS820)^2</f>
        <v>0.034312628907933</v>
      </c>
      <c r="CU820" s="0" t="n">
        <v>1.43775056282039</v>
      </c>
      <c r="CV820" s="0" t="n">
        <v>1.59922624193442</v>
      </c>
      <c r="CW820" s="0" t="n">
        <v>1.79239168949825</v>
      </c>
      <c r="CX820" s="0" t="n">
        <v>0.193165447563833</v>
      </c>
      <c r="CY820" s="20" t="n">
        <f aca="false">(CX820)^2</f>
        <v>0.037312890132536</v>
      </c>
    </row>
    <row r="821" customFormat="false" ht="12.8" hidden="false" customHeight="false" outlineLevel="0" collapsed="false">
      <c r="BZ821" s="0" t="n">
        <v>1.42488163663107</v>
      </c>
      <c r="CA821" s="0" t="n">
        <v>2.28534020026503</v>
      </c>
      <c r="CB821" s="0" t="n">
        <v>1.30102999566398</v>
      </c>
      <c r="CC821" s="0" t="n">
        <v>40.1305920661623</v>
      </c>
      <c r="CD821" s="0" t="n">
        <v>39.9203081956583</v>
      </c>
      <c r="CE821" s="0" t="n">
        <v>-0.210283870504028</v>
      </c>
      <c r="CF821" s="20" t="n">
        <f aca="false">(CE821)^2</f>
        <v>0.044219306194155</v>
      </c>
      <c r="CG821" s="0" t="n">
        <v>1.42488163663107</v>
      </c>
      <c r="CH821" s="0" t="n">
        <v>2.28534020026503</v>
      </c>
      <c r="CI821" s="0" t="n">
        <v>1.30102999566398</v>
      </c>
      <c r="CJ821" s="0" t="n">
        <v>40.5260070509288</v>
      </c>
      <c r="CK821" s="0" t="n">
        <v>39.8052047714277</v>
      </c>
      <c r="CL821" s="0" t="n">
        <v>-0.720802279501143</v>
      </c>
      <c r="CM821" s="20" t="n">
        <f aca="false">(CL821)^2</f>
        <v>0.519555926134044</v>
      </c>
      <c r="CN821" s="0" t="n">
        <v>1.42488163663107</v>
      </c>
      <c r="CO821" s="0" t="n">
        <v>2.28534020026503</v>
      </c>
      <c r="CP821" s="0" t="n">
        <v>1.30102999566398</v>
      </c>
      <c r="CQ821" s="0" t="n">
        <v>40.393157942917</v>
      </c>
      <c r="CR821" s="0" t="n">
        <v>39.8052047714277</v>
      </c>
      <c r="CS821" s="0" t="n">
        <v>-0.587953171489261</v>
      </c>
      <c r="CT821" s="20" t="n">
        <f aca="false">(CS821)^2</f>
        <v>0.34568893186428</v>
      </c>
      <c r="CU821" s="0" t="n">
        <v>1.31386722036915</v>
      </c>
      <c r="CV821" s="0" t="n">
        <v>1.65677449884507</v>
      </c>
      <c r="CW821" s="0" t="n">
        <v>1.98677173426624</v>
      </c>
      <c r="CX821" s="0" t="n">
        <v>0.329997235421171</v>
      </c>
      <c r="CY821" s="20" t="n">
        <f aca="false">(CX821)^2</f>
        <v>0.108898175385616</v>
      </c>
    </row>
    <row r="822" customFormat="false" ht="12.8" hidden="false" customHeight="false" outlineLevel="0" collapsed="false">
      <c r="BZ822" s="0" t="n">
        <v>1.43775056282039</v>
      </c>
      <c r="CA822" s="0" t="n">
        <v>2.24404692251784</v>
      </c>
      <c r="CB822" s="0" t="n">
        <v>1.79239168949825</v>
      </c>
      <c r="CC822" s="0" t="n">
        <v>40.2498230813096</v>
      </c>
      <c r="CD822" s="0" t="n">
        <v>40.0555420750015</v>
      </c>
      <c r="CE822" s="0" t="n">
        <v>-0.194281006308145</v>
      </c>
      <c r="CF822" s="20" t="n">
        <f aca="false">(CE822)^2</f>
        <v>0.0377451094121056</v>
      </c>
      <c r="CG822" s="0" t="n">
        <v>1.43775056282039</v>
      </c>
      <c r="CH822" s="0" t="n">
        <v>2.24404692251784</v>
      </c>
      <c r="CI822" s="0" t="n">
        <v>1.79239168949825</v>
      </c>
      <c r="CJ822" s="0" t="n">
        <v>40.6035892937973</v>
      </c>
      <c r="CK822" s="0" t="n">
        <v>40.1409607062428</v>
      </c>
      <c r="CL822" s="0" t="n">
        <v>-0.462628587554526</v>
      </c>
      <c r="CM822" s="20" t="n">
        <f aca="false">(CL822)^2</f>
        <v>0.214025210022696</v>
      </c>
      <c r="CN822" s="0" t="n">
        <v>1.43775056282039</v>
      </c>
      <c r="CO822" s="0" t="n">
        <v>2.24404692251784</v>
      </c>
      <c r="CP822" s="0" t="n">
        <v>1.79239168949825</v>
      </c>
      <c r="CQ822" s="0" t="n">
        <v>40.4934840080303</v>
      </c>
      <c r="CR822" s="0" t="n">
        <v>40.1409607062428</v>
      </c>
      <c r="CS822" s="0" t="n">
        <v>-0.352523301787507</v>
      </c>
      <c r="CT822" s="20" t="n">
        <f aca="false">(CS822)^2</f>
        <v>0.124272678303166</v>
      </c>
      <c r="CU822" s="0" t="n">
        <v>1.51719589794997</v>
      </c>
      <c r="CV822" s="0" t="n">
        <v>1.56232103364792</v>
      </c>
      <c r="CW822" s="0" t="n">
        <v>2.26481782300954</v>
      </c>
      <c r="CX822" s="0" t="n">
        <v>0.702496789361616</v>
      </c>
      <c r="CY822" s="20" t="n">
        <f aca="false">(CX822)^2</f>
        <v>0.493501739063379</v>
      </c>
    </row>
    <row r="823" customFormat="false" ht="12.8" hidden="false" customHeight="false" outlineLevel="0" collapsed="false">
      <c r="BZ823" s="0" t="n">
        <v>1.31386722036915</v>
      </c>
      <c r="CA823" s="0" t="n">
        <v>1.60008622473531</v>
      </c>
      <c r="CB823" s="0" t="n">
        <v>1.98677173426624</v>
      </c>
      <c r="CC823" s="0" t="n">
        <v>39.537089989658</v>
      </c>
      <c r="CD823" s="0" t="n">
        <v>39.6009701741581</v>
      </c>
      <c r="CE823" s="0" t="n">
        <v>0.0638801845000785</v>
      </c>
      <c r="CF823" s="20" t="n">
        <f aca="false">(CE823)^2</f>
        <v>0.00408067797176407</v>
      </c>
      <c r="CG823" s="0" t="n">
        <v>1.31386722036915</v>
      </c>
      <c r="CH823" s="0" t="n">
        <v>1.60008622473531</v>
      </c>
      <c r="CI823" s="0" t="n">
        <v>1.98677173426624</v>
      </c>
      <c r="CJ823" s="0" t="n">
        <v>40.1171203391037</v>
      </c>
      <c r="CK823" s="0" t="n">
        <v>39.9728485150304</v>
      </c>
      <c r="CL823" s="0" t="n">
        <v>-0.144271824073279</v>
      </c>
      <c r="CM823" s="20" t="n">
        <f aca="false">(CL823)^2</f>
        <v>0.0208143592214311</v>
      </c>
      <c r="CN823" s="0" t="n">
        <v>1.31386722036915</v>
      </c>
      <c r="CO823" s="0" t="n">
        <v>1.60008622473531</v>
      </c>
      <c r="CP823" s="0" t="n">
        <v>1.98677173426624</v>
      </c>
      <c r="CQ823" s="0" t="n">
        <v>39.8411173390098</v>
      </c>
      <c r="CR823" s="0" t="n">
        <v>39.9728485150304</v>
      </c>
      <c r="CS823" s="0" t="n">
        <v>0.131731176020594</v>
      </c>
      <c r="CT823" s="20" t="n">
        <f aca="false">(CS823)^2</f>
        <v>0.0173531027357687</v>
      </c>
      <c r="CU823" s="0" t="n">
        <v>1.32221929473392</v>
      </c>
      <c r="CV823" s="0" t="n">
        <v>1.65289466067014</v>
      </c>
      <c r="CW823" s="0" t="n">
        <v>1.69019608002851</v>
      </c>
      <c r="CX823" s="0" t="n">
        <v>0.0373014193583741</v>
      </c>
      <c r="CY823" s="20" t="n">
        <f aca="false">(CX823)^2</f>
        <v>0.00139139588614928</v>
      </c>
    </row>
    <row r="824" customFormat="false" ht="12.8" hidden="false" customHeight="false" outlineLevel="0" collapsed="false">
      <c r="BZ824" s="0" t="n">
        <v>1.51719589794997</v>
      </c>
      <c r="CA824" s="0" t="n">
        <v>1.37561164684667</v>
      </c>
      <c r="CB824" s="0" t="n">
        <v>2.26481782300954</v>
      </c>
      <c r="CC824" s="0" t="n">
        <v>39.8290064677767</v>
      </c>
      <c r="CD824" s="0" t="n">
        <v>39.7119114592515</v>
      </c>
      <c r="CE824" s="0" t="n">
        <v>-0.117095008525212</v>
      </c>
      <c r="CF824" s="20" t="n">
        <f aca="false">(CE824)^2</f>
        <v>0.0137112410215194</v>
      </c>
      <c r="CG824" s="0" t="n">
        <v>1.51719589794997</v>
      </c>
      <c r="CH824" s="0" t="n">
        <v>1.37561164684667</v>
      </c>
      <c r="CI824" s="0" t="n">
        <v>2.26481782300954</v>
      </c>
      <c r="CJ824" s="0" t="n">
        <v>40.4036634037595</v>
      </c>
      <c r="CK824" s="0" t="n">
        <v>40.3675165950432</v>
      </c>
      <c r="CL824" s="0" t="n">
        <v>-0.0361468087163246</v>
      </c>
      <c r="CM824" s="20" t="n">
        <f aca="false">(CL824)^2</f>
        <v>0.00130659178037456</v>
      </c>
      <c r="CN824" s="0" t="n">
        <v>1.51719589794997</v>
      </c>
      <c r="CO824" s="0" t="n">
        <v>1.37561164684667</v>
      </c>
      <c r="CP824" s="0" t="n">
        <v>2.26481782300954</v>
      </c>
      <c r="CQ824" s="0" t="n">
        <v>40.1369487270524</v>
      </c>
      <c r="CR824" s="0" t="n">
        <v>40.3675165950432</v>
      </c>
      <c r="CS824" s="0" t="n">
        <v>0.230567867990793</v>
      </c>
      <c r="CT824" s="20" t="n">
        <f aca="false">(CS824)^2</f>
        <v>0.0531615417498196</v>
      </c>
      <c r="CU824" s="0" t="n">
        <v>1.23299611039215</v>
      </c>
      <c r="CV824" s="0" t="n">
        <v>1.69434203069817</v>
      </c>
      <c r="CW824" s="0" t="n">
        <v>1.83250891270624</v>
      </c>
      <c r="CX824" s="0" t="n">
        <v>0.138166882008066</v>
      </c>
      <c r="CY824" s="20" t="n">
        <f aca="false">(CX824)^2</f>
        <v>0.0190900872838309</v>
      </c>
    </row>
    <row r="825" customFormat="false" ht="12.8" hidden="false" customHeight="false" outlineLevel="0" collapsed="false">
      <c r="BZ825" s="0" t="n">
        <v>1.32221929473392</v>
      </c>
      <c r="CA825" s="0" t="n">
        <v>1.68490801536986</v>
      </c>
      <c r="CB825" s="0" t="n">
        <v>1.69019608002851</v>
      </c>
      <c r="CC825" s="0" t="n">
        <v>39.5451586014503</v>
      </c>
      <c r="CD825" s="0" t="n">
        <v>39.8158956218551</v>
      </c>
      <c r="CE825" s="0" t="n">
        <v>0.270737020404844</v>
      </c>
      <c r="CF825" s="20" t="n">
        <f aca="false">(CE825)^2</f>
        <v>0.0732985342176932</v>
      </c>
      <c r="CG825" s="0" t="n">
        <v>1.32221929473392</v>
      </c>
      <c r="CH825" s="0" t="n">
        <v>1.68490801536986</v>
      </c>
      <c r="CI825" s="0" t="n">
        <v>1.69019608002851</v>
      </c>
      <c r="CJ825" s="0" t="n">
        <v>40.126204560459</v>
      </c>
      <c r="CK825" s="0" t="n">
        <v>40.2813702480347</v>
      </c>
      <c r="CL825" s="0" t="n">
        <v>0.155165687575739</v>
      </c>
      <c r="CM825" s="20" t="n">
        <f aca="false">(CL825)^2</f>
        <v>0.0240763906008518</v>
      </c>
      <c r="CN825" s="0" t="n">
        <v>1.32221929473392</v>
      </c>
      <c r="CO825" s="0" t="n">
        <v>1.68490801536986</v>
      </c>
      <c r="CP825" s="0" t="n">
        <v>1.69019608002851</v>
      </c>
      <c r="CQ825" s="0" t="n">
        <v>39.8540073080455</v>
      </c>
      <c r="CR825" s="0" t="n">
        <v>40.2813702480347</v>
      </c>
      <c r="CS825" s="0" t="n">
        <v>0.427362939989237</v>
      </c>
      <c r="CT825" s="20" t="n">
        <f aca="false">(CS825)^2</f>
        <v>0.182639082476244</v>
      </c>
      <c r="CU825" s="0" t="n">
        <v>1.23299611039215</v>
      </c>
      <c r="CV825" s="0" t="n">
        <v>1.69434203069817</v>
      </c>
      <c r="CW825" s="0" t="n">
        <v>1.79239168949825</v>
      </c>
      <c r="CX825" s="0" t="n">
        <v>0.0980496588000761</v>
      </c>
      <c r="CY825" s="20" t="n">
        <f aca="false">(CX825)^2</f>
        <v>0.00961373559081134</v>
      </c>
    </row>
    <row r="826" customFormat="false" ht="12.8" hidden="false" customHeight="false" outlineLevel="0" collapsed="false">
      <c r="BZ826" s="0" t="n">
        <v>1.23299611039215</v>
      </c>
      <c r="CA826" s="0" t="n">
        <v>1.85057428008802</v>
      </c>
      <c r="CB826" s="0" t="n">
        <v>1.83250891270624</v>
      </c>
      <c r="CC826" s="0" t="n">
        <v>39.5395615392067</v>
      </c>
      <c r="CD826" s="0" t="n">
        <v>39.9770046637507</v>
      </c>
      <c r="CE826" s="0" t="n">
        <v>0.437443124544011</v>
      </c>
      <c r="CF826" s="20" t="n">
        <f aca="false">(CE826)^2</f>
        <v>0.191356487210827</v>
      </c>
      <c r="CG826" s="0" t="n">
        <v>1.23299611039215</v>
      </c>
      <c r="CH826" s="0" t="n">
        <v>1.85057428008802</v>
      </c>
      <c r="CI826" s="0" t="n">
        <v>1.83250891270624</v>
      </c>
      <c r="CJ826" s="0" t="n">
        <v>40.0723415655583</v>
      </c>
      <c r="CK826" s="0" t="n">
        <v>40.5618565782759</v>
      </c>
      <c r="CL826" s="0" t="n">
        <v>0.48951501271759</v>
      </c>
      <c r="CM826" s="20" t="n">
        <f aca="false">(CL826)^2</f>
        <v>0.239624947675902</v>
      </c>
      <c r="CN826" s="0" t="n">
        <v>1.23299611039215</v>
      </c>
      <c r="CO826" s="0" t="n">
        <v>1.85057428008802</v>
      </c>
      <c r="CP826" s="0" t="n">
        <v>1.83250891270624</v>
      </c>
      <c r="CQ826" s="0" t="n">
        <v>39.8276203679101</v>
      </c>
      <c r="CR826" s="0" t="n">
        <v>40.2717584423895</v>
      </c>
      <c r="CS826" s="0" t="n">
        <v>0.444138074479362</v>
      </c>
      <c r="CT826" s="20" t="n">
        <f aca="false">(CS826)^2</f>
        <v>0.197258629202235</v>
      </c>
      <c r="CU826" s="0" t="n">
        <v>1.3541084391474</v>
      </c>
      <c r="CV826" s="0" t="n">
        <v>1.63808100906003</v>
      </c>
      <c r="CW826" s="0" t="n">
        <v>1.53147891704226</v>
      </c>
      <c r="CX826" s="0" t="n">
        <v>-0.106602092017772</v>
      </c>
      <c r="CY826" s="20" t="n">
        <f aca="false">(CX826)^2</f>
        <v>0.0113640060225655</v>
      </c>
    </row>
    <row r="827" customFormat="false" ht="12.8" hidden="false" customHeight="false" outlineLevel="0" collapsed="false">
      <c r="BZ827" s="0" t="n">
        <v>1.23299611039215</v>
      </c>
      <c r="CA827" s="0" t="n">
        <v>1.54507120196056</v>
      </c>
      <c r="CB827" s="0" t="n">
        <v>1.79239168949825</v>
      </c>
      <c r="CC827" s="0" t="n">
        <v>39.2830515214167</v>
      </c>
      <c r="CD827" s="0" t="n">
        <v>39.0888685217564</v>
      </c>
      <c r="CE827" s="0" t="n">
        <v>-0.194182999660292</v>
      </c>
      <c r="CF827" s="20" t="n">
        <f aca="false">(CE827)^2</f>
        <v>0.0377070373570689</v>
      </c>
      <c r="CG827" s="0" t="n">
        <v>1.23299611039215</v>
      </c>
      <c r="CH827" s="0" t="n">
        <v>1.54507120196056</v>
      </c>
      <c r="CI827" s="0" t="n">
        <v>1.79239168949825</v>
      </c>
      <c r="CJ827" s="0" t="n">
        <v>39.9224953975295</v>
      </c>
      <c r="CK827" s="0" t="n">
        <v>39.807392282766</v>
      </c>
      <c r="CL827" s="0" t="n">
        <v>-0.115103114763471</v>
      </c>
      <c r="CM827" s="20" t="n">
        <f aca="false">(CL827)^2</f>
        <v>0.0132487270282528</v>
      </c>
      <c r="CN827" s="0" t="n">
        <v>1.23299611039215</v>
      </c>
      <c r="CO827" s="0" t="n">
        <v>1.54507120196056</v>
      </c>
      <c r="CP827" s="0" t="n">
        <v>1.79239168949825</v>
      </c>
      <c r="CQ827" s="0" t="n">
        <v>39.6041053904685</v>
      </c>
      <c r="CR827" s="0" t="n">
        <v>39.2678630647137</v>
      </c>
      <c r="CS827" s="0" t="n">
        <v>-0.336242325754817</v>
      </c>
      <c r="CT827" s="20" t="n">
        <f aca="false">(CS827)^2</f>
        <v>0.113058901629009</v>
      </c>
      <c r="CU827" s="0" t="n">
        <v>1.48572142648158</v>
      </c>
      <c r="CV827" s="0" t="n">
        <v>1.57694205479855</v>
      </c>
      <c r="CW827" s="0" t="n">
        <v>1.34242268082221</v>
      </c>
      <c r="CX827" s="0" t="n">
        <v>-0.23451937397634</v>
      </c>
      <c r="CY827" s="20" t="n">
        <f aca="false">(CX827)^2</f>
        <v>0.0549993367702545</v>
      </c>
    </row>
    <row r="828" customFormat="false" ht="12.8" hidden="false" customHeight="false" outlineLevel="0" collapsed="false">
      <c r="BZ828" s="0" t="n">
        <v>1.3541084391474</v>
      </c>
      <c r="CA828" s="0" t="n">
        <v>1.96442405905461</v>
      </c>
      <c r="CB828" s="0" t="n">
        <v>1.53147891704226</v>
      </c>
      <c r="CC828" s="0" t="n">
        <v>39.7921512779494</v>
      </c>
      <c r="CD828" s="0" t="n">
        <v>39.3364926286811</v>
      </c>
      <c r="CE828" s="0" t="n">
        <v>-0.455658649268329</v>
      </c>
      <c r="CF828" s="20" t="n">
        <f aca="false">(CE828)^2</f>
        <v>0.207624804653038</v>
      </c>
      <c r="CG828" s="0" t="n">
        <v>1.3541084391474</v>
      </c>
      <c r="CH828" s="0" t="n">
        <v>1.96442405905461</v>
      </c>
      <c r="CI828" s="0" t="n">
        <v>1.53147891704226</v>
      </c>
      <c r="CJ828" s="0" t="n">
        <v>40.2883857725019</v>
      </c>
      <c r="CK828" s="0" t="n">
        <v>39.6234285182525</v>
      </c>
      <c r="CL828" s="0" t="n">
        <v>-0.664957254249387</v>
      </c>
      <c r="CM828" s="20" t="n">
        <f aca="false">(CL828)^2</f>
        <v>0.442168149978884</v>
      </c>
      <c r="CN828" s="0" t="n">
        <v>1.3541084391474</v>
      </c>
      <c r="CO828" s="0" t="n">
        <v>1.96442405905461</v>
      </c>
      <c r="CP828" s="0" t="n">
        <v>1.53147891704226</v>
      </c>
      <c r="CQ828" s="0" t="n">
        <v>40.0788932631529</v>
      </c>
      <c r="CR828" s="0" t="n">
        <v>39.6234285182525</v>
      </c>
      <c r="CS828" s="0" t="n">
        <v>-0.455464744900389</v>
      </c>
      <c r="CT828" s="20" t="n">
        <f aca="false">(CS828)^2</f>
        <v>0.207448133847177</v>
      </c>
      <c r="CU828" s="0" t="n">
        <v>1.39967372148104</v>
      </c>
      <c r="CV828" s="0" t="n">
        <v>1.61691430075157</v>
      </c>
      <c r="CW828" s="0" t="n">
        <v>1.30102999566398</v>
      </c>
      <c r="CX828" s="0" t="n">
        <v>-0.31588430508759</v>
      </c>
      <c r="CY828" s="20" t="n">
        <f aca="false">(CX828)^2</f>
        <v>0.0997828942006696</v>
      </c>
    </row>
    <row r="829" customFormat="false" ht="12.8" hidden="false" customHeight="false" outlineLevel="0" collapsed="false">
      <c r="BZ829" s="0" t="n">
        <v>1.48572142648158</v>
      </c>
      <c r="CA829" s="0" t="n">
        <v>2.35784156259318</v>
      </c>
      <c r="CB829" s="0" t="n">
        <v>1.34242268082221</v>
      </c>
      <c r="CC829" s="0" t="n">
        <v>40.3196477529391</v>
      </c>
      <c r="CD829" s="0" t="n">
        <v>40.3263420583806</v>
      </c>
      <c r="CE829" s="0" t="n">
        <v>0.00669430544147076</v>
      </c>
      <c r="CF829" s="20" t="n">
        <f aca="false">(CE829)^2</f>
        <v>4.4813725343705E-005</v>
      </c>
      <c r="CG829" s="0" t="n">
        <v>1.48572142648158</v>
      </c>
      <c r="CH829" s="0" t="n">
        <v>2.35784156259318</v>
      </c>
      <c r="CI829" s="0" t="n">
        <v>1.34242268082221</v>
      </c>
      <c r="CJ829" s="0" t="n">
        <v>40.6710875402599</v>
      </c>
      <c r="CK829" s="0" t="n">
        <v>40.3264007404092</v>
      </c>
      <c r="CL829" s="0" t="n">
        <v>-0.344686799850649</v>
      </c>
      <c r="CM829" s="20" t="n">
        <f aca="false">(CL829)^2</f>
        <v>0.118808989991281</v>
      </c>
      <c r="CN829" s="0" t="n">
        <v>1.48572142648158</v>
      </c>
      <c r="CO829" s="0" t="n">
        <v>2.35784156259318</v>
      </c>
      <c r="CP829" s="0" t="n">
        <v>1.34242268082221</v>
      </c>
      <c r="CQ829" s="0" t="n">
        <v>40.5710824717777</v>
      </c>
      <c r="CR829" s="0" t="n">
        <v>40.3264007404092</v>
      </c>
      <c r="CS829" s="0" t="n">
        <v>-0.244681731368537</v>
      </c>
      <c r="CT829" s="20" t="n">
        <f aca="false">(CS829)^2</f>
        <v>0.059869149665505</v>
      </c>
      <c r="CU829" s="0" t="n">
        <v>1.3384564936046</v>
      </c>
      <c r="CV829" s="0" t="n">
        <v>1.64535189928164</v>
      </c>
      <c r="CW829" s="0" t="n">
        <v>1</v>
      </c>
      <c r="CX829" s="0" t="n">
        <v>-0.645351899281638</v>
      </c>
      <c r="CY829" s="20" t="n">
        <f aca="false">(CX829)^2</f>
        <v>0.416479073906418</v>
      </c>
    </row>
    <row r="830" customFormat="false" ht="12.8" hidden="false" customHeight="false" outlineLevel="0" collapsed="false">
      <c r="BZ830" s="0" t="n">
        <v>1.39967372148104</v>
      </c>
      <c r="CA830" s="0" t="n">
        <v>2.04990126579397</v>
      </c>
      <c r="CB830" s="0" t="n">
        <v>1.30102999566398</v>
      </c>
      <c r="CC830" s="0" t="n">
        <v>39.8912162472263</v>
      </c>
      <c r="CD830" s="0" t="n">
        <v>39.7238406799932</v>
      </c>
      <c r="CE830" s="0" t="n">
        <v>-0.167375567233059</v>
      </c>
      <c r="CF830" s="20" t="n">
        <f aca="false">(CE830)^2</f>
        <v>0.0280145805065881</v>
      </c>
      <c r="CG830" s="0" t="n">
        <v>1.39967372148104</v>
      </c>
      <c r="CH830" s="0" t="n">
        <v>2.04990126579397</v>
      </c>
      <c r="CI830" s="0" t="n">
        <v>1.30102999566398</v>
      </c>
      <c r="CJ830" s="0" t="n">
        <v>40.3718723805104</v>
      </c>
      <c r="CK830" s="0" t="n">
        <v>40.2529720067542</v>
      </c>
      <c r="CL830" s="0" t="n">
        <v>-0.11890037375624</v>
      </c>
      <c r="CM830" s="20" t="n">
        <f aca="false">(CL830)^2</f>
        <v>0.0141372988793736</v>
      </c>
      <c r="CN830" s="0" t="n">
        <v>1.39967372148104</v>
      </c>
      <c r="CO830" s="0" t="n">
        <v>2.04990126579397</v>
      </c>
      <c r="CP830" s="0" t="n">
        <v>1.30102999566398</v>
      </c>
      <c r="CQ830" s="0" t="n">
        <v>40.1785368753616</v>
      </c>
      <c r="CR830" s="0" t="n">
        <v>40.0756659371669</v>
      </c>
      <c r="CS830" s="0" t="n">
        <v>-0.102870938194712</v>
      </c>
      <c r="CT830" s="20" t="n">
        <f aca="false">(CS830)^2</f>
        <v>0.0105824299250603</v>
      </c>
      <c r="CU830" s="0" t="n">
        <v>1.25527250510331</v>
      </c>
      <c r="CV830" s="0" t="n">
        <v>1.6839938461843</v>
      </c>
      <c r="CW830" s="0" t="n">
        <v>1.32221929473392</v>
      </c>
      <c r="CX830" s="0" t="n">
        <v>-0.361774551450379</v>
      </c>
      <c r="CY830" s="20" t="n">
        <f aca="false">(CX830)^2</f>
        <v>0.130880826077123</v>
      </c>
    </row>
    <row r="831" customFormat="false" ht="12.8" hidden="false" customHeight="false" outlineLevel="0" collapsed="false">
      <c r="BZ831" s="0" t="n">
        <v>1.3384564936046</v>
      </c>
      <c r="CA831" s="0" t="n">
        <v>2.20522175876517</v>
      </c>
      <c r="CB831" s="0" t="n">
        <v>1</v>
      </c>
      <c r="CC831" s="0" t="n">
        <v>39.81778645129</v>
      </c>
      <c r="CD831" s="0" t="n">
        <v>40.069553025812</v>
      </c>
      <c r="CE831" s="0" t="n">
        <v>0.251766574521973</v>
      </c>
      <c r="CF831" s="20" t="n">
        <f aca="false">(CE831)^2</f>
        <v>0.0633864080465282</v>
      </c>
      <c r="CG831" s="0" t="n">
        <v>1.3384564936046</v>
      </c>
      <c r="CH831" s="0" t="n">
        <v>2.20522175876517</v>
      </c>
      <c r="CI831" s="0" t="n">
        <v>1</v>
      </c>
      <c r="CJ831" s="0" t="n">
        <v>40.2937659833257</v>
      </c>
      <c r="CK831" s="0" t="n">
        <v>41.2641577153917</v>
      </c>
      <c r="CL831" s="0" t="n">
        <v>0.970391732066034</v>
      </c>
      <c r="CM831" s="20" t="n">
        <f aca="false">(CL831)^2</f>
        <v>0.941660113662117</v>
      </c>
      <c r="CN831" s="0" t="n">
        <v>1.3384564936046</v>
      </c>
      <c r="CO831" s="0" t="n">
        <v>2.20522175876517</v>
      </c>
      <c r="CP831" s="0" t="n">
        <v>1</v>
      </c>
      <c r="CQ831" s="0" t="n">
        <v>40.1050373588678</v>
      </c>
      <c r="CR831" s="0" t="n">
        <v>40.7238661685937</v>
      </c>
      <c r="CS831" s="0" t="n">
        <v>0.618828809725933</v>
      </c>
      <c r="CT831" s="20" t="n">
        <f aca="false">(CS831)^2</f>
        <v>0.382949095746815</v>
      </c>
      <c r="CU831" s="0" t="n">
        <v>1.22010808804006</v>
      </c>
      <c r="CV831" s="0" t="n">
        <v>1.70032897944135</v>
      </c>
      <c r="CW831" s="0" t="n">
        <v>0.602059991327962</v>
      </c>
      <c r="CX831" s="0" t="n">
        <v>-1.09826898811338</v>
      </c>
      <c r="CY831" s="20" t="n">
        <f aca="false">(CX831)^2</f>
        <v>1.20619477025159</v>
      </c>
    </row>
    <row r="832" customFormat="false" ht="12.8" hidden="false" customHeight="false" outlineLevel="0" collapsed="false">
      <c r="BZ832" s="0" t="n">
        <v>1.25527250510331</v>
      </c>
      <c r="CA832" s="0" t="n">
        <v>1.96796675188098</v>
      </c>
      <c r="CB832" s="0" t="n">
        <v>1.32221929473392</v>
      </c>
      <c r="CC832" s="0" t="n">
        <v>39.5460259010171</v>
      </c>
      <c r="CD832" s="0" t="n">
        <v>39.8138398098754</v>
      </c>
      <c r="CE832" s="0" t="n">
        <v>0.267813908858315</v>
      </c>
      <c r="CF832" s="20" t="n">
        <f aca="false">(CE832)^2</f>
        <v>0.0717242897779699</v>
      </c>
      <c r="CG832" s="0" t="n">
        <v>1.25527250510331</v>
      </c>
      <c r="CH832" s="0" t="n">
        <v>1.96796675188098</v>
      </c>
      <c r="CI832" s="0" t="n">
        <v>1.32221929473392</v>
      </c>
      <c r="CJ832" s="0" t="n">
        <v>40.0881389089634</v>
      </c>
      <c r="CK832" s="0" t="n">
        <v>40.2861528339909</v>
      </c>
      <c r="CL832" s="0" t="n">
        <v>0.198013925027546</v>
      </c>
      <c r="CM832" s="20" t="n">
        <f aca="false">(CL832)^2</f>
        <v>0.0392095145048145</v>
      </c>
      <c r="CN832" s="0" t="n">
        <v>1.25527250510331</v>
      </c>
      <c r="CO832" s="0" t="n">
        <v>1.96796675188098</v>
      </c>
      <c r="CP832" s="0" t="n">
        <v>1.32221929473392</v>
      </c>
      <c r="CQ832" s="0" t="n">
        <v>39.8450533190532</v>
      </c>
      <c r="CR832" s="0" t="n">
        <v>39.8999512285901</v>
      </c>
      <c r="CS832" s="0" t="n">
        <v>0.0548979095368694</v>
      </c>
      <c r="CT832" s="20" t="n">
        <f aca="false">(CS832)^2</f>
        <v>0.00301378047151829</v>
      </c>
      <c r="CU832" s="0" t="n">
        <v>1.50514997831991</v>
      </c>
      <c r="CV832" s="0" t="n">
        <v>1.56791679546609</v>
      </c>
      <c r="CW832" s="0" t="n">
        <v>1.91907809237607</v>
      </c>
      <c r="CX832" s="0" t="n">
        <v>0.351161296909978</v>
      </c>
      <c r="CY832" s="20" t="n">
        <f aca="false">(CX832)^2</f>
        <v>0.123314256447497</v>
      </c>
    </row>
    <row r="833" customFormat="false" ht="12.8" hidden="false" customHeight="false" outlineLevel="0" collapsed="false">
      <c r="BZ833" s="0" t="n">
        <v>1.22010808804006</v>
      </c>
      <c r="CA833" s="0" t="n">
        <v>1.83307698166838</v>
      </c>
      <c r="CB833" s="0" t="n">
        <v>0.602059991327962</v>
      </c>
      <c r="CC833" s="0" t="n">
        <v>39.1817032984694</v>
      </c>
      <c r="CD833" s="0" t="n">
        <v>39.0981383321098</v>
      </c>
      <c r="CE833" s="0" t="n">
        <v>-0.0835649663596243</v>
      </c>
      <c r="CF833" s="20" t="n">
        <f aca="false">(CE833)^2</f>
        <v>0.00698310360268514</v>
      </c>
      <c r="CG833" s="0" t="n">
        <v>1.22010808804006</v>
      </c>
      <c r="CH833" s="0" t="n">
        <v>1.83307698166838</v>
      </c>
      <c r="CI833" s="0" t="n">
        <v>0.602059991327962</v>
      </c>
      <c r="CJ833" s="0" t="n">
        <v>39.8544478326555</v>
      </c>
      <c r="CK833" s="0" t="n">
        <v>39.9333875133335</v>
      </c>
      <c r="CL833" s="0" t="n">
        <v>0.0789396806779834</v>
      </c>
      <c r="CM833" s="20" t="n">
        <f aca="false">(CL833)^2</f>
        <v>0.00623147318554199</v>
      </c>
      <c r="CN833" s="0" t="n">
        <v>1.22010808804006</v>
      </c>
      <c r="CO833" s="0" t="n">
        <v>1.83307698166838</v>
      </c>
      <c r="CP833" s="0" t="n">
        <v>0.602059991327962</v>
      </c>
      <c r="CQ833" s="0" t="n">
        <v>39.5288459661339</v>
      </c>
      <c r="CR833" s="0" t="n">
        <v>39.7399913960693</v>
      </c>
      <c r="CS833" s="0" t="n">
        <v>0.211145429935399</v>
      </c>
      <c r="CT833" s="20" t="n">
        <f aca="false">(CS833)^2</f>
        <v>0.0445823925826047</v>
      </c>
      <c r="CU833" s="0" t="n">
        <v>1.45788189673399</v>
      </c>
      <c r="CV833" s="0" t="n">
        <v>1.58987451511553</v>
      </c>
      <c r="CW833" s="0" t="n">
        <v>1.44715803134222</v>
      </c>
      <c r="CX833" s="0" t="n">
        <v>-0.142716483773315</v>
      </c>
      <c r="CY833" s="20" t="n">
        <f aca="false">(CX833)^2</f>
        <v>0.0203679947406188</v>
      </c>
    </row>
    <row r="834" customFormat="false" ht="12.8" hidden="false" customHeight="false" outlineLevel="0" collapsed="false">
      <c r="BZ834" s="0" t="n">
        <v>1.50514997831991</v>
      </c>
      <c r="CA834" s="0" t="n">
        <v>2.24498078176473</v>
      </c>
      <c r="CB834" s="0" t="n">
        <v>1.91907809237607</v>
      </c>
      <c r="CC834" s="0" t="n">
        <v>40.4162192190943</v>
      </c>
      <c r="CD834" s="0" t="n">
        <v>40.6295612869068</v>
      </c>
      <c r="CE834" s="0" t="n">
        <v>0.213342067812455</v>
      </c>
      <c r="CF834" s="20" t="n">
        <f aca="false">(CE834)^2</f>
        <v>0.0455148378984942</v>
      </c>
      <c r="CG834" s="0" t="n">
        <v>1.50514997831991</v>
      </c>
      <c r="CH834" s="0" t="n">
        <v>2.24498078176473</v>
      </c>
      <c r="CI834" s="0" t="n">
        <v>1.91907809237607</v>
      </c>
      <c r="CJ834" s="0" t="n">
        <v>40.7392798664984</v>
      </c>
      <c r="CK834" s="0" t="n">
        <v>40.9807675767649</v>
      </c>
      <c r="CL834" s="0" t="n">
        <v>0.241487710266462</v>
      </c>
      <c r="CM834" s="20" t="n">
        <f aca="false">(CL834)^2</f>
        <v>0.0583163142097386</v>
      </c>
      <c r="CN834" s="0" t="n">
        <v>1.50514997831991</v>
      </c>
      <c r="CO834" s="0" t="n">
        <v>2.24498078176473</v>
      </c>
      <c r="CP834" s="0" t="n">
        <v>1.91907809237607</v>
      </c>
      <c r="CQ834" s="0" t="n">
        <v>40.6519016164732</v>
      </c>
      <c r="CR834" s="0" t="n">
        <v>40.9807675767649</v>
      </c>
      <c r="CS834" s="0" t="n">
        <v>0.328865960291722</v>
      </c>
      <c r="CT834" s="20" t="n">
        <f aca="false">(CS834)^2</f>
        <v>0.108152819838597</v>
      </c>
      <c r="CU834" s="0" t="n">
        <v>1.39269695325967</v>
      </c>
      <c r="CV834" s="0" t="n">
        <v>1.62015525988348</v>
      </c>
      <c r="CW834" s="0" t="n">
        <v>1.55630250076729</v>
      </c>
      <c r="CX834" s="0" t="n">
        <v>-0.0638527591161946</v>
      </c>
      <c r="CY834" s="20" t="n">
        <f aca="false">(CX834)^2</f>
        <v>0.00407717484675077</v>
      </c>
    </row>
    <row r="835" customFormat="false" ht="12.8" hidden="false" customHeight="false" outlineLevel="0" collapsed="false">
      <c r="BZ835" s="0" t="n">
        <v>1.45788189673399</v>
      </c>
      <c r="CA835" s="0" t="n">
        <v>2.15959850059392</v>
      </c>
      <c r="CB835" s="0" t="n">
        <v>1.44715803134222</v>
      </c>
      <c r="CC835" s="0" t="n">
        <v>40.1321495097908</v>
      </c>
      <c r="CD835" s="0" t="n">
        <v>40.2970404904863</v>
      </c>
      <c r="CE835" s="0" t="n">
        <v>0.164890980695496</v>
      </c>
      <c r="CF835" s="20" t="n">
        <f aca="false">(CE835)^2</f>
        <v>0.0271890355147225</v>
      </c>
      <c r="CG835" s="0" t="n">
        <v>1.45788189673399</v>
      </c>
      <c r="CH835" s="0" t="n">
        <v>2.15959850059392</v>
      </c>
      <c r="CI835" s="0" t="n">
        <v>1.44715803134222</v>
      </c>
      <c r="CJ835" s="0" t="n">
        <v>40.5458847427892</v>
      </c>
      <c r="CK835" s="0" t="n">
        <v>40.7309227353314</v>
      </c>
      <c r="CL835" s="0" t="n">
        <v>0.185037992542242</v>
      </c>
      <c r="CM835" s="20" t="n">
        <f aca="false">(CL835)^2</f>
        <v>0.0342390586840627</v>
      </c>
      <c r="CN835" s="0" t="n">
        <v>1.45788189673399</v>
      </c>
      <c r="CO835" s="0" t="n">
        <v>2.15959850059392</v>
      </c>
      <c r="CP835" s="0" t="n">
        <v>1.44715803134222</v>
      </c>
      <c r="CQ835" s="0" t="n">
        <v>40.3997822239373</v>
      </c>
      <c r="CR835" s="0" t="n">
        <v>40.7309227353314</v>
      </c>
      <c r="CS835" s="0" t="n">
        <v>0.331140511394118</v>
      </c>
      <c r="CT835" s="20" t="n">
        <f aca="false">(CS835)^2</f>
        <v>0.109654038286358</v>
      </c>
      <c r="CU835" s="0" t="n">
        <v>1.50379068305718</v>
      </c>
      <c r="CV835" s="0" t="n">
        <v>1.56854823688065</v>
      </c>
      <c r="CW835" s="0" t="n">
        <v>1.79239168949825</v>
      </c>
      <c r="CX835" s="0" t="n">
        <v>0.223843452617604</v>
      </c>
      <c r="CY835" s="20" t="n">
        <f aca="false">(CX835)^2</f>
        <v>0.0501058912797697</v>
      </c>
    </row>
    <row r="836" customFormat="false" ht="12.8" hidden="false" customHeight="false" outlineLevel="0" collapsed="false">
      <c r="BZ836" s="0" t="n">
        <v>1.39269695325967</v>
      </c>
      <c r="CA836" s="0" t="n">
        <v>1.62445521813276</v>
      </c>
      <c r="CB836" s="0" t="n">
        <v>1.55630250076729</v>
      </c>
      <c r="CC836" s="0" t="n">
        <v>39.6007463598173</v>
      </c>
      <c r="CD836" s="0" t="n">
        <v>39.5808250944804</v>
      </c>
      <c r="CE836" s="0" t="n">
        <v>-0.0199212653368619</v>
      </c>
      <c r="CF836" s="20" t="n">
        <f aca="false">(CE836)^2</f>
        <v>0.000396856812621655</v>
      </c>
      <c r="CG836" s="0" t="n">
        <v>1.39269695325967</v>
      </c>
      <c r="CH836" s="0" t="n">
        <v>1.62445521813276</v>
      </c>
      <c r="CI836" s="0" t="n">
        <v>1.55630250076729</v>
      </c>
      <c r="CJ836" s="0" t="n">
        <v>40.1986033911271</v>
      </c>
      <c r="CK836" s="0" t="n">
        <v>40.2880850465456</v>
      </c>
      <c r="CL836" s="0" t="n">
        <v>0.0894816554184672</v>
      </c>
      <c r="CM836" s="20" t="n">
        <f aca="false">(CL836)^2</f>
        <v>0.0080069666564293</v>
      </c>
      <c r="CN836" s="0" t="n">
        <v>1.39269695325967</v>
      </c>
      <c r="CO836" s="0" t="n">
        <v>1.62445521813276</v>
      </c>
      <c r="CP836" s="0" t="n">
        <v>1.55630250076729</v>
      </c>
      <c r="CQ836" s="0" t="n">
        <v>39.9198340804143</v>
      </c>
      <c r="CR836" s="0" t="n">
        <v>39.4996349548837</v>
      </c>
      <c r="CS836" s="0" t="n">
        <v>-0.420199125530573</v>
      </c>
      <c r="CT836" s="20" t="n">
        <f aca="false">(CS836)^2</f>
        <v>0.176567305096658</v>
      </c>
      <c r="CU836" s="0" t="n">
        <v>1.76937732607614</v>
      </c>
      <c r="CV836" s="0" t="n">
        <v>1.44517371321933</v>
      </c>
      <c r="CW836" s="0" t="n">
        <v>0.954242509439325</v>
      </c>
      <c r="CX836" s="0" t="n">
        <v>-0.490931203780009</v>
      </c>
      <c r="CY836" s="20" t="n">
        <f aca="false">(CX836)^2</f>
        <v>0.241013446844889</v>
      </c>
    </row>
    <row r="837" customFormat="false" ht="12.8" hidden="false" customHeight="false" outlineLevel="0" collapsed="false">
      <c r="BZ837" s="0" t="n">
        <v>1.50379068305718</v>
      </c>
      <c r="CA837" s="0" t="n">
        <v>1.8596134656703</v>
      </c>
      <c r="CB837" s="0" t="n">
        <v>1.79239168949825</v>
      </c>
      <c r="CC837" s="0" t="n">
        <v>40.0702883604688</v>
      </c>
      <c r="CD837" s="0" t="n">
        <v>40.3643638589132</v>
      </c>
      <c r="CE837" s="0" t="n">
        <v>0.294075498444364</v>
      </c>
      <c r="CF837" s="20" t="n">
        <f aca="false">(CE837)^2</f>
        <v>0.0864803987853013</v>
      </c>
      <c r="CG837" s="0" t="n">
        <v>1.50379068305718</v>
      </c>
      <c r="CH837" s="0" t="n">
        <v>1.8596134656703</v>
      </c>
      <c r="CI837" s="0" t="n">
        <v>1.79239168949825</v>
      </c>
      <c r="CJ837" s="0" t="n">
        <v>40.5363296980547</v>
      </c>
      <c r="CK837" s="0" t="n">
        <v>41.0286745143046</v>
      </c>
      <c r="CL837" s="0" t="n">
        <v>0.492344816249869</v>
      </c>
      <c r="CM837" s="20" t="n">
        <f aca="false">(CL837)^2</f>
        <v>0.242403418088117</v>
      </c>
      <c r="CN837" s="0" t="n">
        <v>1.50379068305718</v>
      </c>
      <c r="CO837" s="0" t="n">
        <v>1.8596134656703</v>
      </c>
      <c r="CP837" s="0" t="n">
        <v>1.79239168949825</v>
      </c>
      <c r="CQ837" s="0" t="n">
        <v>40.3511512333792</v>
      </c>
      <c r="CR837" s="0" t="n">
        <v>40.3849932800756</v>
      </c>
      <c r="CS837" s="0" t="n">
        <v>0.0338420466964493</v>
      </c>
      <c r="CT837" s="20" t="n">
        <f aca="false">(CS837)^2</f>
        <v>0.00114528412460466</v>
      </c>
      <c r="CU837" s="0" t="n">
        <v>1.23044892137827</v>
      </c>
      <c r="CV837" s="0" t="n">
        <v>1.69552529137609</v>
      </c>
      <c r="CW837" s="0" t="n">
        <v>1.60205999132796</v>
      </c>
      <c r="CX837" s="0" t="n">
        <v>-0.0934653000481251</v>
      </c>
      <c r="CY837" s="20" t="n">
        <f aca="false">(CX837)^2</f>
        <v>0.00873576231308606</v>
      </c>
    </row>
    <row r="838" customFormat="false" ht="12.8" hidden="false" customHeight="false" outlineLevel="0" collapsed="false">
      <c r="BZ838" s="0" t="n">
        <v>1.76937732607614</v>
      </c>
      <c r="CA838" s="0" t="n">
        <v>2.46994216668405</v>
      </c>
      <c r="CB838" s="0" t="n">
        <v>0.954242509439325</v>
      </c>
      <c r="CC838" s="0" t="n">
        <v>40.8687059089666</v>
      </c>
      <c r="CD838" s="0" t="n">
        <v>41.0032839602938</v>
      </c>
      <c r="CE838" s="0" t="n">
        <v>0.134578051327225</v>
      </c>
      <c r="CF838" s="20" t="n">
        <f aca="false">(CE838)^2</f>
        <v>0.0181112518990331</v>
      </c>
      <c r="CG838" s="0" t="n">
        <v>1.76937732607614</v>
      </c>
      <c r="CH838" s="0" t="n">
        <v>2.46994216668405</v>
      </c>
      <c r="CI838" s="0" t="n">
        <v>0.954242509439325</v>
      </c>
      <c r="CJ838" s="0" t="n">
        <v>41.1526531550976</v>
      </c>
      <c r="CK838" s="0" t="n">
        <v>41.1844537060535</v>
      </c>
      <c r="CL838" s="0" t="n">
        <v>0.0318005509559498</v>
      </c>
      <c r="CM838" s="20" t="n">
        <f aca="false">(CL838)^2</f>
        <v>0.00101127504110196</v>
      </c>
      <c r="CN838" s="0" t="n">
        <v>1.76937732607614</v>
      </c>
      <c r="CO838" s="0" t="n">
        <v>2.46994216668405</v>
      </c>
      <c r="CP838" s="0" t="n">
        <v>0.954242509439325</v>
      </c>
      <c r="CQ838" s="0" t="n">
        <v>41.1181530123778</v>
      </c>
      <c r="CR838" s="0" t="n">
        <v>41.1844537060535</v>
      </c>
      <c r="CS838" s="0" t="n">
        <v>0.0663006936757213</v>
      </c>
      <c r="CT838" s="20" t="n">
        <f aca="false">(CS838)^2</f>
        <v>0.00439578198188184</v>
      </c>
      <c r="CU838" s="0" t="n">
        <v>1.24303804868629</v>
      </c>
      <c r="CV838" s="0" t="n">
        <v>1.68967719010381</v>
      </c>
      <c r="CW838" s="0" t="n">
        <v>2.11058971029925</v>
      </c>
      <c r="CX838" s="0" t="n">
        <v>0.420912520195441</v>
      </c>
      <c r="CY838" s="20" t="n">
        <f aca="false">(CX838)^2</f>
        <v>0.177167349657277</v>
      </c>
    </row>
    <row r="839" customFormat="false" ht="12.8" hidden="false" customHeight="false" outlineLevel="0" collapsed="false">
      <c r="BZ839" s="0" t="n">
        <v>1.23044892137827</v>
      </c>
      <c r="CA839" s="0" t="n">
        <v>1.82381405372363</v>
      </c>
      <c r="CB839" s="0" t="n">
        <v>1.60205999132796</v>
      </c>
      <c r="CC839" s="0" t="n">
        <v>39.4533564402057</v>
      </c>
      <c r="CD839" s="0" t="n">
        <v>39.4879266153321</v>
      </c>
      <c r="CE839" s="0" t="n">
        <v>0.0345701751263761</v>
      </c>
      <c r="CF839" s="20" t="n">
        <f aca="false">(CE839)^2</f>
        <v>0.00119509700826831</v>
      </c>
      <c r="CG839" s="0" t="n">
        <v>1.23044892137827</v>
      </c>
      <c r="CH839" s="0" t="n">
        <v>1.82381405372363</v>
      </c>
      <c r="CI839" s="0" t="n">
        <v>1.60205999132796</v>
      </c>
      <c r="CJ839" s="0" t="n">
        <v>40.0202546870877</v>
      </c>
      <c r="CK839" s="0" t="n">
        <v>39.8774043417796</v>
      </c>
      <c r="CL839" s="0" t="n">
        <v>-0.142850345308062</v>
      </c>
      <c r="CM839" s="20" t="n">
        <f aca="false">(CL839)^2</f>
        <v>0.0204062211546326</v>
      </c>
      <c r="CN839" s="0" t="n">
        <v>1.23044892137827</v>
      </c>
      <c r="CO839" s="0" t="n">
        <v>1.82381405372363</v>
      </c>
      <c r="CP839" s="0" t="n">
        <v>1.60205999132796</v>
      </c>
      <c r="CQ839" s="0" t="n">
        <v>39.7548786015476</v>
      </c>
      <c r="CR839" s="0" t="n">
        <v>39.4378067534722</v>
      </c>
      <c r="CS839" s="0" t="n">
        <v>-0.317071848075358</v>
      </c>
      <c r="CT839" s="20" t="n">
        <f aca="false">(CS839)^2</f>
        <v>0.100534556841923</v>
      </c>
      <c r="CU839" s="0" t="n">
        <v>1.3096301674259</v>
      </c>
      <c r="CV839" s="0" t="n">
        <v>1.65874276194241</v>
      </c>
      <c r="CW839" s="0" t="n">
        <v>1.70757017609794</v>
      </c>
      <c r="CX839" s="0" t="n">
        <v>0.0488274141555287</v>
      </c>
      <c r="CY839" s="20" t="n">
        <f aca="false">(CX839)^2</f>
        <v>0.00238411637311553</v>
      </c>
    </row>
    <row r="840" customFormat="false" ht="12.8" hidden="false" customHeight="false" outlineLevel="0" collapsed="false">
      <c r="BZ840" s="0" t="n">
        <v>1.24303804868629</v>
      </c>
      <c r="CA840" s="0" t="n">
        <v>1.94462288151652</v>
      </c>
      <c r="CB840" s="0" t="n">
        <v>2.11058971029925</v>
      </c>
      <c r="CC840" s="0" t="n">
        <v>39.7070763485075</v>
      </c>
      <c r="CD840" s="0" t="n">
        <v>39.8907352023789</v>
      </c>
      <c r="CE840" s="0" t="n">
        <v>0.183658853871393</v>
      </c>
      <c r="CF840" s="20" t="n">
        <f aca="false">(CE840)^2</f>
        <v>0.0337305746053535</v>
      </c>
      <c r="CG840" s="0" t="n">
        <v>1.24303804868629</v>
      </c>
      <c r="CH840" s="0" t="n">
        <v>1.94462288151652</v>
      </c>
      <c r="CI840" s="0" t="n">
        <v>2.11058971029925</v>
      </c>
      <c r="CJ840" s="0" t="n">
        <v>40.1762374814682</v>
      </c>
      <c r="CK840" s="0" t="n">
        <v>40.3666338830954</v>
      </c>
      <c r="CL840" s="0" t="n">
        <v>0.190396401627254</v>
      </c>
      <c r="CM840" s="20" t="n">
        <f aca="false">(CL840)^2</f>
        <v>0.0362507897526066</v>
      </c>
      <c r="CN840" s="0" t="n">
        <v>1.24303804868629</v>
      </c>
      <c r="CO840" s="0" t="n">
        <v>1.94462288151652</v>
      </c>
      <c r="CP840" s="0" t="n">
        <v>2.11058971029925</v>
      </c>
      <c r="CQ840" s="0" t="n">
        <v>39.9723850533221</v>
      </c>
      <c r="CR840" s="0" t="n">
        <v>40.0674853105121</v>
      </c>
      <c r="CS840" s="0" t="n">
        <v>0.0951002571900332</v>
      </c>
      <c r="CT840" s="20" t="n">
        <f aca="false">(CS840)^2</f>
        <v>0.00904405891761047</v>
      </c>
      <c r="CU840" s="0" t="n">
        <v>1.54900326202579</v>
      </c>
      <c r="CV840" s="0" t="n">
        <v>1.54754537193855</v>
      </c>
      <c r="CW840" s="0" t="n">
        <v>2</v>
      </c>
      <c r="CX840" s="0" t="n">
        <v>0.452454628061449</v>
      </c>
      <c r="CY840" s="20" t="n">
        <f aca="false">(CX840)^2</f>
        <v>0.204715190454224</v>
      </c>
    </row>
    <row r="841" customFormat="false" ht="12.8" hidden="false" customHeight="false" outlineLevel="0" collapsed="false">
      <c r="BZ841" s="0" t="n">
        <v>1.3096301674259</v>
      </c>
      <c r="CA841" s="0" t="n">
        <v>1.91210243315721</v>
      </c>
      <c r="CB841" s="0" t="n">
        <v>1.70757017609794</v>
      </c>
      <c r="CC841" s="0" t="n">
        <v>39.7078771610703</v>
      </c>
      <c r="CD841" s="0" t="n">
        <v>39.8855611883631</v>
      </c>
      <c r="CE841" s="0" t="n">
        <v>0.177684027292763</v>
      </c>
      <c r="CF841" s="20" t="n">
        <f aca="false">(CE841)^2</f>
        <v>0.0315716135549753</v>
      </c>
      <c r="CG841" s="0" t="n">
        <v>1.3096301674259</v>
      </c>
      <c r="CH841" s="0" t="n">
        <v>1.91210243315721</v>
      </c>
      <c r="CI841" s="0" t="n">
        <v>1.70757017609794</v>
      </c>
      <c r="CJ841" s="0" t="n">
        <v>40.2140854314507</v>
      </c>
      <c r="CK841" s="0" t="n">
        <v>40.3210963526474</v>
      </c>
      <c r="CL841" s="0" t="n">
        <v>0.107010921196746</v>
      </c>
      <c r="CM841" s="20" t="n">
        <f aca="false">(CL841)^2</f>
        <v>0.0114513372553762</v>
      </c>
      <c r="CN841" s="0" t="n">
        <v>1.3096301674259</v>
      </c>
      <c r="CO841" s="0" t="n">
        <v>1.91210243315721</v>
      </c>
      <c r="CP841" s="0" t="n">
        <v>1.70757017609794</v>
      </c>
      <c r="CQ841" s="0" t="n">
        <v>39.9931426409196</v>
      </c>
      <c r="CR841" s="0" t="n">
        <v>40.3210963526474</v>
      </c>
      <c r="CS841" s="0" t="n">
        <v>0.32795371172778</v>
      </c>
      <c r="CT841" s="20" t="n">
        <f aca="false">(CS841)^2</f>
        <v>0.107553637036028</v>
      </c>
      <c r="CU841" s="0" t="n">
        <v>1.38021124171161</v>
      </c>
      <c r="CV841" s="0" t="n">
        <v>1.6259553208252</v>
      </c>
      <c r="CW841" s="0" t="n">
        <v>0.698970004336019</v>
      </c>
      <c r="CX841" s="0" t="n">
        <v>-0.926985316489177</v>
      </c>
      <c r="CY841" s="20" t="n">
        <f aca="false">(CX841)^2</f>
        <v>0.859301776986539</v>
      </c>
    </row>
    <row r="842" customFormat="false" ht="12.8" hidden="false" customHeight="false" outlineLevel="0" collapsed="false">
      <c r="BZ842" s="0" t="n">
        <v>1.54900326202579</v>
      </c>
      <c r="CA842" s="0" t="n">
        <v>2.04195187164556</v>
      </c>
      <c r="CB842" s="0" t="n">
        <v>2</v>
      </c>
      <c r="CC842" s="0" t="n">
        <v>40.3600337385182</v>
      </c>
      <c r="CD842" s="0" t="n">
        <v>40.8602418490241</v>
      </c>
      <c r="CE842" s="0" t="n">
        <v>0.500208110505916</v>
      </c>
      <c r="CF842" s="20" t="n">
        <f aca="false">(CE842)^2</f>
        <v>0.250208153815899</v>
      </c>
      <c r="CG842" s="0" t="n">
        <v>1.54900326202579</v>
      </c>
      <c r="CH842" s="0" t="n">
        <v>2.04195187164556</v>
      </c>
      <c r="CI842" s="0" t="n">
        <v>2</v>
      </c>
      <c r="CJ842" s="0" t="n">
        <v>40.7315300738569</v>
      </c>
      <c r="CK842" s="0" t="n">
        <v>41.2889669095893</v>
      </c>
      <c r="CL842" s="0" t="n">
        <v>0.557436835732354</v>
      </c>
      <c r="CM842" s="20" t="n">
        <f aca="false">(CL842)^2</f>
        <v>0.310735825831299</v>
      </c>
      <c r="CN842" s="0" t="n">
        <v>1.54900326202579</v>
      </c>
      <c r="CO842" s="0" t="n">
        <v>2.04195187164556</v>
      </c>
      <c r="CP842" s="0" t="n">
        <v>2</v>
      </c>
      <c r="CQ842" s="0" t="n">
        <v>40.6113509490335</v>
      </c>
      <c r="CR842" s="0" t="n">
        <v>40.7432526092177</v>
      </c>
      <c r="CS842" s="0" t="n">
        <v>0.131901660184234</v>
      </c>
      <c r="CT842" s="20" t="n">
        <f aca="false">(CS842)^2</f>
        <v>0.017398047959357</v>
      </c>
      <c r="CU842" s="0" t="n">
        <v>1.41161970596323</v>
      </c>
      <c r="CV842" s="0" t="n">
        <v>1.61136496239478</v>
      </c>
      <c r="CW842" s="0" t="n">
        <v>1.04139268515823</v>
      </c>
      <c r="CX842" s="0" t="n">
        <v>-0.569972277236552</v>
      </c>
      <c r="CY842" s="20" t="n">
        <f aca="false">(CX842)^2</f>
        <v>0.324868396818221</v>
      </c>
    </row>
    <row r="843" customFormat="false" ht="12.8" hidden="false" customHeight="false" outlineLevel="0" collapsed="false">
      <c r="BZ843" s="0" t="n">
        <v>1.38021124171161</v>
      </c>
      <c r="CA843" s="0" t="n">
        <v>2.02175318417612</v>
      </c>
      <c r="CB843" s="0" t="n">
        <v>0.698970004336019</v>
      </c>
      <c r="CC843" s="0" t="n">
        <v>39.674400283512</v>
      </c>
      <c r="CD843" s="0" t="n">
        <v>39.5307026003539</v>
      </c>
      <c r="CE843" s="0" t="n">
        <v>-0.143697683158074</v>
      </c>
      <c r="CF843" s="20" t="n">
        <f aca="false">(CE843)^2</f>
        <v>0.0206490241449981</v>
      </c>
      <c r="CG843" s="0" t="n">
        <v>1.38021124171161</v>
      </c>
      <c r="CH843" s="0" t="n">
        <v>2.02175318417612</v>
      </c>
      <c r="CI843" s="0" t="n">
        <v>0.698970004336019</v>
      </c>
      <c r="CJ843" s="0" t="n">
        <v>40.2334087112894</v>
      </c>
      <c r="CK843" s="0" t="n">
        <v>40.3112205857885</v>
      </c>
      <c r="CL843" s="0" t="n">
        <v>0.0778118744990692</v>
      </c>
      <c r="CM843" s="20" t="n">
        <f aca="false">(CL843)^2</f>
        <v>0.0060546878130589</v>
      </c>
      <c r="CN843" s="0" t="n">
        <v>1.38021124171161</v>
      </c>
      <c r="CO843" s="0" t="n">
        <v>2.02175318417612</v>
      </c>
      <c r="CP843" s="0" t="n">
        <v>0.698970004336019</v>
      </c>
      <c r="CQ843" s="0" t="n">
        <v>39.9930221327207</v>
      </c>
      <c r="CR843" s="0" t="n">
        <v>39.8411325938</v>
      </c>
      <c r="CS843" s="0" t="n">
        <v>-0.151889538920713</v>
      </c>
      <c r="CT843" s="20" t="n">
        <f aca="false">(CS843)^2</f>
        <v>0.0230704320335468</v>
      </c>
      <c r="CU843" s="0" t="n">
        <v>1.24797326636181</v>
      </c>
      <c r="CV843" s="0" t="n">
        <v>1.68738460444152</v>
      </c>
      <c r="CW843" s="0" t="n">
        <v>1.69019608002851</v>
      </c>
      <c r="CX843" s="0" t="n">
        <v>0.00281147558699479</v>
      </c>
      <c r="CY843" s="20" t="n">
        <f aca="false">(CX843)^2</f>
        <v>7.90439497626772E-006</v>
      </c>
    </row>
    <row r="844" customFormat="false" ht="12.8" hidden="false" customHeight="false" outlineLevel="0" collapsed="false">
      <c r="BZ844" s="0" t="n">
        <v>1.41161970596323</v>
      </c>
      <c r="CA844" s="0" t="n">
        <v>2.07570236963626</v>
      </c>
      <c r="CB844" s="0" t="n">
        <v>1.04139268515823</v>
      </c>
      <c r="CC844" s="0" t="n">
        <v>39.86837632207</v>
      </c>
      <c r="CD844" s="0" t="n">
        <v>39.4259659076773</v>
      </c>
      <c r="CE844" s="0" t="n">
        <v>-0.442410414392661</v>
      </c>
      <c r="CF844" s="20" t="n">
        <f aca="false">(CE844)^2</f>
        <v>0.195726974763086</v>
      </c>
      <c r="CG844" s="0" t="n">
        <v>1.41161970596323</v>
      </c>
      <c r="CH844" s="0" t="n">
        <v>2.07570236963626</v>
      </c>
      <c r="CI844" s="0" t="n">
        <v>1.04139268515823</v>
      </c>
      <c r="CJ844" s="0" t="n">
        <v>40.3649996192452</v>
      </c>
      <c r="CK844" s="0" t="n">
        <v>39.794334988839</v>
      </c>
      <c r="CL844" s="0" t="n">
        <v>-0.57066463040622</v>
      </c>
      <c r="CM844" s="20" t="n">
        <f aca="false">(CL844)^2</f>
        <v>0.325658120396668</v>
      </c>
      <c r="CN844" s="0" t="n">
        <v>1.41161970596323</v>
      </c>
      <c r="CO844" s="0" t="n">
        <v>2.07570236963626</v>
      </c>
      <c r="CP844" s="0" t="n">
        <v>1.04139268515823</v>
      </c>
      <c r="CQ844" s="0" t="n">
        <v>40.1647177386442</v>
      </c>
      <c r="CR844" s="0" t="n">
        <v>39.794334988839</v>
      </c>
      <c r="CS844" s="0" t="n">
        <v>-0.370382749805152</v>
      </c>
      <c r="CT844" s="20" t="n">
        <f aca="false">(CS844)^2</f>
        <v>0.137183381353226</v>
      </c>
      <c r="CU844" s="0" t="n">
        <v>1.3541084391474</v>
      </c>
      <c r="CV844" s="0" t="n">
        <v>1.63808100906003</v>
      </c>
      <c r="CW844" s="0" t="n">
        <v>1.46239799789896</v>
      </c>
      <c r="CX844" s="0" t="n">
        <v>-0.175683011161072</v>
      </c>
      <c r="CY844" s="20" t="n">
        <f aca="false">(CX844)^2</f>
        <v>0.0308645204106213</v>
      </c>
    </row>
    <row r="845" customFormat="false" ht="12.8" hidden="false" customHeight="false" outlineLevel="0" collapsed="false">
      <c r="BZ845" s="0" t="n">
        <v>1.24797326636181</v>
      </c>
      <c r="CA845" s="0" t="n">
        <v>1.58373370004733</v>
      </c>
      <c r="CB845" s="0" t="n">
        <v>1.69019608002851</v>
      </c>
      <c r="CC845" s="0" t="n">
        <v>39.3172838886333</v>
      </c>
      <c r="CD845" s="0" t="n">
        <v>39.3876198532141</v>
      </c>
      <c r="CE845" s="0" t="n">
        <v>0.0703359645807637</v>
      </c>
      <c r="CF845" s="20" t="n">
        <f aca="false">(CE845)^2</f>
        <v>0.00494714791350645</v>
      </c>
      <c r="CG845" s="0" t="n">
        <v>1.24797326636181</v>
      </c>
      <c r="CH845" s="0" t="n">
        <v>1.58373370004733</v>
      </c>
      <c r="CI845" s="0" t="n">
        <v>1.69019608002851</v>
      </c>
      <c r="CJ845" s="0" t="n">
        <v>39.9508784647665</v>
      </c>
      <c r="CK845" s="0" t="n">
        <v>39.9396196552323</v>
      </c>
      <c r="CL845" s="0" t="n">
        <v>-0.0112588095341977</v>
      </c>
      <c r="CM845" s="20" t="n">
        <f aca="false">(CL845)^2</f>
        <v>0.00012676079212734</v>
      </c>
      <c r="CN845" s="0" t="n">
        <v>1.24797326636181</v>
      </c>
      <c r="CO845" s="0" t="n">
        <v>1.58373370004733</v>
      </c>
      <c r="CP845" s="0" t="n">
        <v>1.69019608002851</v>
      </c>
      <c r="CQ845" s="0" t="n">
        <v>39.6386742589997</v>
      </c>
      <c r="CR845" s="0" t="n">
        <v>39.6143001977675</v>
      </c>
      <c r="CS845" s="0" t="n">
        <v>-0.0243740612322014</v>
      </c>
      <c r="CT845" s="20" t="n">
        <f aca="false">(CS845)^2</f>
        <v>0.000594094860951105</v>
      </c>
      <c r="CU845" s="0" t="n">
        <v>1.20682587603185</v>
      </c>
      <c r="CV845" s="0" t="n">
        <v>1.70649904342142</v>
      </c>
      <c r="CW845" s="0" t="n">
        <v>1.64345267648619</v>
      </c>
      <c r="CX845" s="0" t="n">
        <v>-0.0630463669352341</v>
      </c>
      <c r="CY845" s="20" t="n">
        <f aca="false">(CX845)^2</f>
        <v>0.00397484438373218</v>
      </c>
    </row>
    <row r="846" customFormat="false" ht="12.8" hidden="false" customHeight="false" outlineLevel="0" collapsed="false">
      <c r="BZ846" s="0" t="n">
        <v>1.3541084391474</v>
      </c>
      <c r="CA846" s="0" t="n">
        <v>2.07441923117618</v>
      </c>
      <c r="CB846" s="0" t="n">
        <v>1.46239799789896</v>
      </c>
      <c r="CC846" s="0" t="n">
        <v>39.8628962164188</v>
      </c>
      <c r="CD846" s="0" t="n">
        <v>39.7992940202333</v>
      </c>
      <c r="CE846" s="0" t="n">
        <v>-0.063602196185478</v>
      </c>
      <c r="CF846" s="20" t="n">
        <f aca="false">(CE846)^2</f>
        <v>0.00404523935961603</v>
      </c>
      <c r="CG846" s="0" t="n">
        <v>1.3541084391474</v>
      </c>
      <c r="CH846" s="0" t="n">
        <v>2.07441923117618</v>
      </c>
      <c r="CI846" s="0" t="n">
        <v>1.46239799789896</v>
      </c>
      <c r="CJ846" s="0" t="n">
        <v>40.329610129916</v>
      </c>
      <c r="CK846" s="0" t="n">
        <v>40.5671950296227</v>
      </c>
      <c r="CL846" s="0" t="n">
        <v>0.237584899706754</v>
      </c>
      <c r="CM846" s="20" t="n">
        <f aca="false">(CL846)^2</f>
        <v>0.0564465845686681</v>
      </c>
      <c r="CN846" s="0" t="n">
        <v>1.3541084391474</v>
      </c>
      <c r="CO846" s="0" t="n">
        <v>2.07441923117618</v>
      </c>
      <c r="CP846" s="0" t="n">
        <v>1.46239799789896</v>
      </c>
      <c r="CQ846" s="0" t="n">
        <v>40.1416218481701</v>
      </c>
      <c r="CR846" s="0" t="n">
        <v>40.5671950296227</v>
      </c>
      <c r="CS846" s="0" t="n">
        <v>0.42557318145257</v>
      </c>
      <c r="CT846" s="20" t="n">
        <f aca="false">(CS846)^2</f>
        <v>0.181112532771662</v>
      </c>
      <c r="CU846" s="0" t="n">
        <v>1.09691001300806</v>
      </c>
      <c r="CV846" s="0" t="n">
        <v>1.75755890505164</v>
      </c>
      <c r="CW846" s="0" t="n">
        <v>2.19033169817029</v>
      </c>
      <c r="CX846" s="0" t="n">
        <v>0.432772793118648</v>
      </c>
      <c r="CY846" s="20" t="n">
        <f aca="false">(CX846)^2</f>
        <v>0.187292290463716</v>
      </c>
    </row>
    <row r="847" customFormat="false" ht="12.8" hidden="false" customHeight="false" outlineLevel="0" collapsed="false">
      <c r="BZ847" s="0" t="n">
        <v>1.20682587603185</v>
      </c>
      <c r="CA847" s="0" t="n">
        <v>1.91822534255641</v>
      </c>
      <c r="CB847" s="0" t="n">
        <v>1.64345267648619</v>
      </c>
      <c r="CC847" s="0" t="n">
        <v>39.4935603617794</v>
      </c>
      <c r="CD847" s="0" t="n">
        <v>39.5414546476421</v>
      </c>
      <c r="CE847" s="0" t="n">
        <v>0.0478942858627178</v>
      </c>
      <c r="CF847" s="20" t="n">
        <f aca="false">(CE847)^2</f>
        <v>0.00229386261829973</v>
      </c>
      <c r="CG847" s="0" t="n">
        <v>1.20682587603185</v>
      </c>
      <c r="CH847" s="0" t="n">
        <v>1.91822534255641</v>
      </c>
      <c r="CI847" s="0" t="n">
        <v>1.64345267648619</v>
      </c>
      <c r="CJ847" s="0" t="n">
        <v>40.0303418479939</v>
      </c>
      <c r="CK847" s="0" t="n">
        <v>39.9994654634455</v>
      </c>
      <c r="CL847" s="0" t="n">
        <v>-0.0308763845483924</v>
      </c>
      <c r="CM847" s="20" t="n">
        <f aca="false">(CL847)^2</f>
        <v>0.000953351122780203</v>
      </c>
      <c r="CN847" s="0" t="n">
        <v>1.20682587603185</v>
      </c>
      <c r="CO847" s="0" t="n">
        <v>1.91822534255641</v>
      </c>
      <c r="CP847" s="0" t="n">
        <v>1.64345267648619</v>
      </c>
      <c r="CQ847" s="0" t="n">
        <v>39.7842539889867</v>
      </c>
      <c r="CR847" s="0" t="n">
        <v>39.4317743737488</v>
      </c>
      <c r="CS847" s="0" t="n">
        <v>-0.352479615237861</v>
      </c>
      <c r="CT847" s="20" t="n">
        <f aca="false">(CS847)^2</f>
        <v>0.124241879158231</v>
      </c>
      <c r="CU847" s="0" t="n">
        <v>1.28330122870355</v>
      </c>
      <c r="CV847" s="0" t="n">
        <v>1.67097349853539</v>
      </c>
      <c r="CW847" s="0" t="n">
        <v>1.86923171973098</v>
      </c>
      <c r="CX847" s="0" t="n">
        <v>0.198258221195592</v>
      </c>
      <c r="CY847" s="20" t="n">
        <f aca="false">(CX847)^2</f>
        <v>0.0393063222716403</v>
      </c>
    </row>
    <row r="848" customFormat="false" ht="12.8" hidden="false" customHeight="false" outlineLevel="0" collapsed="false">
      <c r="BZ848" s="0" t="n">
        <v>1.09691001300806</v>
      </c>
      <c r="CA848" s="0" t="n">
        <v>1.53606284006086</v>
      </c>
      <c r="CB848" s="0" t="n">
        <v>2.19033169817029</v>
      </c>
      <c r="CC848" s="0" t="n">
        <v>39.1104833703049</v>
      </c>
      <c r="CD848" s="0" t="n">
        <v>39.2951320767752</v>
      </c>
      <c r="CE848" s="0" t="n">
        <v>0.184648706470327</v>
      </c>
      <c r="CF848" s="20" t="n">
        <f aca="false">(CE848)^2</f>
        <v>0.0340951448011649</v>
      </c>
      <c r="CG848" s="0" t="n">
        <v>1.09691001300806</v>
      </c>
      <c r="CH848" s="0" t="n">
        <v>1.53606284006086</v>
      </c>
      <c r="CI848" s="0" t="n">
        <v>2.19033169817029</v>
      </c>
      <c r="CJ848" s="0" t="n">
        <v>39.7447843693323</v>
      </c>
      <c r="CK848" s="0" t="n">
        <v>39.8338814731209</v>
      </c>
      <c r="CL848" s="0" t="n">
        <v>0.089097103788589</v>
      </c>
      <c r="CM848" s="20" t="n">
        <f aca="false">(CL848)^2</f>
        <v>0.00793829390351461</v>
      </c>
      <c r="CN848" s="0" t="n">
        <v>1.09691001300806</v>
      </c>
      <c r="CO848" s="0" t="n">
        <v>1.53606284006086</v>
      </c>
      <c r="CP848" s="0" t="n">
        <v>2.19033169817029</v>
      </c>
      <c r="CQ848" s="0" t="n">
        <v>39.4181348314201</v>
      </c>
      <c r="CR848" s="0" t="n">
        <v>39.7495605874209</v>
      </c>
      <c r="CS848" s="0" t="n">
        <v>0.331425756000762</v>
      </c>
      <c r="CT848" s="20" t="n">
        <f aca="false">(CS848)^2</f>
        <v>0.109843031740677</v>
      </c>
      <c r="CU848" s="0" t="n">
        <v>1.23552844690755</v>
      </c>
      <c r="CV848" s="0" t="n">
        <v>1.69316566953864</v>
      </c>
      <c r="CW848" s="0" t="n">
        <v>1.27875360095283</v>
      </c>
      <c r="CX848" s="0" t="n">
        <v>-0.414412068585813</v>
      </c>
      <c r="CY848" s="20" t="n">
        <f aca="false">(CX848)^2</f>
        <v>0.171737362589573</v>
      </c>
    </row>
    <row r="849" customFormat="false" ht="12.8" hidden="false" customHeight="false" outlineLevel="0" collapsed="false">
      <c r="BZ849" s="0" t="n">
        <v>1.28330122870355</v>
      </c>
      <c r="CA849" s="0" t="n">
        <v>1.58559671011752</v>
      </c>
      <c r="CB849" s="0" t="n">
        <v>1.86923171973098</v>
      </c>
      <c r="CC849" s="0" t="n">
        <v>39.4347497265716</v>
      </c>
      <c r="CD849" s="0" t="n">
        <v>39.0423920343584</v>
      </c>
      <c r="CE849" s="0" t="n">
        <v>-0.392357692213182</v>
      </c>
      <c r="CF849" s="20" t="n">
        <f aca="false">(CE849)^2</f>
        <v>0.153944558638854</v>
      </c>
      <c r="CG849" s="0" t="n">
        <v>1.28330122870355</v>
      </c>
      <c r="CH849" s="0" t="n">
        <v>1.58559671011752</v>
      </c>
      <c r="CI849" s="0" t="n">
        <v>1.86923171973098</v>
      </c>
      <c r="CJ849" s="0" t="n">
        <v>40.0398103654577</v>
      </c>
      <c r="CK849" s="0" t="n">
        <v>39.4843141944881</v>
      </c>
      <c r="CL849" s="0" t="n">
        <v>-0.555496170969633</v>
      </c>
      <c r="CM849" s="20" t="n">
        <f aca="false">(CL849)^2</f>
        <v>0.308575995961924</v>
      </c>
      <c r="CN849" s="0" t="n">
        <v>1.28330122870355</v>
      </c>
      <c r="CO849" s="0" t="n">
        <v>1.58559671011752</v>
      </c>
      <c r="CP849" s="0" t="n">
        <v>1.86923171973098</v>
      </c>
      <c r="CQ849" s="0" t="n">
        <v>39.7466083855887</v>
      </c>
      <c r="CR849" s="0" t="n">
        <v>39.4843141944881</v>
      </c>
      <c r="CS849" s="0" t="n">
        <v>-0.262294191100608</v>
      </c>
      <c r="CT849" s="20" t="n">
        <f aca="false">(CS849)^2</f>
        <v>0.0687982426851223</v>
      </c>
      <c r="CU849" s="0" t="n">
        <v>1.22788670461367</v>
      </c>
      <c r="CV849" s="0" t="n">
        <v>1.69671553298333</v>
      </c>
      <c r="CW849" s="0" t="n">
        <v>2.72835378202123</v>
      </c>
      <c r="CX849" s="0" t="n">
        <v>1.0316382490379</v>
      </c>
      <c r="CY849" s="20" t="n">
        <f aca="false">(CX849)^2</f>
        <v>1.06427747687799</v>
      </c>
    </row>
    <row r="850" customFormat="false" ht="12.8" hidden="false" customHeight="false" outlineLevel="0" collapsed="false">
      <c r="BZ850" s="0" t="n">
        <v>1.23552844690755</v>
      </c>
      <c r="CA850" s="0" t="n">
        <v>1.92192076742725</v>
      </c>
      <c r="CB850" s="0" t="n">
        <v>1.27875360095283</v>
      </c>
      <c r="CC850" s="0" t="n">
        <v>39.4587608150368</v>
      </c>
      <c r="CD850" s="0" t="n">
        <v>39.7584397069598</v>
      </c>
      <c r="CE850" s="0" t="n">
        <v>0.299678891922966</v>
      </c>
      <c r="CF850" s="20" t="n">
        <f aca="false">(CE850)^2</f>
        <v>0.0898074382641766</v>
      </c>
      <c r="CG850" s="0" t="n">
        <v>1.23552844690755</v>
      </c>
      <c r="CH850" s="0" t="n">
        <v>1.92192076742725</v>
      </c>
      <c r="CI850" s="0" t="n">
        <v>1.27875360095283</v>
      </c>
      <c r="CJ850" s="0" t="n">
        <v>40.0258863274097</v>
      </c>
      <c r="CK850" s="0" t="n">
        <v>40.1263375099171</v>
      </c>
      <c r="CL850" s="0" t="n">
        <v>0.100451182507399</v>
      </c>
      <c r="CM850" s="20" t="n">
        <f aca="false">(CL850)^2</f>
        <v>0.0100904400671348</v>
      </c>
      <c r="CN850" s="0" t="n">
        <v>1.23552844690755</v>
      </c>
      <c r="CO850" s="0" t="n">
        <v>1.92192076742725</v>
      </c>
      <c r="CP850" s="0" t="n">
        <v>1.27875360095283</v>
      </c>
      <c r="CQ850" s="0" t="n">
        <v>39.7650848841785</v>
      </c>
      <c r="CR850" s="0" t="n">
        <v>39.9044887603007</v>
      </c>
      <c r="CS850" s="0" t="n">
        <v>0.139403876122188</v>
      </c>
      <c r="CT850" s="20" t="n">
        <f aca="false">(CS850)^2</f>
        <v>0.0194334406778903</v>
      </c>
      <c r="CY850" s="0" t="n">
        <f aca="false">SQRT(SUM(CY812:CY849)/38)</f>
        <v>0.427376154906512</v>
      </c>
    </row>
    <row r="851" customFormat="false" ht="12.8" hidden="false" customHeight="false" outlineLevel="0" collapsed="false">
      <c r="BS851" s="14"/>
      <c r="BZ851" s="14" t="n">
        <v>1.22788670461367</v>
      </c>
      <c r="CA851" s="0" t="n">
        <v>1.75461831766389</v>
      </c>
      <c r="CB851" s="0" t="n">
        <v>2.72835378202123</v>
      </c>
      <c r="CC851" s="0" t="n">
        <v>39.6839643323606</v>
      </c>
      <c r="CD851" s="0" t="n">
        <v>39.0217644408478</v>
      </c>
      <c r="CE851" s="0" t="n">
        <v>-0.662199891512827</v>
      </c>
      <c r="CF851" s="20" t="n">
        <f aca="false">(CE851)^2</f>
        <v>0.4385086963196</v>
      </c>
      <c r="CG851" s="14" t="n">
        <v>1.22788670461367</v>
      </c>
      <c r="CH851" s="0" t="n">
        <v>1.75461831766389</v>
      </c>
      <c r="CI851" s="0" t="n">
        <v>2.72835378202123</v>
      </c>
      <c r="CJ851" s="0" t="n">
        <v>40.1549112653718</v>
      </c>
      <c r="CK851" s="0" t="n">
        <v>39.7989606416723</v>
      </c>
      <c r="CL851" s="0" t="n">
        <v>-0.355950623699457</v>
      </c>
      <c r="CM851" s="20" t="n">
        <f aca="false">(CL851)^2</f>
        <v>0.126700846512032</v>
      </c>
      <c r="CN851" s="14" t="n">
        <v>1.22788670461367</v>
      </c>
      <c r="CO851" s="0" t="n">
        <v>1.75461831766389</v>
      </c>
      <c r="CP851" s="0" t="n">
        <v>2.72835378202123</v>
      </c>
      <c r="CQ851" s="0" t="n">
        <v>39.9405206216367</v>
      </c>
      <c r="CR851" s="0" t="n">
        <v>39.4018526150208</v>
      </c>
      <c r="CS851" s="0" t="n">
        <v>-0.538668006615893</v>
      </c>
      <c r="CT851" s="20" t="n">
        <f aca="false">(CS851)^2</f>
        <v>0.29016322135154</v>
      </c>
    </row>
    <row r="852" customFormat="false" ht="12.8" hidden="false" customHeight="false" outlineLevel="0" collapsed="false">
      <c r="CF852" s="0" t="n">
        <f aca="false">SQRT(SUM(CF814:CF851)/38)</f>
        <v>0.255520155928181</v>
      </c>
      <c r="CM852" s="0" t="n">
        <f aca="false">SQRT(SUM(CM814:CM851)/38)</f>
        <v>0.340272839205891</v>
      </c>
      <c r="CT852" s="0" t="n">
        <f aca="false">SQRT(SUM(CT814:CT851)/38)</f>
        <v>0.304130762034871</v>
      </c>
    </row>
    <row r="853" customFormat="false" ht="12.8" hidden="false" customHeight="false" outlineLevel="0" collapsed="false">
      <c r="BZ853" s="0" t="s">
        <v>554</v>
      </c>
    </row>
    <row r="854" customFormat="false" ht="12.8" hidden="false" customHeight="false" outlineLevel="0" collapsed="false">
      <c r="BZ854" s="0" t="s">
        <v>78</v>
      </c>
      <c r="CA854" s="0" t="s">
        <v>79</v>
      </c>
    </row>
    <row r="856" customFormat="false" ht="12.8" hidden="false" customHeight="false" outlineLevel="0" collapsed="false">
      <c r="BZ856" s="0" t="s">
        <v>84</v>
      </c>
    </row>
    <row r="857" customFormat="false" ht="12.8" hidden="false" customHeight="false" outlineLevel="0" collapsed="false">
      <c r="BZ857" s="0" t="n">
        <f aca="false" t="array" ref="BZ857:CA861">LINEST($BF$3:$BF$41 , $BE$53:$BE$91 , 1 , 1)</f>
        <v>-0.0505281175702745</v>
      </c>
      <c r="CA857" s="0" t="n">
        <v>39.9316209104012</v>
      </c>
    </row>
    <row r="858" customFormat="false" ht="12.8" hidden="false" customHeight="false" outlineLevel="0" collapsed="false">
      <c r="BZ858" s="0" t="n">
        <v>0.19182547920582</v>
      </c>
      <c r="CA858" s="0" t="n">
        <v>0.31936755910808</v>
      </c>
    </row>
    <row r="859" customFormat="false" ht="12.8" hidden="false" customHeight="false" outlineLevel="0" collapsed="false">
      <c r="BZ859" s="0" t="n">
        <v>0.00187170885737121</v>
      </c>
      <c r="CA859" s="0" t="n">
        <v>0.495150145703583</v>
      </c>
    </row>
    <row r="860" customFormat="false" ht="12.8" hidden="false" customHeight="false" outlineLevel="0" collapsed="false">
      <c r="BZ860" s="0" t="n">
        <v>0.0693830926718405</v>
      </c>
      <c r="CA860" s="0" t="n">
        <v>37</v>
      </c>
    </row>
    <row r="861" customFormat="false" ht="12.8" hidden="false" customHeight="false" outlineLevel="0" collapsed="false">
      <c r="BZ861" s="0" t="n">
        <v>0.0170109072436049</v>
      </c>
      <c r="CA861" s="0" t="n">
        <v>9.07142567124036</v>
      </c>
    </row>
    <row r="863" customFormat="false" ht="12.8" hidden="false" customHeight="false" outlineLevel="0" collapsed="false">
      <c r="BZ863" s="0" t="s">
        <v>100</v>
      </c>
    </row>
    <row r="864" customFormat="false" ht="12.8" hidden="false" customHeight="false" outlineLevel="0" collapsed="false">
      <c r="BZ864" s="0" t="s">
        <v>103</v>
      </c>
      <c r="CA864" s="0" t="n">
        <f aca="false">$BZ$859</f>
        <v>0.00187170885737121</v>
      </c>
    </row>
    <row r="865" customFormat="false" ht="12.8" hidden="false" customHeight="false" outlineLevel="0" collapsed="false">
      <c r="BZ865" s="0" t="s">
        <v>106</v>
      </c>
      <c r="CA865" s="0" t="n">
        <f aca="false">$CA$859</f>
        <v>0.495150145703583</v>
      </c>
    </row>
    <row r="866" customFormat="false" ht="12.8" hidden="false" customHeight="false" outlineLevel="0" collapsed="false">
      <c r="BZ866" s="0" t="s">
        <v>109</v>
      </c>
      <c r="CA866" s="0" t="n">
        <f aca="false">1</f>
        <v>1</v>
      </c>
    </row>
    <row r="867" customFormat="false" ht="12.8" hidden="false" customHeight="false" outlineLevel="0" collapsed="false">
      <c r="BZ867" s="0" t="s">
        <v>112</v>
      </c>
      <c r="CA867" s="0" t="n">
        <f aca="false">39</f>
        <v>39</v>
      </c>
    </row>
    <row r="868" customFormat="false" ht="12.8" hidden="false" customHeight="false" outlineLevel="0" collapsed="false">
      <c r="BZ868" s="0" t="s">
        <v>115</v>
      </c>
      <c r="CA868" s="0" t="n">
        <f aca="false">1 - (1 - $BZ$859)*($CA$867 - 1)/($CA$867 - $CA$866 - 1)</f>
        <v>-0.0251047314437809</v>
      </c>
    </row>
    <row r="870" customFormat="false" ht="12.8" hidden="false" customHeight="false" outlineLevel="0" collapsed="false">
      <c r="BZ870" s="0" t="s">
        <v>120</v>
      </c>
    </row>
    <row r="871" customFormat="false" ht="12.8" hidden="false" customHeight="false" outlineLevel="0" collapsed="false">
      <c r="CA871" s="0" t="s">
        <v>123</v>
      </c>
      <c r="CB871" s="0" t="s">
        <v>124</v>
      </c>
      <c r="CC871" s="0" t="s">
        <v>125</v>
      </c>
      <c r="CD871" s="0" t="s">
        <v>126</v>
      </c>
      <c r="CE871" s="0" t="s">
        <v>127</v>
      </c>
    </row>
    <row r="872" customFormat="false" ht="12.8" hidden="false" customHeight="false" outlineLevel="0" collapsed="false">
      <c r="BZ872" s="0" t="s">
        <v>130</v>
      </c>
      <c r="CA872" s="0" t="n">
        <f aca="false">$CA$866</f>
        <v>1</v>
      </c>
      <c r="CB872" s="0" t="n">
        <f aca="false">$BZ$861</f>
        <v>0.0170109072436049</v>
      </c>
      <c r="CC872" s="0" t="n">
        <f aca="false">$BZ$861 / $CA$872</f>
        <v>0.0170109072436049</v>
      </c>
      <c r="CD872" s="0" t="n">
        <f aca="false">$BZ$860</f>
        <v>0.0693830926718405</v>
      </c>
      <c r="CE872" s="0" t="n">
        <f aca="false">FDIST($BZ$860 , $CA$872 , $CA$860)</f>
        <v>0.793698549429147</v>
      </c>
    </row>
    <row r="873" customFormat="false" ht="12.8" hidden="false" customHeight="false" outlineLevel="0" collapsed="false">
      <c r="BZ873" s="0" t="s">
        <v>133</v>
      </c>
      <c r="CA873" s="0" t="n">
        <f aca="false">$CA$860</f>
        <v>37</v>
      </c>
      <c r="CB873" s="0" t="n">
        <f aca="false">$CA$861</f>
        <v>9.07142567124036</v>
      </c>
      <c r="CC873" s="0" t="n">
        <f aca="false">$CA$861 / $CA$860</f>
        <v>0.24517366679028</v>
      </c>
    </row>
    <row r="874" customFormat="false" ht="12.8" hidden="false" customHeight="false" outlineLevel="0" collapsed="false">
      <c r="BZ874" s="0" t="s">
        <v>136</v>
      </c>
      <c r="CA874" s="0" t="n">
        <f aca="false">$CA$872 + $CA$860</f>
        <v>38</v>
      </c>
      <c r="CB874" s="0" t="n">
        <f aca="false">$BZ$861 + $CA$861</f>
        <v>9.08843657848396</v>
      </c>
    </row>
    <row r="876" customFormat="false" ht="12.8" hidden="false" customHeight="false" outlineLevel="0" collapsed="false">
      <c r="BZ876" s="0" t="s">
        <v>141</v>
      </c>
      <c r="CA876" s="0" t="n">
        <v>0.95</v>
      </c>
    </row>
    <row r="878" customFormat="false" ht="12.8" hidden="false" customHeight="false" outlineLevel="0" collapsed="false">
      <c r="BS878" s="24"/>
      <c r="BZ878" s="24"/>
      <c r="CA878" s="0" t="s">
        <v>146</v>
      </c>
      <c r="CB878" s="0" t="s">
        <v>106</v>
      </c>
      <c r="CC878" s="0" t="s">
        <v>147</v>
      </c>
      <c r="CD878" s="0" t="s">
        <v>148</v>
      </c>
      <c r="CE878" s="0" t="str">
        <f aca="false">_xlfn.CONCAT("Lower " , INT($CA$876 * 100) , "%")</f>
        <v>Lower 95%</v>
      </c>
      <c r="CF878" s="0" t="str">
        <f aca="false">_xlfn.CONCAT("Upper " , INT($CA$876 * 100) , "%")</f>
        <v>Upper 95%</v>
      </c>
      <c r="CG878" s="24"/>
      <c r="CN878" s="24"/>
    </row>
    <row r="879" customFormat="false" ht="12.8" hidden="false" customHeight="false" outlineLevel="0" collapsed="false">
      <c r="BS879" s="24"/>
      <c r="BZ879" s="24" t="str">
        <f aca="false">"Intercept"</f>
        <v>Intercept</v>
      </c>
      <c r="CA879" s="0" t="n">
        <f aca="false" t="array" ref="CA879:CA880">INDEX($BZ$857:$CA$857, 1 , 881 - ROW())</f>
        <v>39.9316209104012</v>
      </c>
      <c r="CB879" s="0" t="n">
        <f aca="false" t="array" ref="CB879:CB880">INDEX($BZ$858:$CA$858, 1 , 881 - ROW())</f>
        <v>0.31936755910808</v>
      </c>
      <c r="CC879" s="0" t="n">
        <f aca="false" t="array" ref="CC879:CC880">$CA$879:$CA$880 / $CB$879:$CB$880</f>
        <v>125.033428636024</v>
      </c>
      <c r="CD879" s="0" t="n">
        <f aca="false" t="array" ref="CD879:CD880">TDIST(ABS($CC$879:$CC$880) , $CA$860 , 2 )</f>
        <v>3.29734105068204E-050</v>
      </c>
      <c r="CE879" s="0" t="n">
        <f aca="false" t="array" ref="CE879:CE880">$CA$879:$CA$880 - $CB$879:$CB$880 * TINV(1 - $CA$876 , $CA$860)</f>
        <v>39.2845207692004</v>
      </c>
      <c r="CF879" s="0" t="n">
        <f aca="false" t="array" ref="CF879:CF880">$CA$879:$CA$880 + $CB$879:$CB$880 * TINV(1 - $CA$876 , $CA$860)</f>
        <v>40.578721051602</v>
      </c>
      <c r="CG879" s="24"/>
      <c r="CN879" s="24"/>
    </row>
    <row r="880" customFormat="false" ht="12.8" hidden="false" customHeight="false" outlineLevel="0" collapsed="false">
      <c r="BS880" s="24"/>
      <c r="BZ880" s="24" t="str">
        <f aca="false">$BE$52</f>
        <v>log (Whβ) NTT</v>
      </c>
      <c r="CA880" s="0" t="n">
        <v>-0.0505281175702745</v>
      </c>
      <c r="CB880" s="0" t="n">
        <v>0.19182547920582</v>
      </c>
      <c r="CC880" s="0" t="n">
        <v>-0.263406705821702</v>
      </c>
      <c r="CD880" s="0" t="n">
        <v>0.793698549429147</v>
      </c>
      <c r="CE880" s="0" t="n">
        <v>-0.439203457754055</v>
      </c>
      <c r="CF880" s="0" t="n">
        <v>0.338147222613506</v>
      </c>
      <c r="CG880" s="24"/>
      <c r="CN880" s="24"/>
    </row>
    <row r="881" customFormat="false" ht="12.8" hidden="false" customHeight="false" outlineLevel="0" collapsed="false">
      <c r="BS881" s="24"/>
      <c r="BZ881" s="24"/>
      <c r="CG881" s="24"/>
      <c r="CN881" s="24"/>
    </row>
    <row r="882" customFormat="false" ht="12.8" hidden="false" customHeight="false" outlineLevel="0" collapsed="false">
      <c r="BZ882" s="0" t="str">
        <f aca="false">$BE$52</f>
        <v>log (Whβ) NTT</v>
      </c>
      <c r="CA882" s="0" t="s">
        <v>157</v>
      </c>
      <c r="CB882" s="0" t="str">
        <f aca="false">$BF$2</f>
        <v>log (LHβ) (erg s-¹) KTC</v>
      </c>
      <c r="CC882" s="0" t="s">
        <v>133</v>
      </c>
      <c r="CD882" s="26" t="s">
        <v>158</v>
      </c>
    </row>
    <row r="883" customFormat="false" ht="12.8" hidden="false" customHeight="false" outlineLevel="0" collapsed="false">
      <c r="BZ883" s="0" t="n">
        <f aca="false" t="array" ref="BZ883:BZ921">$BE$53:$BE$91</f>
        <v>1.63346845557959</v>
      </c>
      <c r="CA883" s="0" t="n">
        <f aca="false" t="array" ref="CA883:CA921">MMULT($BZ$883:$BZ$921 , $CA$880) + $CA$879</f>
        <v>39.8490848242303</v>
      </c>
      <c r="CB883" s="0" t="n">
        <f aca="false" t="array" ref="CB883:CB921">$BF$3:$BF$41</f>
        <v>39.4693811697741</v>
      </c>
      <c r="CC883" s="0" t="n">
        <f aca="false" t="array" ref="CC883:CC921">$CB$883:$CB$921 - $CA$883:$CA$921</f>
        <v>-0.379703654456229</v>
      </c>
      <c r="CD883" s="20" t="n">
        <f aca="false">(CC883)^2</f>
        <v>0.144174865207415</v>
      </c>
    </row>
    <row r="884" customFormat="false" ht="12.8" hidden="false" customHeight="false" outlineLevel="0" collapsed="false">
      <c r="BZ884" s="0" t="n">
        <v>1.92427928606188</v>
      </c>
      <c r="CA884" s="0" t="n">
        <v>39.834390700397</v>
      </c>
      <c r="CB884" s="0" t="n">
        <v>40.1317447055601</v>
      </c>
      <c r="CC884" s="0" t="n">
        <v>0.297354005163086</v>
      </c>
      <c r="CD884" s="20" t="n">
        <f aca="false">(CC884)^2</f>
        <v>0.0884194043865288</v>
      </c>
    </row>
    <row r="885" customFormat="false" ht="12.8" hidden="false" customHeight="false" outlineLevel="0" collapsed="false">
      <c r="BZ885" s="0" t="n">
        <v>2.10037054511756</v>
      </c>
      <c r="CA885" s="0" t="n">
        <v>39.8254931405564</v>
      </c>
      <c r="CB885" s="0" t="n">
        <v>39.9963150223595</v>
      </c>
      <c r="CC885" s="0" t="n">
        <v>0.170821881803143</v>
      </c>
      <c r="CD885" s="20" t="n">
        <f aca="false">(CC885)^2</f>
        <v>0.0291801153027668</v>
      </c>
    </row>
    <row r="886" customFormat="false" ht="12.8" hidden="false" customHeight="false" outlineLevel="0" collapsed="false">
      <c r="BZ886" s="0" t="n">
        <v>1.43136376415899</v>
      </c>
      <c r="CA886" s="0" t="n">
        <v>39.8592967938399</v>
      </c>
      <c r="CB886" s="0" t="n">
        <v>40.3308782653967</v>
      </c>
      <c r="CC886" s="0" t="n">
        <v>0.47158147155676</v>
      </c>
      <c r="CD886" s="20" t="n">
        <f aca="false">(CC886)^2</f>
        <v>0.22238908431564</v>
      </c>
    </row>
    <row r="887" customFormat="false" ht="12.8" hidden="false" customHeight="false" outlineLevel="0" collapsed="false">
      <c r="BZ887" s="0" t="n">
        <v>2.26717172840301</v>
      </c>
      <c r="CA887" s="0" t="n">
        <v>39.8170649907564</v>
      </c>
      <c r="CB887" s="0" t="n">
        <v>40.4850090486329</v>
      </c>
      <c r="CC887" s="0" t="n">
        <v>0.667944057876454</v>
      </c>
      <c r="CD887" s="20" t="n">
        <f aca="false">(CC887)^2</f>
        <v>0.446149264452464</v>
      </c>
    </row>
    <row r="888" customFormat="false" ht="12.8" hidden="false" customHeight="false" outlineLevel="0" collapsed="false">
      <c r="BZ888" s="0" t="n">
        <v>1.93449845124357</v>
      </c>
      <c r="CA888" s="0" t="n">
        <v>39.8338743452172</v>
      </c>
      <c r="CB888" s="0" t="n">
        <v>40.5363222856562</v>
      </c>
      <c r="CC888" s="0" t="n">
        <v>0.702447940438951</v>
      </c>
      <c r="CD888" s="20" t="n">
        <f aca="false">(CC888)^2</f>
        <v>0.493433109026924</v>
      </c>
    </row>
    <row r="889" customFormat="false" ht="12.8" hidden="false" customHeight="false" outlineLevel="0" collapsed="false">
      <c r="BZ889" s="0" t="n">
        <v>1.70757017609794</v>
      </c>
      <c r="CA889" s="0" t="n">
        <v>39.8453406037838</v>
      </c>
      <c r="CB889" s="0" t="n">
        <v>39.9166540391504</v>
      </c>
      <c r="CC889" s="0" t="n">
        <v>0.0713134353665765</v>
      </c>
      <c r="CD889" s="20" t="n">
        <f aca="false">(CC889)^2</f>
        <v>0.00508560606378289</v>
      </c>
    </row>
    <row r="890" customFormat="false" ht="12.8" hidden="false" customHeight="false" outlineLevel="0" collapsed="false">
      <c r="BZ890" s="0" t="n">
        <v>0.778151250383644</v>
      </c>
      <c r="CA890" s="0" t="n">
        <v>39.8923023925344</v>
      </c>
      <c r="CB890" s="0" t="n">
        <v>39.9203081956583</v>
      </c>
      <c r="CC890" s="0" t="n">
        <v>0.0280058031239463</v>
      </c>
      <c r="CD890" s="20" t="n">
        <f aca="false">(CC890)^2</f>
        <v>0.00078432500861724</v>
      </c>
    </row>
    <row r="891" customFormat="false" ht="12.8" hidden="false" customHeight="false" outlineLevel="0" collapsed="false">
      <c r="BZ891" s="0" t="n">
        <v>1.47712125471966</v>
      </c>
      <c r="CA891" s="0" t="n">
        <v>39.8569847539772</v>
      </c>
      <c r="CB891" s="0" t="n">
        <v>40.0555420750015</v>
      </c>
      <c r="CC891" s="0" t="n">
        <v>0.198557321024332</v>
      </c>
      <c r="CD891" s="20" t="n">
        <f aca="false">(CC891)^2</f>
        <v>0.0394250097323595</v>
      </c>
    </row>
    <row r="892" customFormat="false" ht="12.8" hidden="false" customHeight="false" outlineLevel="0" collapsed="false">
      <c r="BZ892" s="0" t="n">
        <v>2.22530928172586</v>
      </c>
      <c r="CA892" s="0" t="n">
        <v>39.8191802213839</v>
      </c>
      <c r="CB892" s="0" t="n">
        <v>39.6009701741581</v>
      </c>
      <c r="CC892" s="0" t="n">
        <v>-0.218210047225824</v>
      </c>
      <c r="CD892" s="20" t="n">
        <f aca="false">(CC892)^2</f>
        <v>0.0476156247102964</v>
      </c>
    </row>
    <row r="893" customFormat="false" ht="12.8" hidden="false" customHeight="false" outlineLevel="0" collapsed="false">
      <c r="BZ893" s="0" t="n">
        <v>2.32428245529769</v>
      </c>
      <c r="CA893" s="0" t="n">
        <v>39.8141792932334</v>
      </c>
      <c r="CB893" s="0" t="n">
        <v>39.7119114592515</v>
      </c>
      <c r="CC893" s="0" t="n">
        <v>-0.102267833981884</v>
      </c>
      <c r="CD893" s="20" t="n">
        <f aca="false">(CC893)^2</f>
        <v>0.0104587098673462</v>
      </c>
    </row>
    <row r="894" customFormat="false" ht="12.8" hidden="false" customHeight="false" outlineLevel="0" collapsed="false">
      <c r="BZ894" s="0" t="n">
        <v>1.74036268949424</v>
      </c>
      <c r="CA894" s="0" t="n">
        <v>39.8436836598115</v>
      </c>
      <c r="CB894" s="0" t="n">
        <v>39.8158956218551</v>
      </c>
      <c r="CC894" s="0" t="n">
        <v>-0.0277880379564124</v>
      </c>
      <c r="CD894" s="20" t="n">
        <f aca="false">(CC894)^2</f>
        <v>0.000772175053467015</v>
      </c>
    </row>
    <row r="895" customFormat="false" ht="12.8" hidden="false" customHeight="false" outlineLevel="0" collapsed="false">
      <c r="BZ895" s="0" t="n">
        <v>1.39794000867204</v>
      </c>
      <c r="CA895" s="0" t="n">
        <v>39.8609856332868</v>
      </c>
      <c r="CB895" s="0" t="n">
        <v>39.9770046637507</v>
      </c>
      <c r="CC895" s="0" t="n">
        <v>0.116019030463875</v>
      </c>
      <c r="CD895" s="20" t="n">
        <f aca="false">(CC895)^2</f>
        <v>0.0134604154297775</v>
      </c>
    </row>
    <row r="896" customFormat="false" ht="12.8" hidden="false" customHeight="false" outlineLevel="0" collapsed="false">
      <c r="BZ896" s="0" t="n">
        <v>2.03742649794062</v>
      </c>
      <c r="CA896" s="0" t="n">
        <v>39.8286735847725</v>
      </c>
      <c r="CB896" s="0" t="n">
        <v>39.0888685217564</v>
      </c>
      <c r="CC896" s="0" t="n">
        <v>-0.739805063016057</v>
      </c>
      <c r="CD896" s="20" t="n">
        <f aca="false">(CC896)^2</f>
        <v>0.547311531264192</v>
      </c>
    </row>
    <row r="897" customFormat="false" ht="12.8" hidden="false" customHeight="false" outlineLevel="0" collapsed="false">
      <c r="BZ897" s="0" t="n">
        <v>1.36172783601759</v>
      </c>
      <c r="CA897" s="0" t="n">
        <v>39.8628153662042</v>
      </c>
      <c r="CB897" s="0" t="n">
        <v>39.3364926286811</v>
      </c>
      <c r="CC897" s="0" t="n">
        <v>-0.526322737523081</v>
      </c>
      <c r="CD897" s="20" t="n">
        <f aca="false">(CC897)^2</f>
        <v>0.27701562403379</v>
      </c>
    </row>
    <row r="898" customFormat="false" ht="12.8" hidden="false" customHeight="false" outlineLevel="0" collapsed="false">
      <c r="BZ898" s="0" t="n">
        <v>1.07918124604762</v>
      </c>
      <c r="CA898" s="0" t="n">
        <v>39.8770919135213</v>
      </c>
      <c r="CB898" s="0" t="n">
        <v>40.3263420583806</v>
      </c>
      <c r="CC898" s="0" t="n">
        <v>0.449250144859334</v>
      </c>
      <c r="CD898" s="20" t="n">
        <f aca="false">(CC898)^2</f>
        <v>0.201825692656133</v>
      </c>
    </row>
    <row r="899" customFormat="false" ht="12.8" hidden="false" customHeight="false" outlineLevel="0" collapsed="false">
      <c r="BZ899" s="0" t="n">
        <v>1.25527250510331</v>
      </c>
      <c r="CA899" s="0" t="n">
        <v>39.8681943536806</v>
      </c>
      <c r="CB899" s="0" t="n">
        <v>39.7238406799932</v>
      </c>
      <c r="CC899" s="0" t="n">
        <v>-0.144353673687398</v>
      </c>
      <c r="CD899" s="20" t="n">
        <f aca="false">(CC899)^2</f>
        <v>0.0208379831070478</v>
      </c>
    </row>
    <row r="900" customFormat="false" ht="12.8" hidden="false" customHeight="false" outlineLevel="0" collapsed="false">
      <c r="BZ900" s="0" t="n">
        <v>1.54406804435028</v>
      </c>
      <c r="CA900" s="0" t="n">
        <v>39.8536020587198</v>
      </c>
      <c r="CB900" s="0" t="n">
        <v>40.069553025812</v>
      </c>
      <c r="CC900" s="0" t="n">
        <v>0.21595096709224</v>
      </c>
      <c r="CD900" s="20" t="n">
        <f aca="false">(CC900)^2</f>
        <v>0.0466348201880739</v>
      </c>
    </row>
    <row r="901" customFormat="false" ht="12.8" hidden="false" customHeight="false" outlineLevel="0" collapsed="false">
      <c r="BZ901" s="0" t="n">
        <v>1.36172783601759</v>
      </c>
      <c r="CA901" s="0" t="n">
        <v>39.8628153662042</v>
      </c>
      <c r="CB901" s="0" t="n">
        <v>39.8138398098754</v>
      </c>
      <c r="CC901" s="0" t="n">
        <v>-0.0489755563287844</v>
      </c>
      <c r="CD901" s="20" t="n">
        <f aca="false">(CC901)^2</f>
        <v>0.00239860511771393</v>
      </c>
    </row>
    <row r="902" customFormat="false" ht="12.8" hidden="false" customHeight="false" outlineLevel="0" collapsed="false">
      <c r="BZ902" s="0" t="n">
        <v>1</v>
      </c>
      <c r="CA902" s="0" t="n">
        <v>39.8810927928309</v>
      </c>
      <c r="CB902" s="0" t="n">
        <v>39.0981383321098</v>
      </c>
      <c r="CC902" s="0" t="n">
        <v>-0.782954460721122</v>
      </c>
      <c r="CD902" s="20" t="n">
        <f aca="false">(CC902)^2</f>
        <v>0.613017687563103</v>
      </c>
    </row>
    <row r="903" customFormat="false" ht="12.8" hidden="false" customHeight="false" outlineLevel="0" collapsed="false">
      <c r="BZ903" s="0" t="n">
        <v>1.74036268949424</v>
      </c>
      <c r="CA903" s="0" t="n">
        <v>39.8436836598115</v>
      </c>
      <c r="CB903" s="0" t="n">
        <v>40.6295612869068</v>
      </c>
      <c r="CC903" s="0" t="n">
        <v>0.785877627095289</v>
      </c>
      <c r="CD903" s="20" t="n">
        <f aca="false">(CC903)^2</f>
        <v>0.617603644768922</v>
      </c>
    </row>
    <row r="904" customFormat="false" ht="12.8" hidden="false" customHeight="false" outlineLevel="0" collapsed="false">
      <c r="BZ904" s="0" t="n">
        <v>1.46239799789896</v>
      </c>
      <c r="CA904" s="0" t="n">
        <v>39.8577286924288</v>
      </c>
      <c r="CB904" s="0" t="n">
        <v>40.2970404904863</v>
      </c>
      <c r="CC904" s="0" t="n">
        <v>0.439311798057481</v>
      </c>
      <c r="CD904" s="20" t="n">
        <f aca="false">(CC904)^2</f>
        <v>0.192994855912497</v>
      </c>
    </row>
    <row r="905" customFormat="false" ht="12.8" hidden="false" customHeight="false" outlineLevel="0" collapsed="false">
      <c r="BZ905" s="0" t="n">
        <v>1.55630250076729</v>
      </c>
      <c r="CA905" s="0" t="n">
        <v>39.8529838746675</v>
      </c>
      <c r="CB905" s="0" t="n">
        <v>39.5808250944804</v>
      </c>
      <c r="CC905" s="0" t="n">
        <v>-0.272158780187105</v>
      </c>
      <c r="CD905" s="20" t="n">
        <f aca="false">(CC905)^2</f>
        <v>0.0740704016329331</v>
      </c>
    </row>
    <row r="906" customFormat="false" ht="12.8" hidden="false" customHeight="false" outlineLevel="0" collapsed="false">
      <c r="BZ906" s="0" t="n">
        <v>1.49136169383427</v>
      </c>
      <c r="CA906" s="0" t="n">
        <v>39.8562652113953</v>
      </c>
      <c r="CB906" s="0" t="n">
        <v>40.3643638589132</v>
      </c>
      <c r="CC906" s="0" t="n">
        <v>0.508098647517869</v>
      </c>
      <c r="CD906" s="20" t="n">
        <f aca="false">(CC906)^2</f>
        <v>0.258164235609488</v>
      </c>
    </row>
    <row r="907" customFormat="false" ht="12.8" hidden="false" customHeight="false" outlineLevel="0" collapsed="false">
      <c r="BZ907" s="0" t="n">
        <v>0.778151250383644</v>
      </c>
      <c r="CA907" s="0" t="n">
        <v>39.8923023925344</v>
      </c>
      <c r="CB907" s="0" t="n">
        <v>41.0032839602938</v>
      </c>
      <c r="CC907" s="0" t="n">
        <v>1.11098156775945</v>
      </c>
      <c r="CD907" s="20" t="n">
        <f aca="false">(CC907)^2</f>
        <v>1.23428004390124</v>
      </c>
    </row>
    <row r="908" customFormat="false" ht="12.8" hidden="false" customHeight="false" outlineLevel="0" collapsed="false">
      <c r="BZ908" s="0" t="n">
        <v>1.39794000867204</v>
      </c>
      <c r="CA908" s="0" t="n">
        <v>39.8609856332868</v>
      </c>
      <c r="CB908" s="0" t="n">
        <v>39.4879266153321</v>
      </c>
      <c r="CC908" s="0" t="n">
        <v>-0.373059017954724</v>
      </c>
      <c r="CD908" s="20" t="n">
        <f aca="false">(CC908)^2</f>
        <v>0.139173030877343</v>
      </c>
    </row>
    <row r="909" customFormat="false" ht="12.8" hidden="false" customHeight="false" outlineLevel="0" collapsed="false">
      <c r="BZ909" s="0" t="n">
        <v>2.19589965240923</v>
      </c>
      <c r="CA909" s="0" t="n">
        <v>39.8206662345917</v>
      </c>
      <c r="CB909" s="0" t="n">
        <v>39.8907352023789</v>
      </c>
      <c r="CC909" s="0" t="n">
        <v>0.0700689677871651</v>
      </c>
      <c r="CD909" s="20" t="n">
        <f aca="false">(CC909)^2</f>
        <v>0.00490966024675878</v>
      </c>
    </row>
    <row r="910" customFormat="false" ht="12.8" hidden="false" customHeight="false" outlineLevel="0" collapsed="false">
      <c r="BZ910" s="0" t="n">
        <v>1.74036268949424</v>
      </c>
      <c r="CA910" s="0" t="n">
        <v>39.8436836598115</v>
      </c>
      <c r="CB910" s="0" t="n">
        <v>39.8855611883631</v>
      </c>
      <c r="CC910" s="0" t="n">
        <v>0.0418775285515878</v>
      </c>
      <c r="CD910" s="20" t="n">
        <f aca="false">(CC910)^2</f>
        <v>0.00175372739758905</v>
      </c>
    </row>
    <row r="911" customFormat="false" ht="12.8" hidden="false" customHeight="false" outlineLevel="0" collapsed="false">
      <c r="BZ911" s="0" t="n">
        <v>2.00432137378264</v>
      </c>
      <c r="CA911" s="0" t="n">
        <v>39.8303463243781</v>
      </c>
      <c r="CB911" s="0" t="n">
        <v>40.8602418490241</v>
      </c>
      <c r="CC911" s="0" t="n">
        <v>1.02989552464601</v>
      </c>
      <c r="CD911" s="20" t="n">
        <f aca="false">(CC911)^2</f>
        <v>1.06068479168588</v>
      </c>
    </row>
    <row r="912" customFormat="false" ht="12.8" hidden="false" customHeight="false" outlineLevel="0" collapsed="false">
      <c r="BZ912" s="0" t="n">
        <v>0.778151250383644</v>
      </c>
      <c r="CA912" s="0" t="n">
        <v>39.8923023925344</v>
      </c>
      <c r="CB912" s="0" t="n">
        <v>39.5307026003539</v>
      </c>
      <c r="CC912" s="0" t="n">
        <v>-0.361599792180456</v>
      </c>
      <c r="CD912" s="20" t="n">
        <f aca="false">(CC912)^2</f>
        <v>0.130754409704949</v>
      </c>
    </row>
    <row r="913" customFormat="false" ht="12.8" hidden="false" customHeight="false" outlineLevel="0" collapsed="false">
      <c r="BZ913" s="0" t="n">
        <v>1.25527250510331</v>
      </c>
      <c r="CA913" s="0" t="n">
        <v>39.8681943536806</v>
      </c>
      <c r="CB913" s="0" t="n">
        <v>39.4259659076773</v>
      </c>
      <c r="CC913" s="0" t="n">
        <v>-0.442228446003298</v>
      </c>
      <c r="CD913" s="20" t="n">
        <f aca="false">(CC913)^2</f>
        <v>0.195565998454492</v>
      </c>
    </row>
    <row r="914" customFormat="false" ht="12.8" hidden="false" customHeight="false" outlineLevel="0" collapsed="false">
      <c r="BZ914" s="0" t="n">
        <v>2.02118929906994</v>
      </c>
      <c r="CA914" s="0" t="n">
        <v>39.829494019866</v>
      </c>
      <c r="CB914" s="0" t="n">
        <v>39.9477947317714</v>
      </c>
      <c r="CC914" s="0" t="n">
        <v>0.118300711905398</v>
      </c>
      <c r="CD914" s="20" t="n">
        <f aca="false">(CC914)^2</f>
        <v>0.013995058437324</v>
      </c>
    </row>
    <row r="915" customFormat="false" ht="12.8" hidden="false" customHeight="false" outlineLevel="0" collapsed="false">
      <c r="BZ915" s="0" t="n">
        <v>1.85125834871908</v>
      </c>
      <c r="CA915" s="0" t="n">
        <v>39.8380803109042</v>
      </c>
      <c r="CB915" s="0" t="n">
        <v>39.3876198532141</v>
      </c>
      <c r="CC915" s="0" t="n">
        <v>-0.450460457690063</v>
      </c>
      <c r="CD915" s="20" t="n">
        <f aca="false">(CC915)^2</f>
        <v>0.202914623942341</v>
      </c>
    </row>
    <row r="916" customFormat="false" ht="12.8" hidden="false" customHeight="false" outlineLevel="0" collapsed="false">
      <c r="BZ916" s="0" t="n">
        <v>1.51851393987789</v>
      </c>
      <c r="CA916" s="0" t="n">
        <v>39.8548932595149</v>
      </c>
      <c r="CB916" s="0" t="n">
        <v>39.7992940202333</v>
      </c>
      <c r="CC916" s="0" t="n">
        <v>-0.0555992392816478</v>
      </c>
      <c r="CD916" s="20" t="n">
        <f aca="false">(CC916)^2</f>
        <v>0.00309127540869793</v>
      </c>
    </row>
    <row r="917" customFormat="false" ht="12.8" hidden="false" customHeight="false" outlineLevel="0" collapsed="false">
      <c r="BZ917" s="0" t="n">
        <v>1.69897000433602</v>
      </c>
      <c r="CA917" s="0" t="n">
        <v>39.8457751542737</v>
      </c>
      <c r="CB917" s="0" t="n">
        <v>39.5414546476421</v>
      </c>
      <c r="CC917" s="0" t="n">
        <v>-0.304320506631633</v>
      </c>
      <c r="CD917" s="20" t="n">
        <f aca="false">(CC917)^2</f>
        <v>0.0926109707565339</v>
      </c>
    </row>
    <row r="918" customFormat="false" ht="12.8" hidden="false" customHeight="false" outlineLevel="0" collapsed="false">
      <c r="BZ918" s="0" t="n">
        <v>2.05307844348342</v>
      </c>
      <c r="CA918" s="0" t="n">
        <v>39.8278827214279</v>
      </c>
      <c r="CB918" s="0" t="n">
        <v>39.2951320767752</v>
      </c>
      <c r="CC918" s="0" t="n">
        <v>-0.532750644652673</v>
      </c>
      <c r="CD918" s="20" t="n">
        <f aca="false">(CC918)^2</f>
        <v>0.283823249377838</v>
      </c>
    </row>
    <row r="919" customFormat="false" ht="12.8" hidden="false" customHeight="false" outlineLevel="0" collapsed="false">
      <c r="BZ919" s="0" t="n">
        <v>1.97772360528885</v>
      </c>
      <c r="CA919" s="0" t="n">
        <v>39.8316902595516</v>
      </c>
      <c r="CB919" s="0" t="n">
        <v>39.0423920343584</v>
      </c>
      <c r="CC919" s="0" t="n">
        <v>-0.789298225193249</v>
      </c>
      <c r="CD919" s="20" t="n">
        <f aca="false">(CC919)^2</f>
        <v>0.622991688293214</v>
      </c>
    </row>
    <row r="920" customFormat="false" ht="12.8" hidden="false" customHeight="false" outlineLevel="0" collapsed="false">
      <c r="BZ920" s="0" t="n">
        <v>1.07918124604762</v>
      </c>
      <c r="CA920" s="0" t="n">
        <v>39.8770919135213</v>
      </c>
      <c r="CB920" s="0" t="n">
        <v>39.7584397069598</v>
      </c>
      <c r="CC920" s="0" t="n">
        <v>-0.118652206561464</v>
      </c>
      <c r="CD920" s="20" t="n">
        <f aca="false">(CC920)^2</f>
        <v>0.0140783461219043</v>
      </c>
    </row>
    <row r="921" customFormat="false" ht="12.8" hidden="false" customHeight="false" outlineLevel="0" collapsed="false">
      <c r="BZ921" s="0" t="n">
        <v>1.7160033436348</v>
      </c>
      <c r="CA921" s="0" t="n">
        <v>39.844914491703</v>
      </c>
      <c r="CB921" s="0" t="n">
        <v>39.0217644408478</v>
      </c>
      <c r="CC921" s="0" t="n">
        <v>-0.823150050855233</v>
      </c>
      <c r="CD921" s="20" t="n">
        <f aca="false">(CC921)^2</f>
        <v>0.677576006222973</v>
      </c>
    </row>
    <row r="922" customFormat="false" ht="12.8" hidden="false" customHeight="false" outlineLevel="0" collapsed="false">
      <c r="CD922" s="0" t="n">
        <f aca="false">SQRT(SUM(CD883:CD921)/39)</f>
        <v>0.482286904484179</v>
      </c>
    </row>
    <row r="923" customFormat="false" ht="12.8" hidden="false" customHeight="false" outlineLevel="0" collapsed="false">
      <c r="BS923" s="14"/>
      <c r="BW923" s="13"/>
      <c r="BZ923" s="14" t="s">
        <v>555</v>
      </c>
      <c r="CC923" s="13"/>
      <c r="CG923" s="14"/>
      <c r="CJ923" s="13"/>
      <c r="CK923" s="13"/>
      <c r="CN923" s="14"/>
      <c r="CU923" s="14"/>
    </row>
    <row r="924" customFormat="false" ht="12.8" hidden="false" customHeight="false" outlineLevel="0" collapsed="false">
      <c r="BZ924" s="0" t="s">
        <v>78</v>
      </c>
      <c r="CA924" s="0" t="s">
        <v>79</v>
      </c>
    </row>
    <row r="926" customFormat="false" ht="12.8" hidden="false" customHeight="false" outlineLevel="0" collapsed="false">
      <c r="BZ926" s="0" t="s">
        <v>84</v>
      </c>
    </row>
    <row r="927" customFormat="false" ht="12.8" hidden="false" customHeight="false" outlineLevel="0" collapsed="false">
      <c r="BZ927" s="0" t="n">
        <f aca="false" t="array" ref="BZ927:CA931">LINEST($BG$95:$BG$132 , $BM$95:$BM$132 , 1 , 1)</f>
        <v>0.052333189208355</v>
      </c>
      <c r="CA927" s="0" t="n">
        <v>39.4348173634555</v>
      </c>
    </row>
    <row r="928" customFormat="false" ht="12.8" hidden="false" customHeight="false" outlineLevel="0" collapsed="false">
      <c r="BZ928" s="0" t="n">
        <v>0.069633508681776</v>
      </c>
      <c r="CA928" s="0" t="n">
        <v>0.555105321782602</v>
      </c>
    </row>
    <row r="929" customFormat="false" ht="12.8" hidden="false" customHeight="false" outlineLevel="0" collapsed="false">
      <c r="BZ929" s="0" t="n">
        <v>0.0154473606277536</v>
      </c>
      <c r="CA929" s="0" t="n">
        <v>0.498286124870115</v>
      </c>
    </row>
    <row r="930" customFormat="false" ht="12.8" hidden="false" customHeight="false" outlineLevel="0" collapsed="false">
      <c r="BZ930" s="0" t="n">
        <v>0.564830117111567</v>
      </c>
      <c r="CA930" s="0" t="n">
        <v>36</v>
      </c>
    </row>
    <row r="931" customFormat="false" ht="12.8" hidden="false" customHeight="false" outlineLevel="0" collapsed="false">
      <c r="BZ931" s="0" t="n">
        <v>0.140241140101454</v>
      </c>
      <c r="CA931" s="0" t="n">
        <v>8.93840624057074</v>
      </c>
    </row>
    <row r="933" customFormat="false" ht="12.8" hidden="false" customHeight="false" outlineLevel="0" collapsed="false">
      <c r="BZ933" s="0" t="s">
        <v>100</v>
      </c>
    </row>
    <row r="934" customFormat="false" ht="12.8" hidden="false" customHeight="false" outlineLevel="0" collapsed="false">
      <c r="BZ934" s="0" t="s">
        <v>103</v>
      </c>
      <c r="CA934" s="0" t="n">
        <f aca="false">$BZ$929</f>
        <v>0.0154473606277536</v>
      </c>
    </row>
    <row r="935" customFormat="false" ht="12.8" hidden="false" customHeight="false" outlineLevel="0" collapsed="false">
      <c r="BZ935" s="0" t="s">
        <v>106</v>
      </c>
      <c r="CA935" s="0" t="n">
        <f aca="false">$CA$929</f>
        <v>0.498286124870115</v>
      </c>
    </row>
    <row r="936" customFormat="false" ht="12.8" hidden="false" customHeight="false" outlineLevel="0" collapsed="false">
      <c r="BZ936" s="0" t="s">
        <v>109</v>
      </c>
      <c r="CA936" s="0" t="n">
        <f aca="false">1</f>
        <v>1</v>
      </c>
    </row>
    <row r="937" customFormat="false" ht="12.8" hidden="false" customHeight="false" outlineLevel="0" collapsed="false">
      <c r="BZ937" s="0" t="s">
        <v>112</v>
      </c>
      <c r="CA937" s="0" t="n">
        <f aca="false">38</f>
        <v>38</v>
      </c>
    </row>
    <row r="938" customFormat="false" ht="12.8" hidden="false" customHeight="false" outlineLevel="0" collapsed="false">
      <c r="BZ938" s="0" t="s">
        <v>115</v>
      </c>
      <c r="CA938" s="0" t="n">
        <f aca="false">1 - (1 - $BZ$929)*($CA$937 - 1)/($CA$937 - $CA$936 - 1)</f>
        <v>-0.0119013237992531</v>
      </c>
    </row>
    <row r="940" customFormat="false" ht="12.8" hidden="false" customHeight="false" outlineLevel="0" collapsed="false">
      <c r="BZ940" s="0" t="s">
        <v>120</v>
      </c>
    </row>
    <row r="941" customFormat="false" ht="12.8" hidden="false" customHeight="false" outlineLevel="0" collapsed="false">
      <c r="CA941" s="0" t="s">
        <v>123</v>
      </c>
      <c r="CB941" s="0" t="s">
        <v>124</v>
      </c>
      <c r="CC941" s="0" t="s">
        <v>125</v>
      </c>
      <c r="CD941" s="0" t="s">
        <v>126</v>
      </c>
      <c r="CE941" s="0" t="s">
        <v>127</v>
      </c>
    </row>
    <row r="942" customFormat="false" ht="12.8" hidden="false" customHeight="false" outlineLevel="0" collapsed="false">
      <c r="BZ942" s="0" t="s">
        <v>130</v>
      </c>
      <c r="CA942" s="0" t="n">
        <f aca="false">$CA$936</f>
        <v>1</v>
      </c>
      <c r="CB942" s="0" t="n">
        <f aca="false">$BZ$931</f>
        <v>0.140241140101454</v>
      </c>
      <c r="CC942" s="0" t="n">
        <f aca="false">$BZ$931 / $CA$942</f>
        <v>0.140241140101454</v>
      </c>
      <c r="CD942" s="0" t="n">
        <f aca="false">$BZ$930</f>
        <v>0.564830117111567</v>
      </c>
      <c r="CE942" s="0" t="n">
        <f aca="false">FDIST($BZ$930 , $CA$942 , $CA$930)</f>
        <v>0.45720605109276</v>
      </c>
    </row>
    <row r="943" customFormat="false" ht="12.8" hidden="false" customHeight="false" outlineLevel="0" collapsed="false">
      <c r="BZ943" s="0" t="s">
        <v>133</v>
      </c>
      <c r="CA943" s="0" t="n">
        <f aca="false">$CA$930</f>
        <v>36</v>
      </c>
      <c r="CB943" s="0" t="n">
        <f aca="false">$CA$931</f>
        <v>8.93840624057074</v>
      </c>
      <c r="CC943" s="0" t="n">
        <f aca="false">$CA$931 / $CA$930</f>
        <v>0.248289062238076</v>
      </c>
    </row>
    <row r="944" customFormat="false" ht="12.8" hidden="false" customHeight="false" outlineLevel="0" collapsed="false">
      <c r="BZ944" s="0" t="s">
        <v>136</v>
      </c>
      <c r="CA944" s="0" t="n">
        <f aca="false">$CA$942 + $CA$930</f>
        <v>37</v>
      </c>
      <c r="CB944" s="0" t="n">
        <f aca="false">$BZ$931 + $CA$931</f>
        <v>9.0786473806722</v>
      </c>
    </row>
    <row r="946" customFormat="false" ht="12.8" hidden="false" customHeight="false" outlineLevel="0" collapsed="false">
      <c r="BZ946" s="0" t="s">
        <v>141</v>
      </c>
      <c r="CA946" s="0" t="n">
        <v>0.95</v>
      </c>
    </row>
    <row r="948" customFormat="false" ht="12.8" hidden="false" customHeight="false" outlineLevel="0" collapsed="false">
      <c r="CA948" s="0" t="s">
        <v>146</v>
      </c>
      <c r="CB948" s="0" t="s">
        <v>106</v>
      </c>
      <c r="CC948" s="0" t="s">
        <v>147</v>
      </c>
      <c r="CD948" s="0" t="s">
        <v>148</v>
      </c>
      <c r="CE948" s="0" t="str">
        <f aca="false">_xlfn.CONCAT("Lower " , INT($CA$946 * 100) , "%")</f>
        <v>Lower 95%</v>
      </c>
      <c r="CF948" s="0" t="str">
        <f aca="false">_xlfn.CONCAT("Upper " , INT($CA$946 * 100) , "%")</f>
        <v>Upper 95%</v>
      </c>
    </row>
    <row r="949" customFormat="false" ht="12.8" hidden="false" customHeight="false" outlineLevel="0" collapsed="false">
      <c r="BZ949" s="0" t="str">
        <f aca="false">"Intercept"</f>
        <v>Intercept</v>
      </c>
      <c r="CA949" s="0" t="n">
        <f aca="false" t="array" ref="CA949:CA950">INDEX($BZ$927:$CA$927, 1 , 951 - ROW())</f>
        <v>39.4348173634555</v>
      </c>
      <c r="CB949" s="0" t="n">
        <f aca="false" t="array" ref="CB949:CB950">INDEX($BZ$928:$CA$928, 1 , 951 - ROW())</f>
        <v>0.555105321782602</v>
      </c>
      <c r="CC949" s="0" t="n">
        <f aca="false" t="array" ref="CC949:CC950">$CA$949:$CA$950 / $CB$949:$CB$950</f>
        <v>71.0402437447709</v>
      </c>
      <c r="CD949" s="0" t="n">
        <f aca="false" t="array" ref="CD949:CD950">TDIST(ABS($CC$949:$CC$950) , $CA$930 , 2 )</f>
        <v>2.66658070185724E-040</v>
      </c>
      <c r="CE949" s="0" t="n">
        <f aca="false" t="array" ref="CE949:CE950">$CA$949:$CA$950 - $CB$949:$CB$950 * TINV(1 - $CA$946 , $CA$930)</f>
        <v>38.3090115904359</v>
      </c>
      <c r="CF949" s="0" t="n">
        <f aca="false" t="array" ref="CF949:CF950">$CA$949:$CA$950 + $CB$949:$CB$950 * TINV(1 - $CA$946 , $CA$930)</f>
        <v>40.5606231364751</v>
      </c>
    </row>
    <row r="950" customFormat="false" ht="12.8" hidden="false" customHeight="false" outlineLevel="0" collapsed="false">
      <c r="BS950" s="24"/>
      <c r="BZ950" s="0" t="str">
        <f aca="false">$BM$94</f>
        <v>log(O/H)</v>
      </c>
      <c r="CA950" s="24" t="n">
        <v>0.052333189208355</v>
      </c>
      <c r="CB950" s="0" t="n">
        <v>0.069633508681776</v>
      </c>
      <c r="CC950" s="0" t="n">
        <v>0.751551806006457</v>
      </c>
      <c r="CD950" s="0" t="n">
        <v>0.45720605109276</v>
      </c>
      <c r="CE950" s="0" t="n">
        <v>-0.0888901120163749</v>
      </c>
      <c r="CF950" s="0" t="n">
        <v>0.193556490433085</v>
      </c>
      <c r="CG950" s="24"/>
      <c r="CN950" s="24"/>
      <c r="CU950" s="24"/>
    </row>
    <row r="951" customFormat="false" ht="12.8" hidden="false" customHeight="false" outlineLevel="0" collapsed="false">
      <c r="BS951" s="24"/>
      <c r="CA951" s="24"/>
      <c r="CG951" s="24"/>
      <c r="CN951" s="24"/>
    </row>
    <row r="952" customFormat="false" ht="12.8" hidden="false" customHeight="false" outlineLevel="0" collapsed="false">
      <c r="BZ952" s="0" t="str">
        <f aca="false">$BM$94</f>
        <v>log(O/H)</v>
      </c>
      <c r="CA952" s="0" t="s">
        <v>157</v>
      </c>
      <c r="CB952" s="0" t="str">
        <f aca="false">$BG$94</f>
        <v>log (LHβ) (erg s-¹) KTC</v>
      </c>
      <c r="CC952" s="0" t="s">
        <v>133</v>
      </c>
      <c r="CD952" s="26" t="s">
        <v>158</v>
      </c>
    </row>
    <row r="953" customFormat="false" ht="12.8" hidden="false" customHeight="false" outlineLevel="0" collapsed="false">
      <c r="BZ953" s="0" t="n">
        <f aca="false" t="array" ref="BZ953:BZ990">$BM$95:$BM$132</f>
        <v>7.73</v>
      </c>
      <c r="CA953" s="0" t="n">
        <f aca="false" t="array" ref="CA953:CA990">MMULT($BZ$953:$BZ$990 , $CA$950) + $CA$949</f>
        <v>39.8393529160361</v>
      </c>
      <c r="CB953" s="0" t="n">
        <f aca="false" t="array" ref="CB953:CB990">$BG$95:$BG$132</f>
        <v>39.4693811697741</v>
      </c>
      <c r="CC953" s="0" t="n">
        <f aca="false" t="array" ref="CC953:CC990">$CB$953:$CB$990 - $CA$953:$CA$990</f>
        <v>-0.369971746261996</v>
      </c>
      <c r="CD953" s="20" t="n">
        <f aca="false">(CC953)^2</f>
        <v>0.136879093032151</v>
      </c>
    </row>
    <row r="954" customFormat="false" ht="12.8" hidden="false" customHeight="false" outlineLevel="0" collapsed="false">
      <c r="BZ954" s="0" t="n">
        <v>8.18</v>
      </c>
      <c r="CA954" s="0" t="n">
        <v>39.8629028511799</v>
      </c>
      <c r="CB954" s="0" t="n">
        <v>40.1317447055601</v>
      </c>
      <c r="CC954" s="0" t="n">
        <v>0.268841854380241</v>
      </c>
      <c r="CD954" s="20" t="n">
        <f aca="false">(CC954)^2</f>
        <v>0.0722759426666069</v>
      </c>
    </row>
    <row r="955" customFormat="false" ht="12.8" hidden="false" customHeight="false" outlineLevel="0" collapsed="false">
      <c r="BZ955" s="0" t="n">
        <v>8.08</v>
      </c>
      <c r="CA955" s="0" t="n">
        <v>39.857669532259</v>
      </c>
      <c r="CB955" s="0" t="n">
        <v>39.9963150223595</v>
      </c>
      <c r="CC955" s="0" t="n">
        <v>0.138645490100473</v>
      </c>
      <c r="CD955" s="20" t="n">
        <f aca="false">(CC955)^2</f>
        <v>0.0192225719252002</v>
      </c>
    </row>
    <row r="956" customFormat="false" ht="12.8" hidden="false" customHeight="false" outlineLevel="0" collapsed="false">
      <c r="BZ956" s="0" t="n">
        <v>8.36</v>
      </c>
      <c r="CA956" s="0" t="n">
        <v>39.8723228252374</v>
      </c>
      <c r="CB956" s="0" t="n">
        <v>40.3308782653967</v>
      </c>
      <c r="CC956" s="0" t="n">
        <v>0.458555440159337</v>
      </c>
      <c r="CD956" s="20" t="n">
        <f aca="false">(CC956)^2</f>
        <v>0.210273091699723</v>
      </c>
    </row>
    <row r="957" customFormat="false" ht="12.8" hidden="false" customHeight="false" outlineLevel="0" collapsed="false">
      <c r="BZ957" s="0" t="n">
        <v>7.98</v>
      </c>
      <c r="CA957" s="0" t="n">
        <v>39.8524362133382</v>
      </c>
      <c r="CB957" s="0" t="n">
        <v>40.4850090486329</v>
      </c>
      <c r="CC957" s="0" t="n">
        <v>0.63257283529471</v>
      </c>
      <c r="CD957" s="20" t="n">
        <f aca="false">(CC957)^2</f>
        <v>0.400148391952788</v>
      </c>
    </row>
    <row r="958" customFormat="false" ht="12.8" hidden="false" customHeight="false" outlineLevel="0" collapsed="false">
      <c r="BZ958" s="0" t="n">
        <v>8.25</v>
      </c>
      <c r="CA958" s="0" t="n">
        <v>39.8665661744244</v>
      </c>
      <c r="CB958" s="0" t="n">
        <v>40.5363222856562</v>
      </c>
      <c r="CC958" s="0" t="n">
        <v>0.669756111231756</v>
      </c>
      <c r="CD958" s="20" t="n">
        <f aca="false">(CC958)^2</f>
        <v>0.448573248532284</v>
      </c>
    </row>
    <row r="959" customFormat="false" ht="12.8" hidden="false" customHeight="false" outlineLevel="0" collapsed="false">
      <c r="BZ959" s="0" t="n">
        <v>8.09</v>
      </c>
      <c r="CA959" s="0" t="n">
        <v>39.8581928641511</v>
      </c>
      <c r="CB959" s="0" t="n">
        <v>39.9166540391504</v>
      </c>
      <c r="CC959" s="0" t="n">
        <v>0.0584611749992945</v>
      </c>
      <c r="CD959" s="20" t="n">
        <f aca="false">(CC959)^2</f>
        <v>0.00341770898229813</v>
      </c>
    </row>
    <row r="960" customFormat="false" ht="12.8" hidden="false" customHeight="false" outlineLevel="0" collapsed="false">
      <c r="BZ960" s="0" t="n">
        <v>7.96</v>
      </c>
      <c r="CA960" s="0" t="n">
        <v>39.851389549554</v>
      </c>
      <c r="CB960" s="0" t="n">
        <v>39.9203081956583</v>
      </c>
      <c r="CC960" s="0" t="n">
        <v>0.0689186461042794</v>
      </c>
      <c r="CD960" s="20" t="n">
        <f aca="false">(CC960)^2</f>
        <v>0.00474977978084691</v>
      </c>
    </row>
    <row r="961" customFormat="false" ht="12.8" hidden="false" customHeight="false" outlineLevel="0" collapsed="false">
      <c r="BZ961" s="0" t="n">
        <v>8.01</v>
      </c>
      <c r="CA961" s="0" t="n">
        <v>39.8540062090144</v>
      </c>
      <c r="CB961" s="0" t="n">
        <v>40.0555420750015</v>
      </c>
      <c r="CC961" s="0" t="n">
        <v>0.201535865987061</v>
      </c>
      <c r="CD961" s="20" t="n">
        <f aca="false">(CC961)^2</f>
        <v>0.0406167052791548</v>
      </c>
    </row>
    <row r="962" customFormat="false" ht="12.8" hidden="false" customHeight="false" outlineLevel="0" collapsed="false">
      <c r="BZ962" s="0" t="n">
        <v>7.99</v>
      </c>
      <c r="CA962" s="0" t="n">
        <v>39.8529595452303</v>
      </c>
      <c r="CB962" s="0" t="n">
        <v>39.6009701741581</v>
      </c>
      <c r="CC962" s="0" t="n">
        <v>-0.25198937107217</v>
      </c>
      <c r="CD962" s="20" t="n">
        <f aca="false">(CC962)^2</f>
        <v>0.063498643133348</v>
      </c>
    </row>
    <row r="963" customFormat="false" ht="12.8" hidden="false" customHeight="false" outlineLevel="0" collapsed="false">
      <c r="BZ963" s="0" t="n">
        <v>1</v>
      </c>
      <c r="CA963" s="0" t="n">
        <v>39.4871505526639</v>
      </c>
      <c r="CB963" s="0" t="n">
        <v>39.7119114592515</v>
      </c>
      <c r="CC963" s="0" t="n">
        <v>0.224760906587633</v>
      </c>
      <c r="CD963" s="20" t="n">
        <f aca="false">(CC963)^2</f>
        <v>0.0505174651300948</v>
      </c>
    </row>
    <row r="964" customFormat="false" ht="12.8" hidden="false" customHeight="false" outlineLevel="0" collapsed="false">
      <c r="BZ964" s="0" t="n">
        <v>8.07</v>
      </c>
      <c r="CA964" s="0" t="n">
        <v>39.8571462003669</v>
      </c>
      <c r="CB964" s="0" t="n">
        <v>39.8158956218551</v>
      </c>
      <c r="CC964" s="0" t="n">
        <v>-0.0412505785118427</v>
      </c>
      <c r="CD964" s="20" t="n">
        <f aca="false">(CC964)^2</f>
        <v>0.0017016102275617</v>
      </c>
    </row>
    <row r="965" customFormat="false" ht="12.8" hidden="false" customHeight="false" outlineLevel="0" collapsed="false">
      <c r="BZ965" s="0" t="n">
        <v>8.27</v>
      </c>
      <c r="CA965" s="0" t="n">
        <v>39.8676128382086</v>
      </c>
      <c r="CB965" s="0" t="n">
        <v>39.9770046637507</v>
      </c>
      <c r="CC965" s="0" t="n">
        <v>0.109391825542083</v>
      </c>
      <c r="CD965" s="20" t="n">
        <f aca="false">(CC965)^2</f>
        <v>0.0119665714954296</v>
      </c>
    </row>
    <row r="966" customFormat="false" ht="12.8" hidden="false" customHeight="false" outlineLevel="0" collapsed="false">
      <c r="BZ966" s="0" t="n">
        <v>7.89</v>
      </c>
      <c r="CA966" s="0" t="n">
        <v>39.8477262263094</v>
      </c>
      <c r="CB966" s="0" t="n">
        <v>39.0888685217564</v>
      </c>
      <c r="CC966" s="0" t="n">
        <v>-0.75885770455303</v>
      </c>
      <c r="CD966" s="20" t="n">
        <f aca="false">(CC966)^2</f>
        <v>0.575865015759494</v>
      </c>
    </row>
    <row r="967" customFormat="false" ht="12.8" hidden="false" customHeight="false" outlineLevel="0" collapsed="false">
      <c r="BZ967" s="0" t="n">
        <v>8.27</v>
      </c>
      <c r="CA967" s="0" t="n">
        <v>39.8676128382086</v>
      </c>
      <c r="CB967" s="0" t="n">
        <v>39.3364926286811</v>
      </c>
      <c r="CC967" s="0" t="n">
        <v>-0.531120209527515</v>
      </c>
      <c r="CD967" s="20" t="n">
        <f aca="false">(CC967)^2</f>
        <v>0.282088676968551</v>
      </c>
    </row>
    <row r="968" customFormat="false" ht="12.8" hidden="false" customHeight="false" outlineLevel="0" collapsed="false">
      <c r="BZ968" s="0" t="n">
        <v>8.49</v>
      </c>
      <c r="CA968" s="0" t="n">
        <v>39.8791261398344</v>
      </c>
      <c r="CB968" s="0" t="n">
        <v>40.3263420583806</v>
      </c>
      <c r="CC968" s="0" t="n">
        <v>0.447215918546149</v>
      </c>
      <c r="CD968" s="20" t="n">
        <f aca="false">(CC968)^2</f>
        <v>0.200002077801076</v>
      </c>
    </row>
    <row r="969" customFormat="false" ht="12.8" hidden="false" customHeight="false" outlineLevel="0" collapsed="false">
      <c r="BZ969" s="0" t="n">
        <v>8.02</v>
      </c>
      <c r="CA969" s="0" t="n">
        <v>39.8545295409065</v>
      </c>
      <c r="CB969" s="0" t="n">
        <v>39.7238406799932</v>
      </c>
      <c r="CC969" s="0" t="n">
        <v>-0.130688860913324</v>
      </c>
      <c r="CD969" s="20" t="n">
        <f aca="false">(CC969)^2</f>
        <v>0.0170795783668221</v>
      </c>
    </row>
    <row r="970" customFormat="false" ht="12.8" hidden="false" customHeight="false" outlineLevel="0" collapsed="false">
      <c r="BZ970" s="0" t="n">
        <v>8.5</v>
      </c>
      <c r="CA970" s="0" t="n">
        <v>39.8796494717265</v>
      </c>
      <c r="CB970" s="0" t="n">
        <v>40.069553025812</v>
      </c>
      <c r="CC970" s="0" t="n">
        <v>0.189903554085468</v>
      </c>
      <c r="CD970" s="20" t="n">
        <f aca="false">(CC970)^2</f>
        <v>0.0360633598542924</v>
      </c>
    </row>
    <row r="971" customFormat="false" ht="12.8" hidden="false" customHeight="false" outlineLevel="0" collapsed="false">
      <c r="BZ971" s="0" t="n">
        <v>7.96</v>
      </c>
      <c r="CA971" s="0" t="n">
        <v>39.851389549554</v>
      </c>
      <c r="CB971" s="0" t="n">
        <v>39.8138398098754</v>
      </c>
      <c r="CC971" s="0" t="n">
        <v>-0.0375497396786244</v>
      </c>
      <c r="CD971" s="20" t="n">
        <f aca="false">(CC971)^2</f>
        <v>0.00140998294993246</v>
      </c>
    </row>
    <row r="972" customFormat="false" ht="12.8" hidden="false" customHeight="false" outlineLevel="0" collapsed="false">
      <c r="BZ972" s="0" t="n">
        <v>8.56</v>
      </c>
      <c r="CA972" s="0" t="n">
        <v>39.882789463079</v>
      </c>
      <c r="CB972" s="0" t="n">
        <v>39.0981383321098</v>
      </c>
      <c r="CC972" s="0" t="n">
        <v>-0.784651130969237</v>
      </c>
      <c r="CD972" s="20" t="n">
        <f aca="false">(CC972)^2</f>
        <v>0.615677397331303</v>
      </c>
    </row>
    <row r="973" customFormat="false" ht="12.8" hidden="false" customHeight="false" outlineLevel="0" collapsed="false">
      <c r="BZ973" s="0" t="n">
        <v>8.14</v>
      </c>
      <c r="CA973" s="0" t="n">
        <v>39.8608095236115</v>
      </c>
      <c r="CB973" s="0" t="n">
        <v>40.6295612869068</v>
      </c>
      <c r="CC973" s="0" t="n">
        <v>0.768751763295278</v>
      </c>
      <c r="CD973" s="20" t="n">
        <f aca="false">(CC973)^2</f>
        <v>0.590979273569599</v>
      </c>
    </row>
    <row r="974" customFormat="false" ht="12.8" hidden="false" customHeight="false" outlineLevel="0" collapsed="false">
      <c r="BZ974" s="0" t="n">
        <v>7.77</v>
      </c>
      <c r="CA974" s="0" t="n">
        <v>39.8414462436044</v>
      </c>
      <c r="CB974" s="0" t="n">
        <v>40.2970404904863</v>
      </c>
      <c r="CC974" s="0" t="n">
        <v>0.455594246881873</v>
      </c>
      <c r="CD974" s="20" t="n">
        <f aca="false">(CC974)^2</f>
        <v>0.207566117791861</v>
      </c>
    </row>
    <row r="975" customFormat="false" ht="12.8" hidden="false" customHeight="false" outlineLevel="0" collapsed="false">
      <c r="BZ975" s="0" t="n">
        <v>8.02</v>
      </c>
      <c r="CA975" s="0" t="n">
        <v>39.8545295409065</v>
      </c>
      <c r="CB975" s="0" t="n">
        <v>39.5808250944804</v>
      </c>
      <c r="CC975" s="0" t="n">
        <v>-0.273704446426123</v>
      </c>
      <c r="CD975" s="20" t="n">
        <f aca="false">(CC975)^2</f>
        <v>0.0749141239934305</v>
      </c>
    </row>
    <row r="976" customFormat="false" ht="12.8" hidden="false" customHeight="false" outlineLevel="0" collapsed="false">
      <c r="BZ976" s="0" t="n">
        <v>8.28</v>
      </c>
      <c r="CA976" s="0" t="n">
        <v>39.8681361701007</v>
      </c>
      <c r="CB976" s="0" t="n">
        <v>40.3643638589132</v>
      </c>
      <c r="CC976" s="0" t="n">
        <v>0.496227688812503</v>
      </c>
      <c r="CD976" s="20" t="n">
        <f aca="false">(CC976)^2</f>
        <v>0.246241919144199</v>
      </c>
    </row>
    <row r="977" customFormat="false" ht="12.8" hidden="false" customHeight="false" outlineLevel="0" collapsed="false">
      <c r="BZ977" s="0" t="n">
        <v>8.71</v>
      </c>
      <c r="CA977" s="0" t="n">
        <v>39.8906394414603</v>
      </c>
      <c r="CB977" s="0" t="n">
        <v>41.0032839602938</v>
      </c>
      <c r="CC977" s="0" t="n">
        <v>1.11264451883351</v>
      </c>
      <c r="CD977" s="20" t="n">
        <f aca="false">(CC977)^2</f>
        <v>1.23797782529026</v>
      </c>
    </row>
    <row r="978" customFormat="false" ht="12.8" hidden="false" customHeight="false" outlineLevel="0" collapsed="false">
      <c r="BZ978" s="0" t="n">
        <v>7.88</v>
      </c>
      <c r="CA978" s="0" t="n">
        <v>39.8472028944173</v>
      </c>
      <c r="CB978" s="0" t="n">
        <v>39.4879266153321</v>
      </c>
      <c r="CC978" s="0" t="n">
        <v>-0.35927627908525</v>
      </c>
      <c r="CD978" s="20" t="n">
        <f aca="false">(CC978)^2</f>
        <v>0.129079444713343</v>
      </c>
    </row>
    <row r="979" customFormat="false" ht="12.8" hidden="false" customHeight="false" outlineLevel="0" collapsed="false">
      <c r="BZ979" s="0" t="n">
        <v>7.54</v>
      </c>
      <c r="CA979" s="0" t="n">
        <v>39.8294096100865</v>
      </c>
      <c r="CB979" s="0" t="n">
        <v>39.8907352023789</v>
      </c>
      <c r="CC979" s="0" t="n">
        <v>0.0613255922923841</v>
      </c>
      <c r="CD979" s="20" t="n">
        <f aca="false">(CC979)^2</f>
        <v>0.00376082827001172</v>
      </c>
    </row>
    <row r="980" customFormat="false" ht="12.8" hidden="false" customHeight="false" outlineLevel="0" collapsed="false">
      <c r="BZ980" s="0" t="n">
        <v>8.26</v>
      </c>
      <c r="CA980" s="0" t="n">
        <v>39.8670895063165</v>
      </c>
      <c r="CB980" s="0" t="n">
        <v>39.8855611883631</v>
      </c>
      <c r="CC980" s="0" t="n">
        <v>0.0184716820465738</v>
      </c>
      <c r="CD980" s="20" t="n">
        <f aca="false">(CC980)^2</f>
        <v>0.000341203037629716</v>
      </c>
    </row>
    <row r="981" customFormat="false" ht="12.8" hidden="false" customHeight="false" outlineLevel="0" collapsed="false">
      <c r="BZ981" s="0" t="n">
        <v>8.01</v>
      </c>
      <c r="CA981" s="0" t="n">
        <v>39.8540062090144</v>
      </c>
      <c r="CB981" s="0" t="n">
        <v>40.8602418490241</v>
      </c>
      <c r="CC981" s="0" t="n">
        <v>1.00623564000966</v>
      </c>
      <c r="CD981" s="20" t="n">
        <f aca="false">(CC981)^2</f>
        <v>1.01251016322566</v>
      </c>
    </row>
    <row r="982" customFormat="false" ht="12.8" hidden="false" customHeight="false" outlineLevel="0" collapsed="false">
      <c r="BZ982" s="0" t="n">
        <v>8.48</v>
      </c>
      <c r="CA982" s="0" t="n">
        <v>39.8786028079424</v>
      </c>
      <c r="CB982" s="0" t="n">
        <v>39.5307026003539</v>
      </c>
      <c r="CC982" s="0" t="n">
        <v>-0.347900207588467</v>
      </c>
      <c r="CD982" s="20" t="n">
        <f aca="false">(CC982)^2</f>
        <v>0.121034554440098</v>
      </c>
    </row>
    <row r="983" customFormat="false" ht="12.8" hidden="false" customHeight="false" outlineLevel="0" collapsed="false">
      <c r="BZ983" s="0" t="n">
        <v>7.99</v>
      </c>
      <c r="CA983" s="0" t="n">
        <v>39.8529595452303</v>
      </c>
      <c r="CB983" s="0" t="n">
        <v>39.4259659076773</v>
      </c>
      <c r="CC983" s="0" t="n">
        <v>-0.426993637552968</v>
      </c>
      <c r="CD983" s="20" t="n">
        <f aca="false">(CC983)^2</f>
        <v>0.182323566510716</v>
      </c>
    </row>
    <row r="984" customFormat="false" ht="12.8" hidden="false" customHeight="false" outlineLevel="0" collapsed="false">
      <c r="BZ984" s="0" t="n">
        <v>8.01</v>
      </c>
      <c r="CA984" s="0" t="n">
        <v>39.8540062090144</v>
      </c>
      <c r="CB984" s="0" t="n">
        <v>39.3876198532141</v>
      </c>
      <c r="CC984" s="0" t="n">
        <v>-0.466386355800339</v>
      </c>
      <c r="CD984" s="20" t="n">
        <f aca="false">(CC984)^2</f>
        <v>0.21751623287672</v>
      </c>
    </row>
    <row r="985" customFormat="false" ht="12.8" hidden="false" customHeight="false" outlineLevel="0" collapsed="false">
      <c r="BZ985" s="0" t="n">
        <v>7.74</v>
      </c>
      <c r="CA985" s="0" t="n">
        <v>39.8398762479282</v>
      </c>
      <c r="CB985" s="0" t="n">
        <v>39.7992940202333</v>
      </c>
      <c r="CC985" s="0" t="n">
        <v>-0.040582227694884</v>
      </c>
      <c r="CD985" s="20" t="n">
        <f aca="false">(CC985)^2</f>
        <v>0.00164691720467941</v>
      </c>
    </row>
    <row r="986" customFormat="false" ht="12.8" hidden="false" customHeight="false" outlineLevel="0" collapsed="false">
      <c r="BZ986" s="0" t="n">
        <v>7.95</v>
      </c>
      <c r="CA986" s="0" t="n">
        <v>39.8508662176619</v>
      </c>
      <c r="CB986" s="0" t="n">
        <v>39.5414546476421</v>
      </c>
      <c r="CC986" s="0" t="n">
        <v>-0.30941157001984</v>
      </c>
      <c r="CD986" s="20" t="n">
        <f aca="false">(CC986)^2</f>
        <v>0.0957355196621424</v>
      </c>
    </row>
    <row r="987" customFormat="false" ht="12.8" hidden="false" customHeight="false" outlineLevel="0" collapsed="false">
      <c r="BZ987" s="0" t="n">
        <v>7.77</v>
      </c>
      <c r="CA987" s="0" t="n">
        <v>39.8414462436044</v>
      </c>
      <c r="CB987" s="0" t="n">
        <v>39.2951320767752</v>
      </c>
      <c r="CC987" s="0" t="n">
        <v>-0.546314166829234</v>
      </c>
      <c r="CD987" s="20" t="n">
        <f aca="false">(CC987)^2</f>
        <v>0.29845916887832</v>
      </c>
    </row>
    <row r="988" customFormat="false" ht="12.8" hidden="false" customHeight="false" outlineLevel="0" collapsed="false">
      <c r="BZ988" s="0" t="n">
        <v>7.92</v>
      </c>
      <c r="CA988" s="0" t="n">
        <v>39.8492962219857</v>
      </c>
      <c r="CB988" s="0" t="n">
        <v>39.0423920343584</v>
      </c>
      <c r="CC988" s="0" t="n">
        <v>-0.806904187627289</v>
      </c>
      <c r="CD988" s="20" t="n">
        <f aca="false">(CC988)^2</f>
        <v>0.651094368010455</v>
      </c>
    </row>
    <row r="989" customFormat="false" ht="12.8" hidden="false" customHeight="false" outlineLevel="0" collapsed="false">
      <c r="BZ989" s="0" t="n">
        <v>7.85</v>
      </c>
      <c r="CA989" s="0" t="n">
        <v>39.8456328987411</v>
      </c>
      <c r="CB989" s="0" t="n">
        <v>39.7584397069598</v>
      </c>
      <c r="CC989" s="0" t="n">
        <v>-0.0871931917813029</v>
      </c>
      <c r="CD989" s="20" t="n">
        <f aca="false">(CC989)^2</f>
        <v>0.00760265269301107</v>
      </c>
    </row>
    <row r="990" customFormat="false" ht="12.8" hidden="false" customHeight="false" outlineLevel="0" collapsed="false">
      <c r="BZ990" s="0" t="n">
        <v>7.72</v>
      </c>
      <c r="CA990" s="0" t="n">
        <v>39.838829584144</v>
      </c>
      <c r="CB990" s="0" t="n">
        <v>39.0217644408478</v>
      </c>
      <c r="CC990" s="0" t="n">
        <v>-0.817065143296219</v>
      </c>
      <c r="CD990" s="20" t="n">
        <f aca="false">(CC990)^2</f>
        <v>0.667595448389671</v>
      </c>
    </row>
    <row r="991" customFormat="false" ht="12.8" hidden="false" customHeight="false" outlineLevel="0" collapsed="false">
      <c r="CD991" s="0" t="n">
        <f aca="false">SQRT(SUM(CD953:CD990)/38)</f>
        <v>0.484996099837025</v>
      </c>
    </row>
  </sheetData>
  <mergeCells count="19">
    <mergeCell ref="B1:I1"/>
    <mergeCell ref="J1:P1"/>
    <mergeCell ref="R1:Z1"/>
    <mergeCell ref="AA1:AJ1"/>
    <mergeCell ref="AM1:AZ1"/>
    <mergeCell ref="BE1:BO1"/>
    <mergeCell ref="BS1:BW1"/>
    <mergeCell ref="CO12:CQ12"/>
    <mergeCell ref="BE51:BG51"/>
    <mergeCell ref="BH51:BJ51"/>
    <mergeCell ref="BL51:BM51"/>
    <mergeCell ref="BO51:BP51"/>
    <mergeCell ref="BK93:BL93"/>
    <mergeCell ref="A99:C99"/>
    <mergeCell ref="P99:S99"/>
    <mergeCell ref="T99:V99"/>
    <mergeCell ref="W99:Y99"/>
    <mergeCell ref="Z99:AB99"/>
    <mergeCell ref="BS354:BU3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79"/>
  <sheetViews>
    <sheetView showFormulas="false" showGridLines="true" showRowColHeaders="true" showZeros="true" rightToLeft="false" tabSelected="false" showOutlineSymbols="true" defaultGridColor="true" view="normal" topLeftCell="E32" colorId="64" zoomScale="79" zoomScaleNormal="79" zoomScalePageLayoutView="100" workbookViewId="0">
      <selection pane="topLeft" activeCell="Z68" activeCellId="0" sqref="Z68"/>
    </sheetView>
  </sheetViews>
  <sheetFormatPr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17.64"/>
    <col collapsed="false" customWidth="false" hidden="false" outlineLevel="0" max="18" min="3" style="0" width="11.52"/>
    <col collapsed="false" customWidth="true" hidden="false" outlineLevel="0" max="19" min="19" style="0" width="13.55"/>
    <col collapsed="false" customWidth="false" hidden="false" outlineLevel="0" max="20" min="20" style="0" width="11.52"/>
    <col collapsed="false" customWidth="true" hidden="false" outlineLevel="0" max="21" min="21" style="0" width="13.55"/>
    <col collapsed="false" customWidth="false" hidden="false" outlineLevel="0" max="22" min="22" style="0" width="11.52"/>
    <col collapsed="false" customWidth="true" hidden="false" outlineLevel="0" max="23" min="23" style="0" width="13.39"/>
    <col collapsed="false" customWidth="false" hidden="false" outlineLevel="0" max="24" min="24" style="0" width="11.52"/>
    <col collapsed="false" customWidth="true" hidden="false" outlineLevel="0" max="25" min="25" style="0" width="12.37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n">
        <f aca="false">Sheet1!A1</f>
        <v>0</v>
      </c>
      <c r="B1" s="47" t="str">
        <f aca="false">Sheet1!B1</f>
        <v>DADOS PARA CALCULO DO RAIO full</v>
      </c>
      <c r="C1" s="47"/>
      <c r="D1" s="47"/>
      <c r="E1" s="47"/>
      <c r="F1" s="47"/>
      <c r="G1" s="48" t="str">
        <f aca="false">Sheet1!J1</f>
        <v>DADOS PARA CALCULO DO RAIO B.K</v>
      </c>
      <c r="H1" s="48"/>
      <c r="I1" s="48"/>
      <c r="J1" s="48"/>
      <c r="K1" s="48"/>
      <c r="P1" s="12" t="s">
        <v>556</v>
      </c>
      <c r="Q1" s="12"/>
      <c r="R1" s="12"/>
      <c r="S1" s="12"/>
      <c r="T1" s="12"/>
      <c r="U1" s="12"/>
      <c r="V1" s="12"/>
      <c r="W1" s="12"/>
      <c r="X1" s="12"/>
      <c r="Y1" s="12"/>
      <c r="AW1" s="0" t="s">
        <v>557</v>
      </c>
      <c r="BD1" s="0" t="s">
        <v>558</v>
      </c>
    </row>
    <row r="2" customFormat="false" ht="12.8" hidden="false" customHeight="false" outlineLevel="0" collapsed="false">
      <c r="A2" s="0" t="str">
        <f aca="false">Sheet1!A2</f>
        <v>Galaxy</v>
      </c>
      <c r="B2" s="0" t="s">
        <v>559</v>
      </c>
      <c r="C2" s="0" t="s">
        <v>560</v>
      </c>
      <c r="D2" s="0" t="s">
        <v>561</v>
      </c>
      <c r="E2" s="0" t="s">
        <v>562</v>
      </c>
      <c r="F2" s="0" t="s">
        <v>563</v>
      </c>
      <c r="G2" s="0" t="s">
        <v>559</v>
      </c>
      <c r="H2" s="0" t="s">
        <v>560</v>
      </c>
      <c r="I2" s="0" t="s">
        <v>561</v>
      </c>
      <c r="J2" s="0" t="s">
        <v>562</v>
      </c>
      <c r="K2" s="0" t="s">
        <v>563</v>
      </c>
      <c r="M2" s="0" t="s">
        <v>564</v>
      </c>
      <c r="N2" s="0" t="s">
        <v>565</v>
      </c>
      <c r="P2" s="0" t="s">
        <v>566</v>
      </c>
      <c r="Q2" s="0" t="s">
        <v>567</v>
      </c>
      <c r="R2" s="0" t="s">
        <v>568</v>
      </c>
      <c r="S2" s="0" t="s">
        <v>569</v>
      </c>
      <c r="T2" s="0" t="s">
        <v>570</v>
      </c>
      <c r="U2" s="0" t="s">
        <v>571</v>
      </c>
      <c r="V2" s="0" t="s">
        <v>572</v>
      </c>
      <c r="W2" s="0" t="s">
        <v>573</v>
      </c>
      <c r="X2" s="0" t="s">
        <v>574</v>
      </c>
      <c r="Y2" s="0" t="s">
        <v>575</v>
      </c>
      <c r="AA2" s="0" t="s">
        <v>576</v>
      </c>
      <c r="AB2" s="0" t="s">
        <v>577</v>
      </c>
      <c r="AC2" s="0" t="s">
        <v>578</v>
      </c>
      <c r="AD2" s="0" t="s">
        <v>579</v>
      </c>
      <c r="AE2" s="0" t="s">
        <v>580</v>
      </c>
      <c r="BL2" s="13" t="s">
        <v>130</v>
      </c>
      <c r="BU2" s="13" t="s">
        <v>130</v>
      </c>
    </row>
    <row r="3" customFormat="false" ht="13.2" hidden="false" customHeight="false" outlineLevel="0" collapsed="false">
      <c r="A3" s="0" t="str">
        <f aca="false">Sheet1!A3</f>
        <v>C0840+1044</v>
      </c>
      <c r="B3" s="0" t="n">
        <v>0.5317</v>
      </c>
      <c r="C3" s="0" t="n">
        <v>0.0154</v>
      </c>
      <c r="D3" s="20" t="n">
        <v>0.5018</v>
      </c>
      <c r="E3" s="0" t="n">
        <v>0.0121</v>
      </c>
      <c r="G3" s="0" t="n">
        <v>0.5</v>
      </c>
      <c r="H3" s="0" t="n">
        <v>0</v>
      </c>
      <c r="I3" s="20" t="n">
        <v>0.5</v>
      </c>
      <c r="J3" s="0" t="n">
        <v>0</v>
      </c>
      <c r="M3" s="0" t="n">
        <v>0.02938</v>
      </c>
      <c r="N3" s="0" t="n">
        <f aca="false">Sheet1!Z3/(1+M3)^2</f>
        <v>45.2991220904434</v>
      </c>
      <c r="O3" s="49" t="n">
        <v>1.23767112429561E+032</v>
      </c>
      <c r="P3" s="0" t="n">
        <v>1.688356</v>
      </c>
      <c r="Q3" s="0" t="n">
        <v>0.1062431</v>
      </c>
      <c r="R3" s="0" t="n">
        <v>2.280576</v>
      </c>
      <c r="S3" s="0" t="n">
        <v>0.00311019</v>
      </c>
      <c r="T3" s="0" t="n">
        <v>2.511397</v>
      </c>
      <c r="U3" s="0" t="n">
        <v>0.04190111</v>
      </c>
      <c r="V3" s="0" t="n">
        <v>2.916513</v>
      </c>
      <c r="W3" s="0" t="n">
        <v>0.07149448</v>
      </c>
      <c r="X3" s="0" t="n">
        <v>2.456425</v>
      </c>
      <c r="Y3" s="0" t="n">
        <v>0.2642675</v>
      </c>
      <c r="Z3" s="0" t="n">
        <f aca="false">Sheet1!AS3</f>
        <v>0.67110956500573</v>
      </c>
      <c r="AA3" s="0" t="n">
        <v>1.34596</v>
      </c>
      <c r="AB3" s="20" t="n">
        <v>1.370572</v>
      </c>
      <c r="AC3" s="20" t="n">
        <v>1.135002</v>
      </c>
      <c r="AD3" s="20" t="n">
        <v>1.066888</v>
      </c>
      <c r="AE3" s="20" t="n">
        <v>1.08078</v>
      </c>
      <c r="AK3" s="0" t="n">
        <f aca="false">Sheet1!AN3</f>
        <v>1.98720395836898</v>
      </c>
      <c r="AL3" s="0" t="n">
        <f aca="false">Sheet1!AO3</f>
        <v>1.69946586243346</v>
      </c>
      <c r="BC3" s="13" t="s">
        <v>130</v>
      </c>
      <c r="BL3" s="0" t="s">
        <v>78</v>
      </c>
      <c r="BM3" s="0" t="s">
        <v>79</v>
      </c>
      <c r="BU3" s="0" t="s">
        <v>78</v>
      </c>
      <c r="BV3" s="0" t="s">
        <v>79</v>
      </c>
    </row>
    <row r="4" customFormat="false" ht="12.8" hidden="false" customHeight="false" outlineLevel="0" collapsed="false">
      <c r="A4" s="0" t="str">
        <f aca="false">Sheet1!A4</f>
        <v>N-CTS1011</v>
      </c>
      <c r="B4" s="0" t="n">
        <v>0.4</v>
      </c>
      <c r="C4" s="0" t="n">
        <v>0</v>
      </c>
      <c r="D4" s="0" t="n">
        <v>0.4</v>
      </c>
      <c r="E4" s="8" t="n">
        <v>0</v>
      </c>
      <c r="F4" s="8"/>
      <c r="G4" s="0" t="n">
        <v>0.56</v>
      </c>
      <c r="H4" s="0" t="n">
        <v>0</v>
      </c>
      <c r="I4" s="0" t="n">
        <v>0.56</v>
      </c>
      <c r="J4" s="0" t="n">
        <v>0</v>
      </c>
      <c r="M4" s="0" t="n">
        <v>0.01207</v>
      </c>
      <c r="N4" s="0" t="n">
        <f aca="false">Sheet1!Z4/(1+M4)^2</f>
        <v>54.5746180231519</v>
      </c>
      <c r="BC4" s="0" t="s">
        <v>78</v>
      </c>
      <c r="BD4" s="0" t="s">
        <v>79</v>
      </c>
    </row>
    <row r="5" customFormat="false" ht="13.2" hidden="false" customHeight="false" outlineLevel="0" collapsed="false">
      <c r="A5" s="0" t="str">
        <f aca="false">Sheet1!A5</f>
        <v>N-CTS1013</v>
      </c>
      <c r="B5" s="0" t="n">
        <v>0.3</v>
      </c>
      <c r="C5" s="0" t="n">
        <v>0.0132</v>
      </c>
      <c r="D5" s="20" t="n">
        <v>0.3</v>
      </c>
      <c r="E5" s="8" t="n">
        <v>0.0128</v>
      </c>
      <c r="F5" s="8"/>
      <c r="G5" s="0" t="n">
        <v>0.6</v>
      </c>
      <c r="H5" s="0" t="n">
        <v>0</v>
      </c>
      <c r="I5" s="0" t="n">
        <v>0.6</v>
      </c>
      <c r="J5" s="0" t="n">
        <v>0</v>
      </c>
      <c r="M5" s="0" t="n">
        <v>0.02688</v>
      </c>
      <c r="N5" s="0" t="n">
        <f aca="false">Sheet1!Z5/(1+M5)^2</f>
        <v>112.377394726055</v>
      </c>
      <c r="BL5" s="0" t="s">
        <v>84</v>
      </c>
      <c r="BU5" s="0" t="s">
        <v>84</v>
      </c>
    </row>
    <row r="6" customFormat="false" ht="13.2" hidden="false" customHeight="false" outlineLevel="0" collapsed="false">
      <c r="A6" s="0" t="str">
        <f aca="false">Sheet1!A6</f>
        <v>N-CTS1016</v>
      </c>
      <c r="B6" s="0" t="n">
        <v>0.427</v>
      </c>
      <c r="C6" s="0" t="n">
        <v>0.0086</v>
      </c>
      <c r="D6" s="20" t="n">
        <v>0.4267</v>
      </c>
      <c r="E6" s="8" t="n">
        <v>0.0079</v>
      </c>
      <c r="F6" s="8" t="n">
        <v>0.052</v>
      </c>
      <c r="G6" s="0" t="n">
        <v>0.55</v>
      </c>
      <c r="H6" s="0" t="n">
        <v>0.016</v>
      </c>
      <c r="I6" s="0" t="n">
        <v>0.55</v>
      </c>
      <c r="J6" s="0" t="n">
        <v>0.0151</v>
      </c>
      <c r="K6" s="0" t="n">
        <v>0.0108</v>
      </c>
      <c r="M6" s="0" t="n">
        <v>0.0345</v>
      </c>
      <c r="N6" s="0" t="n">
        <f aca="false">Sheet1!Z6/(1+M6)^2</f>
        <v>140.722642539492</v>
      </c>
      <c r="BC6" s="0" t="s">
        <v>84</v>
      </c>
      <c r="BL6" s="0" t="n">
        <f aca="false" t="array" ref="BL6:BN10">LINEST(Sheet1!$BF$3:$BF$41 , Sheet1!$BL$246:$BM$284 , 1 , 1)</f>
        <v>2.43663996793504</v>
      </c>
      <c r="BM6" s="0" t="n">
        <v>0.285753934672898</v>
      </c>
      <c r="BN6" s="0" t="n">
        <v>35.9171754950028</v>
      </c>
      <c r="BU6" s="0" t="n">
        <f aca="false" t="array" ref="BU6:BW10">LINEST(Sheet1!$BF$3:$BF$41 , Sheet1!$BM$246:$BN$284 , 1 , 1)</f>
        <v>0.405506081438876</v>
      </c>
      <c r="BV6" s="0" t="n">
        <v>2.33789558504931</v>
      </c>
      <c r="BW6" s="0" t="n">
        <v>35.7983354129007</v>
      </c>
    </row>
    <row r="7" customFormat="false" ht="13.2" hidden="false" customHeight="false" outlineLevel="0" collapsed="false">
      <c r="A7" s="0" t="str">
        <f aca="false">Sheet1!A7</f>
        <v>N-CTS1017 $   §</v>
      </c>
      <c r="B7" s="0" t="n">
        <v>0.25</v>
      </c>
      <c r="C7" s="0" t="n">
        <v>0.0191</v>
      </c>
      <c r="D7" s="20" t="n">
        <v>0.25</v>
      </c>
      <c r="E7" s="8" t="n">
        <v>0.0203</v>
      </c>
      <c r="F7" s="8" t="n">
        <v>0.063</v>
      </c>
      <c r="G7" s="0" t="n">
        <v>0.4</v>
      </c>
      <c r="H7" s="0" t="n">
        <v>0.0211</v>
      </c>
      <c r="I7" s="0" t="n">
        <v>0.4</v>
      </c>
      <c r="J7" s="0" t="n">
        <v>0</v>
      </c>
      <c r="K7" s="0" t="n">
        <v>0.0168</v>
      </c>
      <c r="M7" s="0" t="n">
        <v>0.03544</v>
      </c>
      <c r="N7" s="0" t="n">
        <f aca="false">Sheet1!Z7/(1+M7)^2</f>
        <v>144.104853229694</v>
      </c>
      <c r="BC7" s="0" t="n">
        <f aca="false" t="array" ref="BC7:BE11">LINEST(Sheet1!$BF$3:$BF$41 , Sheet1!$BJ$246:$BK$284 , 1 , 1)</f>
        <v>2.36688955500347</v>
      </c>
      <c r="BD7" s="0" t="n">
        <v>0.305437656567813</v>
      </c>
      <c r="BE7" s="0" t="n">
        <v>35.9652602365844</v>
      </c>
      <c r="BL7" s="0" t="n">
        <v>0.430378847207873</v>
      </c>
      <c r="BM7" s="0" t="n">
        <v>0.177435864330804</v>
      </c>
      <c r="BN7" s="0" t="n">
        <v>0.516858591932865</v>
      </c>
      <c r="BU7" s="0" t="n">
        <v>0.166872830565703</v>
      </c>
      <c r="BV7" s="0" t="n">
        <v>0.401658051692042</v>
      </c>
      <c r="BW7" s="0" t="n">
        <v>0.500550747917672</v>
      </c>
    </row>
    <row r="8" customFormat="false" ht="13.2" hidden="false" customHeight="false" outlineLevel="0" collapsed="false">
      <c r="A8" s="0" t="str">
        <f aca="false">Sheet1!A8</f>
        <v>N-CTS1020</v>
      </c>
      <c r="B8" s="0" t="n">
        <v>0.49</v>
      </c>
      <c r="C8" s="0" t="n">
        <v>0.0211</v>
      </c>
      <c r="D8" s="20" t="n">
        <v>0.49</v>
      </c>
      <c r="E8" s="8" t="n">
        <v>0.0202</v>
      </c>
      <c r="F8" s="8" t="n">
        <v>0.0409</v>
      </c>
      <c r="G8" s="0" t="n">
        <v>0.65</v>
      </c>
      <c r="H8" s="0" t="n">
        <v>0.0328</v>
      </c>
      <c r="I8" s="0" t="n">
        <v>0.65</v>
      </c>
      <c r="J8" s="0" t="n">
        <v>0.0318</v>
      </c>
      <c r="K8" s="0" t="s">
        <v>581</v>
      </c>
      <c r="M8" s="0" t="n">
        <v>0.01248</v>
      </c>
      <c r="N8" s="0" t="n">
        <f aca="false">Sheet1!Z8/(1+M8)^2</f>
        <v>56.286326668462</v>
      </c>
      <c r="BC8" s="0" t="n">
        <v>0.443840574209521</v>
      </c>
      <c r="BD8" s="0" t="n">
        <v>0.178549102958401</v>
      </c>
      <c r="BE8" s="0" t="n">
        <v>0.51077784314737</v>
      </c>
      <c r="BL8" s="0" t="n">
        <v>0.619658861582027</v>
      </c>
      <c r="BM8" s="0" t="n">
        <v>0.309870327480354</v>
      </c>
      <c r="BN8" s="0" t="e">
        <v>#N/A</v>
      </c>
      <c r="BU8" s="0" t="n">
        <v>0.649714506376068</v>
      </c>
      <c r="BV8" s="0" t="n">
        <v>0.297374973409183</v>
      </c>
      <c r="BW8" s="0" t="e">
        <v>#N/A</v>
      </c>
    </row>
    <row r="9" customFormat="false" ht="13.2" hidden="false" customHeight="false" outlineLevel="0" collapsed="false">
      <c r="A9" s="0" t="str">
        <f aca="false">Sheet1!A9</f>
        <v>N-CTS1022 §</v>
      </c>
      <c r="B9" s="0" t="n">
        <v>0.0968</v>
      </c>
      <c r="C9" s="0" t="n">
        <v>0.0093</v>
      </c>
      <c r="D9" s="20" t="n">
        <v>0.1074</v>
      </c>
      <c r="E9" s="8" t="n">
        <v>0.0088</v>
      </c>
      <c r="F9" s="8" t="n">
        <v>0.1507</v>
      </c>
      <c r="G9" s="0" t="n">
        <v>0.55</v>
      </c>
      <c r="H9" s="0" t="n">
        <v>0.0356</v>
      </c>
      <c r="I9" s="0" t="n">
        <v>0.55</v>
      </c>
      <c r="J9" s="0" t="n">
        <v>0.0345</v>
      </c>
      <c r="K9" s="0" t="n">
        <v>0.0105</v>
      </c>
      <c r="M9" s="0" t="n">
        <v>0.01369</v>
      </c>
      <c r="N9" s="0" t="n">
        <f aca="false">Sheet1!Z9/(1+M9)^2</f>
        <v>61.2125287494312</v>
      </c>
      <c r="BC9" s="0" t="n">
        <v>0.62291040296298</v>
      </c>
      <c r="BD9" s="0" t="n">
        <v>0.30854294168438</v>
      </c>
      <c r="BE9" s="0" t="e">
        <v>#N/A</v>
      </c>
      <c r="BL9" s="0" t="n">
        <v>29.325935014211</v>
      </c>
      <c r="BM9" s="0" t="n">
        <v>36</v>
      </c>
      <c r="BN9" s="0" t="e">
        <v>#N/A</v>
      </c>
      <c r="BU9" s="0" t="n">
        <v>33.386655535684</v>
      </c>
      <c r="BV9" s="0" t="n">
        <v>36</v>
      </c>
      <c r="BW9" s="0" t="e">
        <v>#N/A</v>
      </c>
    </row>
    <row r="10" customFormat="false" ht="13.2" hidden="false" customHeight="false" outlineLevel="0" collapsed="false">
      <c r="A10" s="0" t="str">
        <f aca="false">Sheet1!A10</f>
        <v>N-CTS1034  Ha &amp;</v>
      </c>
      <c r="B10" s="0" t="n">
        <v>0.2</v>
      </c>
      <c r="C10" s="0" t="n">
        <v>0.0187</v>
      </c>
      <c r="D10" s="20" t="n">
        <v>0.2</v>
      </c>
      <c r="E10" s="8" t="n">
        <v>0.0202</v>
      </c>
      <c r="F10" s="8" t="n">
        <v>0.077</v>
      </c>
      <c r="G10" s="0" t="n">
        <v>0.65</v>
      </c>
      <c r="H10" s="0" t="n">
        <v>0</v>
      </c>
      <c r="I10" s="0" t="n">
        <v>0.65</v>
      </c>
      <c r="J10" s="0" t="n">
        <v>0</v>
      </c>
      <c r="K10" s="0" t="n">
        <v>0.0351</v>
      </c>
      <c r="M10" s="0" t="n">
        <v>0.02292</v>
      </c>
      <c r="N10" s="0" t="n">
        <f aca="false">Sheet1!Z10/(1+M10)^2</f>
        <v>95.7600538472889</v>
      </c>
      <c r="BC10" s="0" t="n">
        <v>29.7340137236214</v>
      </c>
      <c r="BD10" s="0" t="n">
        <v>36</v>
      </c>
      <c r="BE10" s="0" t="e">
        <v>#N/A</v>
      </c>
      <c r="BL10" s="0" t="n">
        <v>5.63173026378383</v>
      </c>
      <c r="BM10" s="0" t="n">
        <v>3.45670631470014</v>
      </c>
      <c r="BN10" s="0" t="e">
        <v>#N/A</v>
      </c>
      <c r="BU10" s="0" t="n">
        <v>5.90488908531992</v>
      </c>
      <c r="BV10" s="0" t="n">
        <v>3.18354749316405</v>
      </c>
      <c r="BW10" s="0" t="e">
        <v>#N/A</v>
      </c>
      <c r="CF10" s="0" t="s">
        <v>582</v>
      </c>
      <c r="CH10" s="0" t="s">
        <v>583</v>
      </c>
      <c r="CJ10" s="0" t="s">
        <v>584</v>
      </c>
      <c r="CL10" s="0" t="s">
        <v>585</v>
      </c>
      <c r="CN10" s="0" t="s">
        <v>586</v>
      </c>
      <c r="CP10" s="0" t="s">
        <v>587</v>
      </c>
    </row>
    <row r="11" customFormat="false" ht="13.2" hidden="false" customHeight="false" outlineLevel="0" collapsed="false">
      <c r="A11" s="0" t="str">
        <f aca="false">Sheet1!A11</f>
        <v>N-CTS1035  &amp;</v>
      </c>
      <c r="B11" s="0" t="n">
        <v>0.4</v>
      </c>
      <c r="C11" s="0" t="n">
        <v>0.0195</v>
      </c>
      <c r="D11" s="20" t="n">
        <v>0.4</v>
      </c>
      <c r="E11" s="8" t="n">
        <v>0.0287</v>
      </c>
      <c r="F11" s="8" t="n">
        <v>0.0356</v>
      </c>
      <c r="G11" s="0" t="n">
        <v>0.65</v>
      </c>
      <c r="H11" s="0" t="n">
        <v>0</v>
      </c>
      <c r="I11" s="0" t="n">
        <v>0.65</v>
      </c>
      <c r="J11" s="0" t="n">
        <v>0</v>
      </c>
      <c r="K11" s="0" t="n">
        <v>0.0321</v>
      </c>
      <c r="M11" s="0" t="n">
        <v>0.02848</v>
      </c>
      <c r="N11" s="0" t="n">
        <f aca="false">Sheet1!Z11/(1+M11)^2</f>
        <v>116.47132237655</v>
      </c>
      <c r="AG11" s="20"/>
      <c r="BC11" s="0" t="n">
        <v>5.66128169140693</v>
      </c>
      <c r="BD11" s="0" t="n">
        <v>3.42715488707703</v>
      </c>
      <c r="BE11" s="0" t="e">
        <v>#N/A</v>
      </c>
      <c r="CD11" s="22" t="n">
        <v>1</v>
      </c>
      <c r="CE11" s="42" t="s">
        <v>241</v>
      </c>
      <c r="CF11" s="42" t="n">
        <f aca="false">Sheet1!BG246</f>
        <v>0.786934370583133</v>
      </c>
      <c r="CG11" s="42" t="s">
        <v>241</v>
      </c>
      <c r="CH11" s="42" t="n">
        <f aca="false">Sheet1!BJ246</f>
        <v>2.2376031663819</v>
      </c>
      <c r="CI11" s="42" t="s">
        <v>241</v>
      </c>
      <c r="CJ11" s="42" t="n">
        <f aca="false">Sheet1!BH246</f>
        <v>0.417184567436605</v>
      </c>
      <c r="CK11" s="42" t="s">
        <v>241</v>
      </c>
      <c r="CL11" s="42" t="n">
        <f aca="false">Sheet1!BL246</f>
        <v>1.96199288672569</v>
      </c>
      <c r="CM11" s="42" t="s">
        <v>241</v>
      </c>
      <c r="CN11" s="42" t="n">
        <f aca="false">Sheet1!BI246</f>
        <v>0.550024417270589</v>
      </c>
      <c r="CO11" s="42" t="s">
        <v>241</v>
      </c>
      <c r="CP11" s="42" t="n">
        <f aca="false">Sheet1!BN246</f>
        <v>2.08204662175641</v>
      </c>
      <c r="CQ11" s="42" t="s">
        <v>350</v>
      </c>
    </row>
    <row r="12" customFormat="false" ht="13.2" hidden="false" customHeight="false" outlineLevel="0" collapsed="false">
      <c r="A12" s="0" t="str">
        <f aca="false">Sheet1!A12</f>
        <v>N-Fariall30=Mrk 1271 = [F80] 30</v>
      </c>
      <c r="B12" s="0" t="n">
        <v>0.2075</v>
      </c>
      <c r="C12" s="0" t="n">
        <v>0.0073</v>
      </c>
      <c r="D12" s="20" t="n">
        <v>0.2111</v>
      </c>
      <c r="E12" s="8" t="n">
        <v>0.0075</v>
      </c>
      <c r="F12" s="8" t="n">
        <v>0.0236</v>
      </c>
      <c r="G12" s="0" t="n">
        <v>0.55</v>
      </c>
      <c r="H12" s="0" t="n">
        <v>0</v>
      </c>
      <c r="I12" s="0" t="n">
        <v>0.55</v>
      </c>
      <c r="J12" s="0" t="n">
        <v>0</v>
      </c>
      <c r="K12" s="0" t="n">
        <v>0.0067</v>
      </c>
      <c r="M12" s="0" t="n">
        <v>0.00335</v>
      </c>
      <c r="N12" s="0" t="n">
        <f aca="false">Sheet1!Z12/(1+M12)^2</f>
        <v>18.0786700229718</v>
      </c>
      <c r="P12" s="0" t="n">
        <v>0.7610484</v>
      </c>
      <c r="Q12" s="0" t="n">
        <v>0.005597226</v>
      </c>
      <c r="R12" s="0" t="n">
        <v>0.8326843</v>
      </c>
      <c r="S12" s="0" t="n">
        <v>0.01360209</v>
      </c>
      <c r="T12" s="0" t="n">
        <v>0.2657138</v>
      </c>
      <c r="U12" s="0" t="n">
        <v>0.001098536</v>
      </c>
      <c r="V12" s="0" t="n">
        <v>0.698896</v>
      </c>
      <c r="W12" s="0" t="n">
        <v>0.006354516</v>
      </c>
      <c r="X12" s="0" t="n">
        <v>0.2718522</v>
      </c>
      <c r="Y12" s="0" t="n">
        <v>0.006711383</v>
      </c>
      <c r="Z12" s="0" t="n">
        <f aca="false">Sheet1!AS12</f>
        <v>0.60166004775985</v>
      </c>
      <c r="AA12" s="0" t="n">
        <v>1.945797</v>
      </c>
      <c r="AB12" s="0" t="n">
        <v>1.802476</v>
      </c>
      <c r="AC12" s="0" t="n">
        <v>1.561076</v>
      </c>
      <c r="AD12" s="0" t="n">
        <v>1.561076</v>
      </c>
      <c r="AE12" s="0" t="n">
        <v>1.506658</v>
      </c>
      <c r="AK12" s="0" t="n">
        <f aca="false">Sheet1!AN12</f>
        <v>2.47227095394793</v>
      </c>
      <c r="AL12" s="0" t="n">
        <f aca="false">Sheet1!AO12</f>
        <v>2.28723851885639</v>
      </c>
      <c r="BL12" s="0" t="s">
        <v>100</v>
      </c>
      <c r="BU12" s="0" t="s">
        <v>100</v>
      </c>
      <c r="CD12" s="22" t="n">
        <v>2</v>
      </c>
      <c r="CE12" s="42" t="s">
        <v>241</v>
      </c>
      <c r="CF12" s="42" t="n">
        <f aca="false">Sheet1!BG247</f>
        <v>0.470891333758976</v>
      </c>
      <c r="CG12" s="42" t="s">
        <v>241</v>
      </c>
      <c r="CH12" s="42" t="n">
        <f aca="false">Sheet1!BJ247</f>
        <v>2.09548626931625</v>
      </c>
      <c r="CI12" s="42" t="s">
        <v>241</v>
      </c>
      <c r="CJ12" s="42" t="n">
        <f aca="false">Sheet1!BH247</f>
        <v>0.638217088195641</v>
      </c>
      <c r="CK12" s="42" t="s">
        <v>241</v>
      </c>
      <c r="CL12" s="42" t="n">
        <f aca="false">Sheet1!BL247</f>
        <v>2.22753399971829</v>
      </c>
      <c r="CM12" s="42" t="s">
        <v>241</v>
      </c>
      <c r="CN12" s="42" t="n">
        <f aca="false">Sheet1!BI247</f>
        <v>0.760039606162752</v>
      </c>
      <c r="CO12" s="42" t="s">
        <v>241</v>
      </c>
      <c r="CP12" s="42" t="n">
        <f aca="false">Sheet1!BN247</f>
        <v>2.30340179575688</v>
      </c>
      <c r="CQ12" s="42" t="s">
        <v>350</v>
      </c>
    </row>
    <row r="13" customFormat="false" ht="13.2" hidden="false" customHeight="false" outlineLevel="0" collapsed="false">
      <c r="A13" s="0" t="str">
        <f aca="false">Sheet1!A13</f>
        <v>N-IIZw40-conti</v>
      </c>
      <c r="B13" s="0" t="n">
        <v>0.1358</v>
      </c>
      <c r="C13" s="0" t="n">
        <v>0.0335</v>
      </c>
      <c r="D13" s="20" t="n">
        <v>0.1358</v>
      </c>
      <c r="E13" s="8" t="n">
        <v>0.0571</v>
      </c>
      <c r="F13" s="8" t="n">
        <v>0.0221</v>
      </c>
      <c r="G13" s="0" t="n">
        <v>0.6</v>
      </c>
      <c r="H13" s="0" t="n">
        <v>0</v>
      </c>
      <c r="I13" s="0" t="n">
        <v>0.6</v>
      </c>
      <c r="J13" s="0" t="n">
        <v>0</v>
      </c>
      <c r="K13" s="0" t="s">
        <v>581</v>
      </c>
      <c r="M13" s="0" t="n">
        <v>0.00258</v>
      </c>
      <c r="N13" s="0" t="n">
        <f aca="false">Sheet1!Z13/(1+M13)^2</f>
        <v>11.7393468285763</v>
      </c>
      <c r="P13" s="0" t="n">
        <v>1.667807</v>
      </c>
      <c r="Q13" s="0" t="n">
        <v>0.05373349</v>
      </c>
      <c r="R13" s="0" t="n">
        <v>1.903512</v>
      </c>
      <c r="S13" s="0" t="n">
        <v>0.06416088</v>
      </c>
      <c r="T13" s="0" t="n">
        <v>1.972578</v>
      </c>
      <c r="U13" s="0" t="n">
        <v>0.07419101</v>
      </c>
      <c r="V13" s="0" t="n">
        <v>1.850355</v>
      </c>
      <c r="W13" s="0" t="n">
        <v>0.07847974</v>
      </c>
      <c r="X13" s="0" t="n">
        <v>1.806568</v>
      </c>
      <c r="Y13" s="0" t="n">
        <v>0.07604615</v>
      </c>
      <c r="Z13" s="0" t="n">
        <f aca="false">Sheet1!AS13</f>
        <v>0.625687074083191</v>
      </c>
      <c r="AA13" s="0" t="n">
        <v>1.077892</v>
      </c>
      <c r="AB13" s="0" t="n">
        <v>1.093669</v>
      </c>
      <c r="AC13" s="0" t="n">
        <v>0.9375052</v>
      </c>
      <c r="AD13" s="0" t="n">
        <v>0.8466482</v>
      </c>
      <c r="AE13" s="0" t="n">
        <v>0.8702394</v>
      </c>
      <c r="AK13" s="0" t="n">
        <f aca="false">Sheet1!AN13</f>
        <v>3.41882801718779</v>
      </c>
      <c r="AL13" s="0" t="n">
        <f aca="false">Sheet1!AO13</f>
        <v>3.22599098524441</v>
      </c>
      <c r="BC13" s="0" t="s">
        <v>100</v>
      </c>
      <c r="BL13" s="0" t="s">
        <v>103</v>
      </c>
      <c r="BM13" s="0" t="n">
        <f aca="false">Sheet2!$BL$8</f>
        <v>0.619658861582027</v>
      </c>
      <c r="BU13" s="0" t="s">
        <v>103</v>
      </c>
      <c r="BV13" s="0" t="n">
        <f aca="false">Sheet2!$BU$8</f>
        <v>0.649714506376068</v>
      </c>
      <c r="CD13" s="22" t="n">
        <v>3</v>
      </c>
      <c r="CE13" s="42" t="s">
        <v>241</v>
      </c>
      <c r="CF13" s="42" t="n">
        <f aca="false">Sheet1!BG248</f>
        <v>0.798480761285086</v>
      </c>
      <c r="CG13" s="42" t="s">
        <v>241</v>
      </c>
      <c r="CH13" s="42" t="n">
        <f aca="false">Sheet1!BJ248</f>
        <v>2.63851828298318</v>
      </c>
      <c r="CI13" s="42" t="s">
        <v>241</v>
      </c>
      <c r="CJ13" s="42" t="n">
        <f aca="false">Sheet1!BH248</f>
        <v>0.628646603154563</v>
      </c>
      <c r="CK13" s="42" t="s">
        <v>241</v>
      </c>
      <c r="CL13" s="42" t="n">
        <f aca="false">Sheet1!BL248</f>
        <v>2.53466039955659</v>
      </c>
      <c r="CM13" s="42" t="s">
        <v>241</v>
      </c>
      <c r="CN13" s="42" t="n">
        <f aca="false">Sheet1!BI248</f>
        <v>0.43689341109235</v>
      </c>
      <c r="CO13" s="42" t="s">
        <v>241</v>
      </c>
      <c r="CP13" s="42" t="n">
        <f aca="false">Sheet1!BN248</f>
        <v>2.3766293213853</v>
      </c>
      <c r="CQ13" s="42" t="s">
        <v>350</v>
      </c>
    </row>
    <row r="14" customFormat="false" ht="13.2" hidden="false" customHeight="false" outlineLevel="0" collapsed="false">
      <c r="A14" s="0" t="str">
        <f aca="false">Sheet1!A14</f>
        <v>N-IIZW70-conti   &amp;</v>
      </c>
      <c r="B14" s="0" t="n">
        <v>0.14</v>
      </c>
      <c r="C14" s="0" t="n">
        <v>0.0175</v>
      </c>
      <c r="D14" s="20" t="n">
        <v>0.1317</v>
      </c>
      <c r="E14" s="8" t="n">
        <v>0.0158</v>
      </c>
      <c r="F14" s="8" t="n">
        <v>0.0087</v>
      </c>
      <c r="G14" s="0" t="n">
        <v>0.43</v>
      </c>
      <c r="H14" s="0" t="n">
        <v>0</v>
      </c>
      <c r="I14" s="0" t="n">
        <v>0.43</v>
      </c>
      <c r="J14" s="0" t="n">
        <v>0</v>
      </c>
      <c r="K14" s="0" t="n">
        <v>0.0445</v>
      </c>
      <c r="M14" s="0" t="n">
        <v>0.00406</v>
      </c>
      <c r="N14" s="0" t="n">
        <f aca="false">Sheet1!Z14/(1+M14)^2</f>
        <v>19.0450403415992</v>
      </c>
      <c r="P14" s="0" t="n">
        <v>2.764865</v>
      </c>
      <c r="Q14" s="0" t="n">
        <v>0.02453231</v>
      </c>
      <c r="R14" s="0" t="n">
        <v>2.990497</v>
      </c>
      <c r="S14" s="0" t="n">
        <v>0.03941001</v>
      </c>
      <c r="T14" s="0" t="n">
        <v>3.351281</v>
      </c>
      <c r="U14" s="0" t="n">
        <v>0.05805352</v>
      </c>
      <c r="V14" s="0" t="n">
        <v>3.631538</v>
      </c>
      <c r="W14" s="0" t="n">
        <v>0.0751776</v>
      </c>
      <c r="X14" s="0" t="n">
        <v>3.593057</v>
      </c>
      <c r="Y14" s="0" t="n">
        <v>0.0894497</v>
      </c>
      <c r="Z14" s="0" t="n">
        <f aca="false">Sheet1!AS14</f>
        <v>0.82999165280762</v>
      </c>
      <c r="AA14" s="0" t="n">
        <v>0.9922803</v>
      </c>
      <c r="AB14" s="0" t="n">
        <v>0.9264521</v>
      </c>
      <c r="AC14" s="0" t="n">
        <v>0.8902562</v>
      </c>
      <c r="AD14" s="0" t="n">
        <v>0.7995287</v>
      </c>
      <c r="AE14" s="0" t="n">
        <v>0.7522244</v>
      </c>
      <c r="AK14" s="0" t="n">
        <f aca="false">Sheet1!AN14</f>
        <v>1.7947395747854</v>
      </c>
      <c r="AL14" s="0" t="n">
        <f aca="false">Sheet1!AO14</f>
        <v>0.904022652592776</v>
      </c>
      <c r="BC14" s="0" t="s">
        <v>103</v>
      </c>
      <c r="BD14" s="0" t="n">
        <f aca="false">Sheet2!$BC$9</f>
        <v>0.62291040296298</v>
      </c>
      <c r="BL14" s="0" t="s">
        <v>106</v>
      </c>
      <c r="BM14" s="0" t="n">
        <f aca="false">Sheet2!$BM$8</f>
        <v>0.309870327480354</v>
      </c>
      <c r="BU14" s="0" t="s">
        <v>106</v>
      </c>
      <c r="BV14" s="0" t="n">
        <f aca="false">Sheet2!$BV$8</f>
        <v>0.297374973409183</v>
      </c>
      <c r="CD14" s="22" t="n">
        <v>4</v>
      </c>
      <c r="CE14" s="42" t="s">
        <v>241</v>
      </c>
      <c r="CF14" s="42" t="n">
        <f aca="false">Sheet1!BG249</f>
        <v>0.639348769846222</v>
      </c>
      <c r="CG14" s="42" t="s">
        <v>241</v>
      </c>
      <c r="CH14" s="42" t="n">
        <f aca="false">Sheet1!BJ249</f>
        <v>2.63967668258401</v>
      </c>
      <c r="CI14" s="42" t="s">
        <v>241</v>
      </c>
      <c r="CJ14" s="42" t="n">
        <f aca="false">Sheet1!BH249</f>
        <v>0.506027554083707</v>
      </c>
      <c r="CK14" s="42" t="s">
        <v>241</v>
      </c>
      <c r="CL14" s="42" t="n">
        <f aca="false">Sheet1!BL249</f>
        <v>2.53811301426108</v>
      </c>
      <c r="CM14" s="42" t="s">
        <v>241</v>
      </c>
      <c r="CN14" s="42" t="n">
        <f aca="false">Sheet1!BI249</f>
        <v>0.486823844614094</v>
      </c>
      <c r="CO14" s="42" t="s">
        <v>241</v>
      </c>
      <c r="CP14" s="42" t="n">
        <f aca="false">Sheet1!BN249</f>
        <v>2.52131069049153</v>
      </c>
      <c r="CQ14" s="42" t="s">
        <v>350</v>
      </c>
    </row>
    <row r="15" customFormat="false" ht="13.2" hidden="false" customHeight="false" outlineLevel="0" collapsed="false">
      <c r="A15" s="0" t="str">
        <f aca="false">Sheet1!A15</f>
        <v>N-Mrk1318-conti</v>
      </c>
      <c r="B15" s="0" t="n">
        <v>0.1428</v>
      </c>
      <c r="C15" s="0" t="n">
        <v>0.0153</v>
      </c>
      <c r="D15" s="20" t="n">
        <v>0.1993</v>
      </c>
      <c r="E15" s="8" t="n">
        <v>0.0142</v>
      </c>
      <c r="F15" s="8" t="n">
        <v>0.0179</v>
      </c>
      <c r="G15" s="0" t="n">
        <v>0.6</v>
      </c>
      <c r="H15" s="0" t="n">
        <v>0.0455</v>
      </c>
      <c r="I15" s="0" t="n">
        <v>0.6</v>
      </c>
      <c r="J15" s="0" t="n">
        <v>0.0505</v>
      </c>
      <c r="K15" s="0" t="n">
        <v>0.0303</v>
      </c>
      <c r="M15" s="0" t="n">
        <v>0.00504</v>
      </c>
      <c r="N15" s="0" t="n">
        <f aca="false">Sheet1!Z15/(1+M15)^2</f>
        <v>25.9378872328565</v>
      </c>
      <c r="P15" s="0" t="n">
        <v>6.782267</v>
      </c>
      <c r="Q15" s="0" t="n">
        <v>0.1038781</v>
      </c>
      <c r="R15" s="0" t="n">
        <v>8.519383</v>
      </c>
      <c r="S15" s="0" t="n">
        <v>0.07670194</v>
      </c>
      <c r="T15" s="0" t="n">
        <v>9.068512</v>
      </c>
      <c r="U15" s="0" t="n">
        <v>0.1035322</v>
      </c>
      <c r="V15" s="0" t="n">
        <v>9.610196</v>
      </c>
      <c r="W15" s="0" t="n">
        <v>0.145731</v>
      </c>
      <c r="X15" s="0" t="n">
        <v>8.461596</v>
      </c>
      <c r="Y15" s="0" t="n">
        <v>0.3010759</v>
      </c>
      <c r="Z15" s="0" t="n">
        <f aca="false">Sheet1!AS15</f>
        <v>0.642122669584369</v>
      </c>
      <c r="AA15" s="20" t="n">
        <v>1.58611</v>
      </c>
      <c r="AB15" s="20" t="n">
        <v>1.479533</v>
      </c>
      <c r="AC15" s="20" t="n">
        <v>1.399121</v>
      </c>
      <c r="AD15" s="20" t="n">
        <v>1.373988</v>
      </c>
      <c r="AE15" s="20" t="n">
        <v>1.189711</v>
      </c>
      <c r="AK15" s="0" t="n">
        <f aca="false">Sheet1!AN15</f>
        <v>8.19540788362487</v>
      </c>
      <c r="AL15" s="0" t="n">
        <f aca="false">Sheet1!AO15</f>
        <v>8.16335673540453</v>
      </c>
      <c r="BC15" s="0" t="s">
        <v>106</v>
      </c>
      <c r="BD15" s="0" t="n">
        <f aca="false">Sheet2!$BD$9</f>
        <v>0.30854294168438</v>
      </c>
      <c r="BL15" s="0" t="s">
        <v>109</v>
      </c>
      <c r="BM15" s="0" t="n">
        <f aca="false">2</f>
        <v>2</v>
      </c>
      <c r="BU15" s="0" t="s">
        <v>109</v>
      </c>
      <c r="BV15" s="0" t="n">
        <f aca="false">2</f>
        <v>2</v>
      </c>
      <c r="CD15" s="22" t="n">
        <v>5</v>
      </c>
      <c r="CE15" s="42" t="s">
        <v>241</v>
      </c>
      <c r="CF15" s="42" t="n">
        <f aca="false">Sheet1!BG250</f>
        <v>0.49246017710122</v>
      </c>
      <c r="CG15" s="42" t="s">
        <v>241</v>
      </c>
      <c r="CH15" s="42" t="n">
        <f aca="false">Sheet1!BJ250</f>
        <v>2.53662459118991</v>
      </c>
      <c r="CI15" s="42" t="s">
        <v>241</v>
      </c>
      <c r="CJ15" s="42" t="n">
        <f aca="false">Sheet1!BH250</f>
        <v>0.704940116303739</v>
      </c>
      <c r="CK15" s="42" t="s">
        <v>241</v>
      </c>
      <c r="CL15" s="42" t="n">
        <f aca="false">Sheet1!BL250</f>
        <v>2.69240570009122</v>
      </c>
      <c r="CM15" s="42" t="s">
        <v>241</v>
      </c>
      <c r="CN15" s="42" t="n">
        <f aca="false">Sheet1!BI250</f>
        <v>0.484276352851211</v>
      </c>
      <c r="CO15" s="42" t="s">
        <v>241</v>
      </c>
      <c r="CP15" s="42" t="n">
        <f aca="false">Sheet1!BN250</f>
        <v>2.52934673727713</v>
      </c>
      <c r="CQ15" s="42" t="s">
        <v>350</v>
      </c>
    </row>
    <row r="16" customFormat="false" ht="13.2" hidden="false" customHeight="false" outlineLevel="0" collapsed="false">
      <c r="A16" s="0" t="str">
        <f aca="false">Sheet1!A16</f>
        <v>N-Mrk36-conti  $ $</v>
      </c>
      <c r="B16" s="0" t="n">
        <v>0.38</v>
      </c>
      <c r="C16" s="0" t="n">
        <v>0.0095</v>
      </c>
      <c r="D16" s="20" t="n">
        <v>0.38</v>
      </c>
      <c r="E16" s="8" t="n">
        <v>0.015</v>
      </c>
      <c r="F16" s="8" t="n">
        <v>0.0213</v>
      </c>
      <c r="G16" s="0" t="n">
        <v>0.5</v>
      </c>
      <c r="H16" s="0" t="n">
        <v>0</v>
      </c>
      <c r="I16" s="0" t="n">
        <v>0.5</v>
      </c>
      <c r="J16" s="0" t="n">
        <v>0</v>
      </c>
      <c r="K16" s="0" t="n">
        <v>0.0314</v>
      </c>
      <c r="M16" s="0" t="n">
        <v>0.00212</v>
      </c>
      <c r="N16" s="0" t="n">
        <f aca="false">Sheet1!Z16/(1+M16)^2</f>
        <v>13.1442094764846</v>
      </c>
      <c r="P16" s="0" t="n">
        <v>3.362852</v>
      </c>
      <c r="Q16" s="0" t="n">
        <v>0.07090004</v>
      </c>
      <c r="R16" s="0" t="n">
        <v>3.470147</v>
      </c>
      <c r="S16" s="0" t="n">
        <v>0.06415866</v>
      </c>
      <c r="T16" s="0" t="n">
        <v>3.662111</v>
      </c>
      <c r="U16" s="0" t="n">
        <v>0.0670554</v>
      </c>
      <c r="V16" s="0" t="n">
        <v>3.619128</v>
      </c>
      <c r="W16" s="0" t="n">
        <v>0.07289584</v>
      </c>
      <c r="X16" s="0" t="n">
        <v>3.182719</v>
      </c>
      <c r="Y16" s="0" t="n">
        <v>0.1853638</v>
      </c>
      <c r="Z16" s="0" t="n">
        <f aca="false">Sheet1!AS16</f>
        <v>0.729433124637375</v>
      </c>
      <c r="AA16" s="0" t="n">
        <v>1.408307</v>
      </c>
      <c r="AB16" s="0" t="n">
        <v>1.253631</v>
      </c>
      <c r="AC16" s="0" t="n">
        <v>1.110735</v>
      </c>
      <c r="AD16" s="0" t="n">
        <v>1.012079</v>
      </c>
      <c r="AE16" s="0" t="n">
        <v>1.08115</v>
      </c>
      <c r="AK16" s="0" t="n">
        <f aca="false">Sheet1!AN16</f>
        <v>2.73303288530501</v>
      </c>
      <c r="AL16" s="0" t="n">
        <f aca="false">Sheet1!AO16</f>
        <v>2.69080892206117</v>
      </c>
      <c r="BC16" s="0" t="s">
        <v>109</v>
      </c>
      <c r="BD16" s="0" t="n">
        <f aca="false">2</f>
        <v>2</v>
      </c>
      <c r="BL16" s="0" t="s">
        <v>112</v>
      </c>
      <c r="BM16" s="0" t="n">
        <f aca="false">39</f>
        <v>39</v>
      </c>
      <c r="BU16" s="0" t="s">
        <v>112</v>
      </c>
      <c r="BV16" s="0" t="n">
        <f aca="false">39</f>
        <v>39</v>
      </c>
      <c r="CD16" s="22" t="n">
        <v>6</v>
      </c>
      <c r="CE16" s="42" t="s">
        <v>241</v>
      </c>
      <c r="CF16" s="42" t="n">
        <f aca="false">Sheet1!BG251</f>
        <v>0.391989085349757</v>
      </c>
      <c r="CG16" s="42" t="s">
        <v>241</v>
      </c>
      <c r="CH16" s="42" t="n">
        <f aca="false">Sheet1!BJ251</f>
        <v>2.02925174826383</v>
      </c>
      <c r="CI16" s="42" t="s">
        <v>241</v>
      </c>
      <c r="CJ16" s="42" t="n">
        <f aca="false">Sheet1!BH251</f>
        <v>0.392059042030313</v>
      </c>
      <c r="CK16" s="42" t="s">
        <v>241</v>
      </c>
      <c r="CL16" s="42" t="n">
        <f aca="false">Sheet1!BL251</f>
        <v>2.02932924809925</v>
      </c>
      <c r="CM16" s="42" t="s">
        <v>241</v>
      </c>
      <c r="CN16" s="42" t="n">
        <f aca="false">Sheet1!BI251</f>
        <v>0.663514572606803</v>
      </c>
      <c r="CO16" s="42" t="s">
        <v>241</v>
      </c>
      <c r="CP16" s="42" t="n">
        <f aca="false">Sheet1!BN251</f>
        <v>2.2578282392959</v>
      </c>
      <c r="CQ16" s="42" t="s">
        <v>350</v>
      </c>
    </row>
    <row r="17" customFormat="false" ht="13.2" hidden="false" customHeight="false" outlineLevel="0" collapsed="false">
      <c r="A17" s="0" t="str">
        <f aca="false">Sheet1!A17</f>
        <v>N-MS01-conti = [SC98] 01</v>
      </c>
      <c r="B17" s="0" t="n">
        <v>0.052</v>
      </c>
      <c r="C17" s="0" t="n">
        <v>0.0172</v>
      </c>
      <c r="D17" s="20" t="n">
        <v>0.0684</v>
      </c>
      <c r="E17" s="8" t="n">
        <v>0.0168</v>
      </c>
      <c r="F17" s="8" t="n">
        <v>0.0631</v>
      </c>
      <c r="G17" s="0" t="n">
        <v>0.55</v>
      </c>
      <c r="H17" s="0" t="n">
        <v>0</v>
      </c>
      <c r="I17" s="0" t="n">
        <v>0.55</v>
      </c>
      <c r="J17" s="0" t="n">
        <v>0</v>
      </c>
      <c r="K17" s="0" t="n">
        <v>0.0267</v>
      </c>
      <c r="M17" s="0" t="n">
        <v>0.01041</v>
      </c>
      <c r="N17" s="0" t="n">
        <f aca="false">Sheet1!Z17/(1+M17)^2</f>
        <v>47.4078314525385</v>
      </c>
      <c r="BC17" s="0" t="s">
        <v>112</v>
      </c>
      <c r="BD17" s="0" t="n">
        <f aca="false">39</f>
        <v>39</v>
      </c>
      <c r="BL17" s="0" t="s">
        <v>115</v>
      </c>
      <c r="BM17" s="0" t="n">
        <f aca="false">1 - (1 - Sheet2!$BL$8)*(Sheet2!$BM$16 - 1)/(Sheet2!$BM$16 - Sheet2!$BM$15 - 1)</f>
        <v>0.598528798336584</v>
      </c>
      <c r="BU17" s="0" t="s">
        <v>115</v>
      </c>
      <c r="BV17" s="0" t="n">
        <f aca="false">1 - (1 - Sheet2!$BU$8)*(Sheet2!$BV$16 - 1)/(Sheet2!$BV$16 - Sheet2!$BV$15 - 1)</f>
        <v>0.630254201174739</v>
      </c>
      <c r="CD17" s="22" t="n">
        <v>7</v>
      </c>
      <c r="CE17" s="42" t="s">
        <v>241</v>
      </c>
      <c r="CF17" s="42" t="n">
        <f aca="false">Sheet1!BG252</f>
        <v>0.780507647460295</v>
      </c>
      <c r="CG17" s="42" t="s">
        <v>241</v>
      </c>
      <c r="CH17" s="42" t="n">
        <f aca="false">Sheet1!BJ252</f>
        <v>2.36479235048554</v>
      </c>
      <c r="CI17" s="42" t="s">
        <v>241</v>
      </c>
      <c r="CJ17" s="42" t="n">
        <f aca="false">Sheet1!BH252</f>
        <v>0.537840116080113</v>
      </c>
      <c r="CK17" s="42" t="s">
        <v>241</v>
      </c>
      <c r="CL17" s="42" t="n">
        <f aca="false">Sheet1!BL252</f>
        <v>2.20306837980203</v>
      </c>
      <c r="CM17" s="42" t="s">
        <v>241</v>
      </c>
      <c r="CN17" s="42" t="n">
        <f aca="false">Sheet1!BI252</f>
        <v>0.650614405225794</v>
      </c>
      <c r="CO17" s="42" t="s">
        <v>241</v>
      </c>
      <c r="CP17" s="42" t="n">
        <f aca="false">Sheet1!BN252</f>
        <v>2.28573886257101</v>
      </c>
      <c r="CQ17" s="42" t="s">
        <v>350</v>
      </c>
    </row>
    <row r="18" customFormat="false" ht="13.2" hidden="false" customHeight="false" outlineLevel="0" collapsed="false">
      <c r="A18" s="0" t="str">
        <f aca="false">Sheet1!A18</f>
        <v>N-MS12-conti = [ SC98] 68 $</v>
      </c>
      <c r="B18" s="0" t="n">
        <v>0.4522</v>
      </c>
      <c r="C18" s="0" t="n">
        <v>0.0234</v>
      </c>
      <c r="D18" s="0" t="n">
        <v>0.4483</v>
      </c>
      <c r="E18" s="0" t="n">
        <v>0.0205</v>
      </c>
      <c r="F18" s="8" t="n">
        <v>0.1028</v>
      </c>
      <c r="G18" s="0" t="n">
        <v>0.5</v>
      </c>
      <c r="H18" s="0" t="n">
        <v>0.0447</v>
      </c>
      <c r="I18" s="20" t="n">
        <v>0.5</v>
      </c>
      <c r="J18" s="8" t="n">
        <v>0.0299</v>
      </c>
      <c r="K18" s="0" t="n">
        <v>0.0419</v>
      </c>
      <c r="M18" s="0" t="n">
        <v>0.02377</v>
      </c>
      <c r="N18" s="0" t="n">
        <f aca="false">Sheet1!Z18/(1+M18)^2</f>
        <v>99.8945704021639</v>
      </c>
      <c r="BC18" s="0" t="s">
        <v>115</v>
      </c>
      <c r="BD18" s="0" t="n">
        <f aca="false">1 - (1 - Sheet2!$BC$9)*(Sheet2!$BD$17 - 1)/(Sheet2!$BD$17 - Sheet2!$BD$16 - 1)</f>
        <v>0.601960980905368</v>
      </c>
      <c r="CD18" s="22" t="n">
        <v>8</v>
      </c>
      <c r="CE18" s="42" t="s">
        <v>241</v>
      </c>
      <c r="CF18" s="42" t="n">
        <f aca="false">Sheet1!BG253</f>
        <v>0.644885496537833</v>
      </c>
      <c r="CG18" s="42" t="s">
        <v>241</v>
      </c>
      <c r="CH18" s="42" t="n">
        <f aca="false">Sheet1!BJ253</f>
        <v>2.47624185820494</v>
      </c>
      <c r="CI18" s="42" t="s">
        <v>241</v>
      </c>
      <c r="CJ18" s="42" t="n">
        <f aca="false">Sheet1!BH253</f>
        <v>0.781723373942704</v>
      </c>
      <c r="CK18" s="42" t="s">
        <v>241</v>
      </c>
      <c r="CL18" s="42" t="n">
        <f aca="false">Sheet1!BL253</f>
        <v>2.55981234621832</v>
      </c>
      <c r="CM18" s="42" t="s">
        <v>241</v>
      </c>
      <c r="CN18" s="42" t="n">
        <f aca="false">Sheet1!BI253</f>
        <v>0.41593680839519</v>
      </c>
      <c r="CO18" s="42" t="s">
        <v>241</v>
      </c>
      <c r="CP18" s="42" t="n">
        <f aca="false">Sheet1!BN253</f>
        <v>2.28578660345823</v>
      </c>
      <c r="CQ18" s="42" t="s">
        <v>350</v>
      </c>
    </row>
    <row r="19" customFormat="false" ht="13.2" hidden="false" customHeight="false" outlineLevel="0" collapsed="false">
      <c r="A19" s="0" t="str">
        <f aca="false">Sheet1!A19</f>
        <v>N-MS13-conti = [SC98] 88</v>
      </c>
      <c r="B19" s="0" t="n">
        <v>0.1696</v>
      </c>
      <c r="C19" s="0" t="n">
        <v>0.0124</v>
      </c>
      <c r="D19" s="20" t="n">
        <v>0.1993</v>
      </c>
      <c r="E19" s="8" t="n">
        <v>0.0101</v>
      </c>
      <c r="F19" s="8" t="n">
        <v>0.0341</v>
      </c>
      <c r="G19" s="0" t="n">
        <v>0.5</v>
      </c>
      <c r="H19" s="0" t="n">
        <v>0.026</v>
      </c>
      <c r="I19" s="0" t="n">
        <v>0.5</v>
      </c>
      <c r="J19" s="0" t="n">
        <v>0</v>
      </c>
      <c r="K19" s="0" t="n">
        <v>0.0143</v>
      </c>
      <c r="M19" s="0" t="n">
        <v>0.01454</v>
      </c>
      <c r="N19" s="0" t="n">
        <f aca="false">Sheet1!Z19/(1+M19)^2</f>
        <v>63.7331656134456</v>
      </c>
      <c r="BL19" s="0" t="s">
        <v>120</v>
      </c>
      <c r="BU19" s="0" t="s">
        <v>120</v>
      </c>
      <c r="CD19" s="22" t="n">
        <v>9</v>
      </c>
      <c r="CE19" s="42" t="s">
        <v>241</v>
      </c>
      <c r="CF19" s="42" t="n">
        <f aca="false">Sheet1!BG254</f>
        <v>0.632556617573447</v>
      </c>
      <c r="CG19" s="42" t="s">
        <v>241</v>
      </c>
      <c r="CH19" s="42" t="n">
        <f aca="false">Sheet1!BJ254</f>
        <v>2.55289327668008</v>
      </c>
      <c r="CI19" s="42" t="s">
        <v>241</v>
      </c>
      <c r="CJ19" s="42" t="n">
        <f aca="false">Sheet1!BH254</f>
        <v>0.746115659030773</v>
      </c>
      <c r="CK19" s="42" t="s">
        <v>241</v>
      </c>
      <c r="CL19" s="42" t="n">
        <f aca="false">Sheet1!BL254</f>
        <v>2.62460002795648</v>
      </c>
      <c r="CM19" s="42" t="s">
        <v>241</v>
      </c>
      <c r="CN19" s="42" t="n">
        <f aca="false">Sheet1!BI254</f>
        <v>0.629058001479729</v>
      </c>
      <c r="CO19" s="42" t="s">
        <v>241</v>
      </c>
      <c r="CP19" s="42" t="n">
        <f aca="false">Sheet1!BN254</f>
        <v>2.55048456401016</v>
      </c>
      <c r="CQ19" s="42" t="s">
        <v>350</v>
      </c>
    </row>
    <row r="20" customFormat="false" ht="13.2" hidden="false" customHeight="false" outlineLevel="0" collapsed="false">
      <c r="A20" s="0" t="str">
        <f aca="false">Sheet1!A20</f>
        <v>N-Tol0505-conti</v>
      </c>
      <c r="B20" s="0" t="n">
        <v>0.0184</v>
      </c>
      <c r="C20" s="0" t="n">
        <v>0</v>
      </c>
      <c r="D20" s="20" t="n">
        <v>0.0184</v>
      </c>
      <c r="E20" s="8" t="n">
        <v>0</v>
      </c>
      <c r="F20" s="8" t="s">
        <v>581</v>
      </c>
      <c r="G20" s="0" t="n">
        <v>0.6</v>
      </c>
      <c r="H20" s="0" t="n">
        <v>0</v>
      </c>
      <c r="I20" s="0" t="n">
        <v>0.6</v>
      </c>
      <c r="J20" s="0" t="n">
        <v>0</v>
      </c>
      <c r="K20" s="0" t="n">
        <v>0.0355</v>
      </c>
      <c r="M20" s="0" t="n">
        <v>0.02897</v>
      </c>
      <c r="N20" s="0" t="n">
        <f aca="false">Sheet1!Z20/(1+M20)^2</f>
        <v>115.793730126321</v>
      </c>
      <c r="BC20" s="0" t="s">
        <v>120</v>
      </c>
      <c r="BM20" s="0" t="s">
        <v>123</v>
      </c>
      <c r="BN20" s="0" t="s">
        <v>124</v>
      </c>
      <c r="BO20" s="0" t="s">
        <v>125</v>
      </c>
      <c r="BP20" s="0" t="s">
        <v>126</v>
      </c>
      <c r="BQ20" s="0" t="s">
        <v>127</v>
      </c>
      <c r="BV20" s="0" t="s">
        <v>123</v>
      </c>
      <c r="BW20" s="0" t="s">
        <v>124</v>
      </c>
      <c r="BX20" s="0" t="s">
        <v>125</v>
      </c>
      <c r="BY20" s="0" t="s">
        <v>126</v>
      </c>
      <c r="BZ20" s="0" t="s">
        <v>127</v>
      </c>
      <c r="CD20" s="22" t="n">
        <v>10</v>
      </c>
      <c r="CE20" s="42" t="s">
        <v>241</v>
      </c>
      <c r="CF20" s="42" t="n">
        <f aca="false">Sheet1!BG255</f>
        <v>0.477718311544362</v>
      </c>
      <c r="CG20" s="42" t="s">
        <v>241</v>
      </c>
      <c r="CH20" s="42" t="n">
        <f aca="false">Sheet1!BJ255</f>
        <v>1.6219132334487</v>
      </c>
      <c r="CI20" s="42" t="s">
        <v>241</v>
      </c>
      <c r="CJ20" s="42" t="n">
        <f aca="false">Sheet1!BH255</f>
        <v>0.694134754264693</v>
      </c>
      <c r="CK20" s="42" t="s">
        <v>241</v>
      </c>
      <c r="CL20" s="42" t="n">
        <f aca="false">Sheet1!BL255</f>
        <v>1.78418513419869</v>
      </c>
      <c r="CM20" s="42" t="s">
        <v>241</v>
      </c>
      <c r="CN20" s="42" t="n">
        <f aca="false">Sheet1!BI255</f>
        <v>0.582752922236727</v>
      </c>
      <c r="CO20" s="42" t="s">
        <v>241</v>
      </c>
      <c r="CP20" s="42" t="n">
        <f aca="false">Sheet1!BN255</f>
        <v>1.70822580477628</v>
      </c>
      <c r="CQ20" s="42" t="s">
        <v>350</v>
      </c>
    </row>
    <row r="21" customFormat="false" ht="13.2" hidden="false" customHeight="false" outlineLevel="0" collapsed="false">
      <c r="A21" s="0" t="str">
        <f aca="false">Sheet1!A21</f>
        <v>N-Tol0528-conti  $</v>
      </c>
      <c r="B21" s="0" t="n">
        <v>0.3</v>
      </c>
      <c r="C21" s="0" t="n">
        <v>0.024</v>
      </c>
      <c r="D21" s="20" t="n">
        <v>0.3</v>
      </c>
      <c r="E21" s="8" t="n">
        <v>0.0289</v>
      </c>
      <c r="F21" s="8" t="n">
        <v>0.0441</v>
      </c>
      <c r="G21" s="0" t="n">
        <v>0.56</v>
      </c>
      <c r="H21" s="0" t="n">
        <v>0</v>
      </c>
      <c r="I21" s="0" t="n">
        <v>0.56</v>
      </c>
      <c r="J21" s="0" t="n">
        <v>0</v>
      </c>
      <c r="K21" s="0" t="n">
        <v>0.0355</v>
      </c>
      <c r="M21" s="0" t="n">
        <v>0.01163</v>
      </c>
      <c r="N21" s="0" t="n">
        <f aca="false">Sheet1!Z21/(1+M21)^2</f>
        <v>48.661550524331</v>
      </c>
      <c r="BD21" s="0" t="s">
        <v>123</v>
      </c>
      <c r="BE21" s="0" t="s">
        <v>124</v>
      </c>
      <c r="BF21" s="0" t="s">
        <v>125</v>
      </c>
      <c r="BG21" s="0" t="s">
        <v>126</v>
      </c>
      <c r="BH21" s="0" t="s">
        <v>127</v>
      </c>
      <c r="BL21" s="0" t="s">
        <v>130</v>
      </c>
      <c r="BM21" s="0" t="n">
        <f aca="false">Sheet2!$BM$15</f>
        <v>2</v>
      </c>
      <c r="BN21" s="0" t="n">
        <f aca="false">Sheet2!$BL$10</f>
        <v>5.63173026378383</v>
      </c>
      <c r="BO21" s="0" t="n">
        <f aca="false">Sheet2!$BL$10 / Sheet2!$BM$21</f>
        <v>2.81586513189192</v>
      </c>
      <c r="BP21" s="0" t="n">
        <f aca="false">Sheet2!$BL$9</f>
        <v>29.325935014211</v>
      </c>
      <c r="BQ21" s="0" t="n">
        <f aca="false">FDIST(Sheet2!$BL$9 , Sheet2!$BM$21 , Sheet2!$BM$9)</f>
        <v>2.77408291219114E-008</v>
      </c>
      <c r="BU21" s="0" t="s">
        <v>130</v>
      </c>
      <c r="BV21" s="0" t="n">
        <f aca="false">Sheet2!$BV$15</f>
        <v>2</v>
      </c>
      <c r="BW21" s="0" t="n">
        <f aca="false">Sheet2!$BU$10</f>
        <v>5.90488908531992</v>
      </c>
      <c r="BX21" s="0" t="n">
        <f aca="false">Sheet2!$BU$10 / Sheet2!$BV$21</f>
        <v>2.95244454265996</v>
      </c>
      <c r="BY21" s="0" t="n">
        <f aca="false">Sheet2!$BU$9</f>
        <v>33.386655535684</v>
      </c>
      <c r="BZ21" s="0" t="n">
        <f aca="false">FDIST(Sheet2!$BU$9 , Sheet2!$BV$21 , Sheet2!$BV$9)</f>
        <v>6.30374650649989E-009</v>
      </c>
      <c r="CD21" s="22" t="n">
        <v>11</v>
      </c>
      <c r="CE21" s="42" t="s">
        <v>241</v>
      </c>
      <c r="CF21" s="42" t="n">
        <f aca="false">Sheet1!BG256</f>
        <v>0.605061650756776</v>
      </c>
      <c r="CG21" s="42" t="s">
        <v>241</v>
      </c>
      <c r="CH21" s="42" t="n">
        <f aca="false">Sheet1!BJ256</f>
        <v>1.53701842838582</v>
      </c>
      <c r="CI21" s="42" t="s">
        <v>241</v>
      </c>
      <c r="CJ21" s="42" t="n">
        <f aca="false">Sheet1!BH256</f>
        <v>0.6543098700286</v>
      </c>
      <c r="CK21" s="42" t="s">
        <v>241</v>
      </c>
      <c r="CL21" s="42" t="n">
        <f aca="false">Sheet1!BL256</f>
        <v>1.57100227200172</v>
      </c>
      <c r="CM21" s="42" t="s">
        <v>241</v>
      </c>
      <c r="CN21" s="42" t="n">
        <f aca="false">Sheet1!BI256</f>
        <v>0.49035317974849</v>
      </c>
      <c r="CO21" s="42" t="s">
        <v>241</v>
      </c>
      <c r="CP21" s="42" t="n">
        <f aca="false">Sheet1!BN256</f>
        <v>1.44572779635315</v>
      </c>
      <c r="CQ21" s="42" t="s">
        <v>350</v>
      </c>
    </row>
    <row r="22" customFormat="false" ht="13.2" hidden="false" customHeight="false" outlineLevel="0" collapsed="false">
      <c r="A22" s="0" t="str">
        <f aca="false">Sheet1!A22</f>
        <v>N-Tol0610-conti</v>
      </c>
      <c r="B22" s="0" t="n">
        <v>0.1518</v>
      </c>
      <c r="C22" s="0" t="n">
        <v>0.0167</v>
      </c>
      <c r="D22" s="20" t="n">
        <v>0.1807</v>
      </c>
      <c r="E22" s="8" t="n">
        <v>0.0142</v>
      </c>
      <c r="F22" s="8" t="n">
        <v>0.0329</v>
      </c>
      <c r="G22" s="0" t="n">
        <v>0.57</v>
      </c>
      <c r="H22" s="0" t="n">
        <v>0</v>
      </c>
      <c r="I22" s="0" t="n">
        <v>0.57</v>
      </c>
      <c r="J22" s="0" t="n">
        <v>0</v>
      </c>
      <c r="K22" s="0" t="n">
        <v>0.0209</v>
      </c>
      <c r="M22" s="0" t="n">
        <v>0.00575</v>
      </c>
      <c r="N22" s="0" t="n">
        <f aca="false">Sheet1!Z22/(1+M22)^2</f>
        <v>25.4069797150106</v>
      </c>
      <c r="BC22" s="0" t="s">
        <v>130</v>
      </c>
      <c r="BD22" s="0" t="n">
        <f aca="false">Sheet2!$BD$16</f>
        <v>2</v>
      </c>
      <c r="BE22" s="0" t="n">
        <f aca="false">Sheet2!$BC$11</f>
        <v>5.66128169140693</v>
      </c>
      <c r="BF22" s="0" t="n">
        <f aca="false">Sheet2!$BC$11 / Sheet2!$BD$22</f>
        <v>2.83064084570347</v>
      </c>
      <c r="BG22" s="0" t="n">
        <f aca="false">Sheet2!$BC$10</f>
        <v>29.7340137236214</v>
      </c>
      <c r="BH22" s="0" t="n">
        <f aca="false">FDIST(Sheet2!$BC$10 , Sheet2!$BD$22 , Sheet2!$BD$10)</f>
        <v>2.37685082968811E-008</v>
      </c>
      <c r="BL22" s="0" t="s">
        <v>133</v>
      </c>
      <c r="BM22" s="0" t="n">
        <f aca="false">Sheet2!$BM$9</f>
        <v>36</v>
      </c>
      <c r="BN22" s="0" t="n">
        <f aca="false">Sheet2!$BM$10</f>
        <v>3.45670631470014</v>
      </c>
      <c r="BO22" s="0" t="n">
        <f aca="false">Sheet2!$BM$10 / Sheet2!$BM$9</f>
        <v>0.0960196198527817</v>
      </c>
      <c r="BU22" s="0" t="s">
        <v>133</v>
      </c>
      <c r="BV22" s="0" t="n">
        <f aca="false">Sheet2!$BV$9</f>
        <v>36</v>
      </c>
      <c r="BW22" s="0" t="n">
        <f aca="false">Sheet2!$BV$10</f>
        <v>3.18354749316405</v>
      </c>
      <c r="BX22" s="0" t="n">
        <f aca="false">Sheet2!$BV$10 / Sheet2!$BV$9</f>
        <v>0.0884318748101126</v>
      </c>
      <c r="CD22" s="22" t="n">
        <v>12</v>
      </c>
      <c r="CE22" s="42" t="s">
        <v>241</v>
      </c>
      <c r="CF22" s="42" t="n">
        <f aca="false">Sheet1!BG257</f>
        <v>0.620360184783047</v>
      </c>
      <c r="CG22" s="42" t="s">
        <v>241</v>
      </c>
      <c r="CH22" s="42" t="n">
        <f aca="false">Sheet1!BJ257</f>
        <v>1.75800068041896</v>
      </c>
      <c r="CI22" s="42" t="s">
        <v>241</v>
      </c>
      <c r="CJ22" s="42" t="n">
        <f aca="false">Sheet1!BH257</f>
        <v>0.396504003410747</v>
      </c>
      <c r="CK22" s="42" t="s">
        <v>241</v>
      </c>
      <c r="CL22" s="42" t="n">
        <f aca="false">Sheet1!BL257</f>
        <v>1.56360434040143</v>
      </c>
      <c r="CM22" s="42" t="s">
        <v>241</v>
      </c>
      <c r="CN22" s="42" t="n">
        <f aca="false">Sheet1!BI257</f>
        <v>0.516243550933991</v>
      </c>
      <c r="CO22" s="42" t="s">
        <v>241</v>
      </c>
      <c r="CP22" s="42" t="n">
        <f aca="false">Sheet1!BN257</f>
        <v>1.67821140311722</v>
      </c>
      <c r="CQ22" s="42" t="s">
        <v>350</v>
      </c>
    </row>
    <row r="23" customFormat="false" ht="13.2" hidden="false" customHeight="false" outlineLevel="0" collapsed="false">
      <c r="A23" s="0" t="str">
        <f aca="false">Sheet1!A23</f>
        <v>N-Tol0633-conti  &amp;</v>
      </c>
      <c r="B23" s="0" t="n">
        <v>0.3</v>
      </c>
      <c r="C23" s="0" t="n">
        <v>0</v>
      </c>
      <c r="D23" s="20" t="n">
        <v>0.3</v>
      </c>
      <c r="E23" s="8" t="n">
        <v>0</v>
      </c>
      <c r="F23" s="8" t="s">
        <v>581</v>
      </c>
      <c r="G23" s="0" t="n">
        <v>0.65</v>
      </c>
      <c r="H23" s="0" t="n">
        <v>0</v>
      </c>
      <c r="I23" s="0" t="n">
        <v>0.65</v>
      </c>
      <c r="J23" s="0" t="n">
        <v>0</v>
      </c>
      <c r="K23" s="0" t="s">
        <v>581</v>
      </c>
      <c r="M23" s="0" t="n">
        <v>0.0164</v>
      </c>
      <c r="N23" s="0" t="n">
        <f aca="false">Sheet1!Z23/(1+M23)^2</f>
        <v>68.824059915613</v>
      </c>
      <c r="BC23" s="0" t="s">
        <v>133</v>
      </c>
      <c r="BD23" s="0" t="n">
        <f aca="false">Sheet2!$BD$10</f>
        <v>36</v>
      </c>
      <c r="BE23" s="0" t="n">
        <f aca="false">Sheet2!$BD$11</f>
        <v>3.42715488707703</v>
      </c>
      <c r="BF23" s="0" t="n">
        <f aca="false">Sheet2!$BD$11 / Sheet2!$BD$10</f>
        <v>0.0951987468632509</v>
      </c>
      <c r="BL23" s="0" t="s">
        <v>136</v>
      </c>
      <c r="BM23" s="0" t="n">
        <f aca="false">Sheet2!$BM$21 + Sheet2!$BM$9</f>
        <v>38</v>
      </c>
      <c r="BN23" s="0" t="n">
        <f aca="false">Sheet2!$BL$10 + Sheet2!$BM$10</f>
        <v>9.08843657848398</v>
      </c>
      <c r="BU23" s="0" t="s">
        <v>136</v>
      </c>
      <c r="BV23" s="0" t="n">
        <f aca="false">Sheet2!$BV$21 + Sheet2!$BV$9</f>
        <v>38</v>
      </c>
      <c r="BW23" s="0" t="n">
        <f aca="false">Sheet2!$BU$10 + Sheet2!$BV$10</f>
        <v>9.08843657848397</v>
      </c>
      <c r="CD23" s="22" t="n">
        <v>13</v>
      </c>
      <c r="CE23" s="42" t="s">
        <v>241</v>
      </c>
      <c r="CF23" s="42" t="n">
        <f aca="false">Sheet1!BG258</f>
        <v>0.504999497226841</v>
      </c>
      <c r="CG23" s="42" t="s">
        <v>241</v>
      </c>
      <c r="CH23" s="42" t="n">
        <f aca="false">Sheet1!BJ258</f>
        <v>1.80280041035222</v>
      </c>
      <c r="CI23" s="42" t="s">
        <v>241</v>
      </c>
      <c r="CJ23" s="42" t="n">
        <f aca="false">Sheet1!BH258</f>
        <v>0.512292138257609</v>
      </c>
      <c r="CK23" s="42" t="s">
        <v>241</v>
      </c>
      <c r="CL23" s="42" t="n">
        <f aca="false">Sheet1!BL258</f>
        <v>1.80902715576665</v>
      </c>
      <c r="CM23" s="42" t="s">
        <v>241</v>
      </c>
      <c r="CN23" s="42" t="n">
        <f aca="false">Sheet1!BI258</f>
        <v>0.769713913197831</v>
      </c>
      <c r="CO23" s="42" t="s">
        <v>241</v>
      </c>
      <c r="CP23" s="42" t="n">
        <f aca="false">Sheet1!BN258</f>
        <v>1.98583880146556</v>
      </c>
      <c r="CQ23" s="42" t="s">
        <v>350</v>
      </c>
    </row>
    <row r="24" customFormat="false" ht="13.2" hidden="false" customHeight="false" outlineLevel="0" collapsed="false">
      <c r="A24" s="0" t="str">
        <f aca="false">Sheet1!A24</f>
        <v>N-Tol0645-conti &amp;</v>
      </c>
      <c r="B24" s="0" t="n">
        <v>0.45</v>
      </c>
      <c r="C24" s="0" t="n">
        <v>0</v>
      </c>
      <c r="D24" s="20" t="n">
        <v>0.45</v>
      </c>
      <c r="E24" s="8" t="n">
        <v>0</v>
      </c>
      <c r="F24" s="8" t="s">
        <v>581</v>
      </c>
      <c r="G24" s="0" t="n">
        <v>0.7</v>
      </c>
      <c r="H24" s="0" t="n">
        <v>0</v>
      </c>
      <c r="I24" s="0" t="n">
        <v>0.7</v>
      </c>
      <c r="J24" s="0" t="n">
        <v>0</v>
      </c>
      <c r="K24" s="0" t="n">
        <v>0.0128</v>
      </c>
      <c r="M24" s="0" t="n">
        <v>0.02579</v>
      </c>
      <c r="N24" s="0" t="n">
        <f aca="false">Sheet1!Z24/(1+M24)^2</f>
        <v>105.393693408515</v>
      </c>
      <c r="BC24" s="0" t="s">
        <v>136</v>
      </c>
      <c r="BD24" s="0" t="n">
        <f aca="false">Sheet2!$BD$22 + Sheet2!$BD$10</f>
        <v>38</v>
      </c>
      <c r="BE24" s="0" t="n">
        <f aca="false">Sheet2!$BC$11 + Sheet2!$BD$11</f>
        <v>9.08843657848397</v>
      </c>
      <c r="CD24" s="22" t="n">
        <v>14</v>
      </c>
      <c r="CE24" s="42" t="s">
        <v>241</v>
      </c>
      <c r="CF24" s="42" t="n">
        <f aca="false">Sheet1!BG259</f>
        <v>0.733539322223241</v>
      </c>
      <c r="CG24" s="42" t="s">
        <v>241</v>
      </c>
      <c r="CH24" s="42" t="n">
        <f aca="false">Sheet1!BJ259</f>
        <v>1.66973273822595</v>
      </c>
      <c r="CI24" s="42" t="s">
        <v>241</v>
      </c>
      <c r="CJ24" s="42" t="n">
        <f aca="false">Sheet1!BH259</f>
        <v>0.470829178633239</v>
      </c>
      <c r="CK24" s="42" t="s">
        <v>241</v>
      </c>
      <c r="CL24" s="42" t="n">
        <f aca="false">Sheet1!BL259</f>
        <v>1.47717270804376</v>
      </c>
      <c r="CM24" s="42" t="s">
        <v>241</v>
      </c>
      <c r="CN24" s="42" t="n">
        <f aca="false">Sheet1!BI259</f>
        <v>0.442228388904694</v>
      </c>
      <c r="CO24" s="42" t="s">
        <v>241</v>
      </c>
      <c r="CP24" s="42" t="n">
        <f aca="false">Sheet1!BN259</f>
        <v>1.44995595728912</v>
      </c>
      <c r="CQ24" s="42" t="s">
        <v>350</v>
      </c>
    </row>
    <row r="25" customFormat="false" ht="13.2" hidden="false" customHeight="false" outlineLevel="0" collapsed="false">
      <c r="A25" s="0" t="str">
        <f aca="false">Sheet1!A25</f>
        <v>N-Tol0957-conti</v>
      </c>
      <c r="B25" s="0" t="n">
        <v>0.4</v>
      </c>
      <c r="C25" s="0" t="n">
        <v>0</v>
      </c>
      <c r="D25" s="20" t="n">
        <v>0.4</v>
      </c>
      <c r="E25" s="8" t="n">
        <v>0</v>
      </c>
      <c r="F25" s="8" t="s">
        <v>581</v>
      </c>
      <c r="G25" s="0" t="n">
        <v>0.55</v>
      </c>
      <c r="H25" s="0" t="n">
        <v>0</v>
      </c>
      <c r="I25" s="0" t="n">
        <v>0.55</v>
      </c>
      <c r="J25" s="0" t="n">
        <v>0</v>
      </c>
      <c r="K25" s="0" t="s">
        <v>581</v>
      </c>
      <c r="M25" s="0" t="n">
        <v>0.00334</v>
      </c>
      <c r="N25" s="0" t="n">
        <f aca="false">Sheet1!Z25/(1+M25)^2</f>
        <v>18.6750423855616</v>
      </c>
      <c r="P25" s="20" t="n">
        <v>1.23767112429561E+018</v>
      </c>
      <c r="BL25" s="0" t="s">
        <v>141</v>
      </c>
      <c r="BM25" s="0" t="n">
        <v>0.95</v>
      </c>
      <c r="BU25" s="0" t="s">
        <v>141</v>
      </c>
      <c r="BV25" s="0" t="n">
        <v>0.95</v>
      </c>
      <c r="CD25" s="22" t="n">
        <v>15</v>
      </c>
      <c r="CE25" s="42" t="s">
        <v>241</v>
      </c>
      <c r="CF25" s="42" t="n">
        <f aca="false">Sheet1!BG260</f>
        <v>0.489322633825625</v>
      </c>
      <c r="CG25" s="42" t="s">
        <v>241</v>
      </c>
      <c r="CH25" s="42" t="n">
        <f aca="false">Sheet1!BJ260</f>
        <v>2.05102026162947</v>
      </c>
      <c r="CI25" s="42" t="s">
        <v>241</v>
      </c>
      <c r="CJ25" s="42" t="n">
        <f aca="false">Sheet1!BH260</f>
        <v>0.729526543508571</v>
      </c>
      <c r="CK25" s="42" t="s">
        <v>241</v>
      </c>
      <c r="CL25" s="42" t="n">
        <f aca="false">Sheet1!BL260</f>
        <v>2.22446605506408</v>
      </c>
      <c r="CM25" s="42" t="s">
        <v>241</v>
      </c>
      <c r="CN25" s="42" t="n">
        <f aca="false">Sheet1!BI260</f>
        <v>0.650215135478365</v>
      </c>
      <c r="CO25" s="42" t="s">
        <v>241</v>
      </c>
      <c r="CP25" s="42" t="n">
        <f aca="false">Sheet1!BN260</f>
        <v>2.17448203156115</v>
      </c>
      <c r="CQ25" s="42" t="s">
        <v>350</v>
      </c>
    </row>
    <row r="26" customFormat="false" ht="13.2" hidden="false" customHeight="false" outlineLevel="0" collapsed="false">
      <c r="A26" s="0" t="str">
        <f aca="false">Sheet1!A26</f>
        <v>N-Tol1004-conti Ha</v>
      </c>
      <c r="B26" s="0" t="n">
        <v>0.2165</v>
      </c>
      <c r="C26" s="0" t="n">
        <v>0</v>
      </c>
      <c r="D26" s="20" t="n">
        <v>0.2165</v>
      </c>
      <c r="E26" s="8" t="n">
        <v>0</v>
      </c>
      <c r="F26" s="8" t="s">
        <v>581</v>
      </c>
      <c r="G26" s="0" t="n">
        <v>0.35</v>
      </c>
      <c r="H26" s="0" t="n">
        <v>0</v>
      </c>
      <c r="I26" s="0" t="n">
        <v>0.35</v>
      </c>
      <c r="J26" s="0" t="n">
        <v>0</v>
      </c>
      <c r="K26" s="0" t="s">
        <v>581</v>
      </c>
      <c r="M26" s="0" t="n">
        <v>0.0037</v>
      </c>
      <c r="N26" s="0" t="n">
        <f aca="false">Sheet1!Z26/(1+M26)^2</f>
        <v>20.0513455400829</v>
      </c>
      <c r="BC26" s="0" t="s">
        <v>141</v>
      </c>
      <c r="BD26" s="0" t="n">
        <v>0.95</v>
      </c>
      <c r="CD26" s="22" t="n">
        <v>16</v>
      </c>
      <c r="CE26" s="42" t="s">
        <v>241</v>
      </c>
      <c r="CF26" s="42" t="n">
        <f aca="false">Sheet1!BG261</f>
        <v>0.74018789043372</v>
      </c>
      <c r="CG26" s="42" t="s">
        <v>241</v>
      </c>
      <c r="CH26" s="42" t="n">
        <f aca="false">Sheet1!BJ261</f>
        <v>2.55445872606549</v>
      </c>
      <c r="CI26" s="42" t="s">
        <v>241</v>
      </c>
      <c r="CJ26" s="42" t="n">
        <f aca="false">Sheet1!BH261</f>
        <v>0.639599531460652</v>
      </c>
      <c r="CK26" s="42" t="s">
        <v>241</v>
      </c>
      <c r="CL26" s="42" t="n">
        <f aca="false">Sheet1!BL261</f>
        <v>2.49102488729162</v>
      </c>
      <c r="CM26" s="42" t="s">
        <v>241</v>
      </c>
      <c r="CN26" s="42" t="n">
        <f aca="false">Sheet1!BI261</f>
        <v>0.611855964804025</v>
      </c>
      <c r="CO26" s="42" t="s">
        <v>241</v>
      </c>
      <c r="CP26" s="42" t="n">
        <f aca="false">Sheet1!BN261</f>
        <v>2.47176594856293</v>
      </c>
      <c r="CQ26" s="42" t="s">
        <v>350</v>
      </c>
    </row>
    <row r="27" customFormat="false" ht="13.2" hidden="false" customHeight="false" outlineLevel="0" collapsed="false">
      <c r="A27" s="0" t="str">
        <f aca="false">Sheet1!A27</f>
        <v>N-Tol1025-conti  &amp;</v>
      </c>
      <c r="B27" s="0" t="n">
        <v>0.4076</v>
      </c>
      <c r="C27" s="0" t="n">
        <v>0.0073</v>
      </c>
      <c r="D27" s="20" t="n">
        <v>0.4121</v>
      </c>
      <c r="E27" s="8" t="n">
        <v>0.0071</v>
      </c>
      <c r="F27" s="8" t="n">
        <v>0.0376</v>
      </c>
      <c r="G27" s="0" t="n">
        <v>0.65</v>
      </c>
      <c r="H27" s="0" t="n">
        <v>0</v>
      </c>
      <c r="I27" s="0" t="n">
        <v>0.65</v>
      </c>
      <c r="J27" s="0" t="n">
        <v>0</v>
      </c>
      <c r="K27" s="0" t="n">
        <v>0.0237</v>
      </c>
      <c r="M27" s="0" t="n">
        <v>0.03073</v>
      </c>
      <c r="N27" s="0" t="n">
        <f aca="false">Sheet1!Z27/(1+M27)^2</f>
        <v>126.599634277527</v>
      </c>
      <c r="BM27" s="0" t="s">
        <v>146</v>
      </c>
      <c r="BN27" s="0" t="s">
        <v>106</v>
      </c>
      <c r="BO27" s="0" t="s">
        <v>147</v>
      </c>
      <c r="BP27" s="0" t="s">
        <v>148</v>
      </c>
      <c r="BQ27" s="0" t="str">
        <f aca="false">_xlfn.CONCAT("Lower " , INT(Sheet2!$BM$25 * 100) , "%")</f>
        <v>Lower 95%</v>
      </c>
      <c r="BR27" s="0" t="str">
        <f aca="false">_xlfn.CONCAT("Upper " , INT(Sheet2!$BM$25 * 100) , "%")</f>
        <v>Upper 95%</v>
      </c>
      <c r="BV27" s="0" t="s">
        <v>146</v>
      </c>
      <c r="BW27" s="0" t="s">
        <v>106</v>
      </c>
      <c r="BX27" s="0" t="s">
        <v>147</v>
      </c>
      <c r="BY27" s="0" t="s">
        <v>148</v>
      </c>
      <c r="BZ27" s="0" t="str">
        <f aca="false">_xlfn.CONCAT("Lower " , INT(Sheet2!$BV$25 * 100) , "%")</f>
        <v>Lower 95%</v>
      </c>
      <c r="CA27" s="0" t="str">
        <f aca="false">_xlfn.CONCAT("Upper " , INT(Sheet2!$BV$25 * 100) , "%")</f>
        <v>Upper 95%</v>
      </c>
      <c r="CD27" s="22" t="n">
        <v>17</v>
      </c>
      <c r="CE27" s="42" t="s">
        <v>241</v>
      </c>
      <c r="CF27" s="42" t="n">
        <f aca="false">Sheet1!BG262</f>
        <v>0.760121892378384</v>
      </c>
      <c r="CG27" s="42" t="s">
        <v>241</v>
      </c>
      <c r="CH27" s="42" t="n">
        <f aca="false">Sheet1!BJ262</f>
        <v>2.37082359804772</v>
      </c>
      <c r="CI27" s="42" t="s">
        <v>241</v>
      </c>
      <c r="CJ27" s="42" t="n">
        <f aca="false">Sheet1!BH262</f>
        <v>0.606105439339629</v>
      </c>
      <c r="CK27" s="42" t="s">
        <v>241</v>
      </c>
      <c r="CL27" s="42" t="n">
        <f aca="false">Sheet1!BL262</f>
        <v>2.27248853865146</v>
      </c>
      <c r="CM27" s="42" t="s">
        <v>241</v>
      </c>
      <c r="CN27" s="42" t="n">
        <f aca="false">Sheet1!BI262</f>
        <v>0.472181058116718</v>
      </c>
      <c r="CO27" s="42" t="s">
        <v>241</v>
      </c>
      <c r="CP27" s="42" t="n">
        <f aca="false">Sheet1!BN262</f>
        <v>2.16404891821439</v>
      </c>
      <c r="CQ27" s="42" t="s">
        <v>350</v>
      </c>
    </row>
    <row r="28" customFormat="false" ht="13.2" hidden="false" customHeight="false" outlineLevel="0" collapsed="false">
      <c r="A28" s="0" t="str">
        <f aca="false">Sheet1!A28</f>
        <v>N-Tol1147-conti</v>
      </c>
      <c r="B28" s="0" t="n">
        <v>0.2834</v>
      </c>
      <c r="C28" s="0" t="n">
        <v>0.0134</v>
      </c>
      <c r="D28" s="20" t="n">
        <v>0.2402</v>
      </c>
      <c r="E28" s="8" t="n">
        <v>0.0171</v>
      </c>
      <c r="F28" s="8" t="n">
        <v>0.0933</v>
      </c>
      <c r="G28" s="0" t="n">
        <v>0.33</v>
      </c>
      <c r="H28" s="0" t="n">
        <v>0.0155</v>
      </c>
      <c r="I28" s="0" t="n">
        <v>0.33</v>
      </c>
      <c r="J28" s="0" t="n">
        <v>0.0738</v>
      </c>
      <c r="K28" s="0" t="n">
        <v>0.0218</v>
      </c>
      <c r="M28" s="0" t="n">
        <v>0.00626</v>
      </c>
      <c r="N28" s="0" t="n">
        <f aca="false">Sheet1!Z28/(1+M28)^2</f>
        <v>30.8130135819035</v>
      </c>
      <c r="BD28" s="0" t="s">
        <v>146</v>
      </c>
      <c r="BE28" s="0" t="s">
        <v>106</v>
      </c>
      <c r="BF28" s="0" t="s">
        <v>147</v>
      </c>
      <c r="BG28" s="0" t="s">
        <v>148</v>
      </c>
      <c r="BH28" s="0" t="str">
        <f aca="false">_xlfn.CONCAT("Lower " , INT(Sheet2!$BD$26 * 100) , "%")</f>
        <v>Lower 95%</v>
      </c>
      <c r="BI28" s="0" t="str">
        <f aca="false">_xlfn.CONCAT("Upper " , INT(Sheet2!$BD$26 * 100) , "%")</f>
        <v>Upper 95%</v>
      </c>
      <c r="BL28" s="0" t="str">
        <f aca="false">"Intercept"</f>
        <v>Intercept</v>
      </c>
      <c r="BM28" s="0" t="n">
        <f aca="false" t="array" ref="BM28:BM30">INDEX(Sheet2!$BL$6:$BN$6, 1 , 31 - ROW())</f>
        <v>35.9171754950028</v>
      </c>
      <c r="BN28" s="0" t="n">
        <f aca="false" t="array" ref="BN28:BN30">INDEX(Sheet2!$BL$7:$BN$7, 1 , 31 - ROW())</f>
        <v>0.516858591932865</v>
      </c>
      <c r="BO28" s="0" t="n">
        <f aca="false" t="array" ref="BO28:BO30">Sheet2!$BM$28:$BM$30 / Sheet2!$BN$28:$BN$30</f>
        <v>69.4913000491789</v>
      </c>
      <c r="BP28" s="0" t="n">
        <f aca="false" t="array" ref="BP28:BP30">TDIST(ABS(Sheet2!$BO$28:$BO$30) , Sheet2!$BM$9 , 2 )</f>
        <v>5.86393556454188E-040</v>
      </c>
      <c r="BQ28" s="0" t="n">
        <f aca="false" t="array" ref="BQ28:BQ30">Sheet2!$BM$28:$BM$30 - Sheet2!$BN$28:$BN$30 * TINV(1 - Sheet2!$BM$25 , Sheet2!$BM$9)</f>
        <v>34.8689376853486</v>
      </c>
      <c r="BR28" s="0" t="n">
        <f aca="false" t="array" ref="BR28:BR30">Sheet2!$BM$28:$BM$30 + Sheet2!$BN$28:$BN$30 * TINV(1 - Sheet2!$BM$25 , Sheet2!$BM$9)</f>
        <v>36.9654133046571</v>
      </c>
      <c r="BU28" s="0" t="str">
        <f aca="false">"Intercept"</f>
        <v>Intercept</v>
      </c>
      <c r="BV28" s="0" t="n">
        <f aca="false" t="array" ref="BV28:BV30">INDEX(Sheet2!$BU$6:$BW$6, 1 , 31 - ROW())</f>
        <v>35.7983354129007</v>
      </c>
      <c r="BW28" s="0" t="n">
        <f aca="false" t="array" ref="BW28:BW30">INDEX(Sheet2!$BU$7:$BW$7, 1 , 31 - ROW())</f>
        <v>0.500550747917672</v>
      </c>
      <c r="BX28" s="0" t="n">
        <f aca="false" t="array" ref="BX28:BX30">Sheet2!$BV$28:$BV$30 / Sheet2!$BW$28:$BW$30</f>
        <v>71.517894163228</v>
      </c>
      <c r="BY28" s="0" t="n">
        <f aca="false" t="array" ref="BY28:BY30">TDIST(ABS(Sheet2!$BX$28:$BX$30) , Sheet2!$BV$9 , 2 )</f>
        <v>2.09846909969924E-040</v>
      </c>
      <c r="BZ28" s="0" t="n">
        <f aca="false" t="array" ref="BZ28:BZ30">Sheet2!$BV$28:$BV$30 - Sheet2!$BW$28:$BW$30 * TINV(1 - Sheet2!$BV$25 , Sheet2!$BV$9)</f>
        <v>34.7831714438626</v>
      </c>
      <c r="CA28" s="0" t="n">
        <f aca="false" t="array" ref="CA28:CA30">Sheet2!$BV$28:$BV$30 + Sheet2!$BW$28:$BW$30 * TINV(1 - Sheet2!$BV$25 , Sheet2!$BV$9)</f>
        <v>36.8134993819388</v>
      </c>
      <c r="CD28" s="22" t="n">
        <v>18</v>
      </c>
      <c r="CE28" s="42" t="s">
        <v>241</v>
      </c>
      <c r="CF28" s="42" t="n">
        <f aca="false">Sheet1!BG263</f>
        <v>0.682059252394511</v>
      </c>
      <c r="CG28" s="42" t="s">
        <v>241</v>
      </c>
      <c r="CH28" s="42" t="n">
        <f aca="false">Sheet1!BJ263</f>
        <v>2.58308201581506</v>
      </c>
      <c r="CI28" s="42" t="s">
        <v>241</v>
      </c>
      <c r="CJ28" s="42" t="n">
        <f aca="false">Sheet1!BH263</f>
        <v>0.700760320524787</v>
      </c>
      <c r="CK28" s="42" t="s">
        <v>241</v>
      </c>
      <c r="CL28" s="42" t="n">
        <f aca="false">Sheet1!BL263</f>
        <v>2.59482941374286</v>
      </c>
      <c r="CM28" s="42" t="s">
        <v>241</v>
      </c>
      <c r="CN28" s="42" t="n">
        <f aca="false">Sheet1!BI263</f>
        <v>0.549869194181252</v>
      </c>
      <c r="CO28" s="42" t="s">
        <v>241</v>
      </c>
      <c r="CP28" s="42" t="n">
        <f aca="false">Sheet1!BN263</f>
        <v>2.48951930063483</v>
      </c>
      <c r="CQ28" s="42" t="s">
        <v>350</v>
      </c>
    </row>
    <row r="29" customFormat="false" ht="13.2" hidden="false" customHeight="false" outlineLevel="0" collapsed="false">
      <c r="A29" s="0" t="str">
        <f aca="false">Sheet1!A29</f>
        <v>N-Tol1223-conti2 – 2stars</v>
      </c>
      <c r="B29" s="0" t="n">
        <v>0.13</v>
      </c>
      <c r="C29" s="0" t="n">
        <v>0.0748</v>
      </c>
      <c r="D29" s="20" t="n">
        <v>0.13</v>
      </c>
      <c r="E29" s="8" t="n">
        <v>0.0907</v>
      </c>
      <c r="F29" s="8" t="n">
        <v>0.0595</v>
      </c>
      <c r="G29" s="0" t="n">
        <v>0.35</v>
      </c>
      <c r="H29" s="0" t="n">
        <v>0.0098</v>
      </c>
      <c r="I29" s="0" t="n">
        <v>0.35</v>
      </c>
      <c r="J29" s="0" t="n">
        <v>0.0102</v>
      </c>
      <c r="K29" s="0" t="n">
        <v>0.0367</v>
      </c>
      <c r="M29" s="0" t="n">
        <v>0.0093</v>
      </c>
      <c r="N29" s="0" t="n">
        <f aca="false">Sheet1!Z29/(1+M29)^2</f>
        <v>43.3892079986258</v>
      </c>
      <c r="BC29" s="0" t="str">
        <f aca="false">"Intercept"</f>
        <v>Intercept</v>
      </c>
      <c r="BD29" s="0" t="n">
        <f aca="false" t="array" ref="BD29:BD31">INDEX(Sheet2!$BC$7:$BE$7, 1 , 32 - ROW())</f>
        <v>35.9652602365844</v>
      </c>
      <c r="BE29" s="0" t="n">
        <f aca="false" t="array" ref="BE29:BE31">INDEX(Sheet2!$BC$8:$BE$8, 1 , 32 - ROW())</f>
        <v>0.51077784314737</v>
      </c>
      <c r="BF29" s="0" t="n">
        <f aca="false" t="array" ref="BF29:BF31">Sheet2!$BD$29:$BD$31 / Sheet2!$BE$29:$BE$31</f>
        <v>70.412725843724</v>
      </c>
      <c r="BG29" s="0" t="n">
        <f aca="false" t="array" ref="BG29:BG31">TDIST(ABS(Sheet2!$BF$29:$BF$31) , Sheet2!$BD$10 , 2 )</f>
        <v>3.66191169427128E-040</v>
      </c>
      <c r="BH29" s="0" t="n">
        <f aca="false" t="array" ref="BH29:BH31">Sheet2!$BD$29:$BD$31 - Sheet2!$BE$29:$BE$31 * TINV(1 - Sheet2!$BD$26 , Sheet2!$BD$10)</f>
        <v>34.9293547570635</v>
      </c>
      <c r="BI29" s="0" t="n">
        <f aca="false" t="array" ref="BI29:BI31">Sheet2!$BD$29:$BD$31 + Sheet2!$BE$29:$BE$31 * TINV(1 - Sheet2!$BD$26 , Sheet2!$BD$10)</f>
        <v>37.0011657161053</v>
      </c>
      <c r="BL29" s="0" t="str">
        <f aca="false">Sheet1!$BL$245</f>
        <v>Log2</v>
      </c>
      <c r="BM29" s="0" t="n">
        <v>0.285753934672898</v>
      </c>
      <c r="BN29" s="0" t="n">
        <v>0.177435864330804</v>
      </c>
      <c r="BO29" s="0" t="n">
        <v>1.61046322709681</v>
      </c>
      <c r="BP29" s="0" t="n">
        <v>0.116031586129627</v>
      </c>
      <c r="BQ29" s="0" t="n">
        <v>-0.0741026773351862</v>
      </c>
      <c r="BR29" s="0" t="n">
        <v>0.645610546680982</v>
      </c>
      <c r="BU29" s="0" t="str">
        <f aca="false">Sheet1!$BM$245</f>
        <v>log (σHβ) (Km s-¹)</v>
      </c>
      <c r="BV29" s="0" t="n">
        <v>2.33789558504931</v>
      </c>
      <c r="BW29" s="0" t="n">
        <v>0.401658051692042</v>
      </c>
      <c r="BX29" s="0" t="n">
        <v>5.82061177461921</v>
      </c>
      <c r="BY29" s="0" t="n">
        <v>1.20696696167879E-006</v>
      </c>
      <c r="BZ29" s="0" t="n">
        <v>1.52329529996718</v>
      </c>
      <c r="CA29" s="0" t="n">
        <v>3.15249587013143</v>
      </c>
      <c r="CD29" s="22" t="n">
        <v>19</v>
      </c>
      <c r="CE29" s="42" t="s">
        <v>241</v>
      </c>
      <c r="CF29" s="42" t="n">
        <f aca="false">Sheet1!BG264</f>
        <v>0.630010373721177</v>
      </c>
      <c r="CG29" s="42" t="s">
        <v>241</v>
      </c>
      <c r="CH29" s="42" t="n">
        <f aca="false">Sheet1!BJ264</f>
        <v>2.17210851033937</v>
      </c>
      <c r="CI29" s="42" t="s">
        <v>241</v>
      </c>
      <c r="CJ29" s="42" t="n">
        <f aca="false">Sheet1!BH264</f>
        <v>0.511338050744495</v>
      </c>
      <c r="CK29" s="42" t="s">
        <v>241</v>
      </c>
      <c r="CL29" s="42" t="n">
        <f aca="false">Sheet1!BL264</f>
        <v>2.08146892130256</v>
      </c>
      <c r="CM29" s="42" t="s">
        <v>241</v>
      </c>
      <c r="CN29" s="42" t="n">
        <f aca="false">Sheet1!BI264</f>
        <v>0.822066323813731</v>
      </c>
      <c r="CO29" s="42" t="s">
        <v>241</v>
      </c>
      <c r="CP29" s="42" t="n">
        <f aca="false">Sheet1!BN264</f>
        <v>2.28766766732407</v>
      </c>
      <c r="CQ29" s="42" t="s">
        <v>350</v>
      </c>
    </row>
    <row r="30" customFormat="false" ht="13.2" hidden="false" customHeight="false" outlineLevel="0" collapsed="false">
      <c r="A30" s="0" t="str">
        <f aca="false">Sheet1!A30</f>
        <v>N-Tol1345-conti2 – star</v>
      </c>
      <c r="B30" s="0" t="n">
        <v>0.3648</v>
      </c>
      <c r="C30" s="0" t="n">
        <v>0.0093</v>
      </c>
      <c r="D30" s="20" t="n">
        <v>0.3431</v>
      </c>
      <c r="E30" s="8" t="n">
        <v>0.0104</v>
      </c>
      <c r="F30" s="8" t="n">
        <v>0.0144</v>
      </c>
      <c r="G30" s="0" t="n">
        <v>0.35</v>
      </c>
      <c r="H30" s="0" t="n">
        <v>0.035</v>
      </c>
      <c r="I30" s="0" t="n">
        <v>0.35</v>
      </c>
      <c r="J30" s="0" t="n">
        <v>0.0362</v>
      </c>
      <c r="K30" s="0" t="n">
        <v>0.0395</v>
      </c>
      <c r="M30" s="0" t="n">
        <v>0.00807</v>
      </c>
      <c r="N30" s="0" t="n">
        <f aca="false">Sheet1!Z30/(1+M30)^2</f>
        <v>36.9019985051642</v>
      </c>
      <c r="BC30" s="0" t="str">
        <f aca="false">Sheet1!$BJ$245</f>
        <v>Log1</v>
      </c>
      <c r="BD30" s="0" t="n">
        <v>0.305437656567813</v>
      </c>
      <c r="BE30" s="0" t="n">
        <v>0.178549102958401</v>
      </c>
      <c r="BF30" s="0" t="n">
        <v>1.71066474995942</v>
      </c>
      <c r="BG30" s="0" t="n">
        <v>0.0957488351568543</v>
      </c>
      <c r="BH30" s="0" t="n">
        <v>-0.0566767080225614</v>
      </c>
      <c r="BI30" s="0" t="n">
        <v>0.667552021158187</v>
      </c>
      <c r="BL30" s="0" t="str">
        <f aca="false">Sheet1!$BM$245</f>
        <v>log (σHβ) (Km s-¹)</v>
      </c>
      <c r="BM30" s="0" t="n">
        <v>2.43663996793504</v>
      </c>
      <c r="BN30" s="0" t="n">
        <v>0.430378847207873</v>
      </c>
      <c r="BO30" s="0" t="n">
        <v>5.66161646591833</v>
      </c>
      <c r="BP30" s="0" t="n">
        <v>1.96927600862795E-006</v>
      </c>
      <c r="BQ30" s="0" t="n">
        <v>1.56379120976387</v>
      </c>
      <c r="BR30" s="0" t="n">
        <v>3.30948872610621</v>
      </c>
      <c r="BU30" s="0" t="str">
        <f aca="false">Sheet1!$BN$245</f>
        <v>Log3</v>
      </c>
      <c r="BV30" s="0" t="n">
        <v>0.405506081438876</v>
      </c>
      <c r="BW30" s="0" t="n">
        <v>0.166872830565703</v>
      </c>
      <c r="BX30" s="0" t="n">
        <v>2.43003058115693</v>
      </c>
      <c r="BY30" s="0" t="n">
        <v>0.0202119278806375</v>
      </c>
      <c r="BZ30" s="0" t="n">
        <v>0.067072294841948</v>
      </c>
      <c r="CA30" s="0" t="n">
        <v>0.743939868035805</v>
      </c>
      <c r="CD30" s="22" t="n">
        <v>20</v>
      </c>
      <c r="CE30" s="42" t="s">
        <v>241</v>
      </c>
      <c r="CF30" s="42" t="n">
        <f aca="false">Sheet1!BG265</f>
        <v>0.592487451987312</v>
      </c>
      <c r="CG30" s="42" t="s">
        <v>241</v>
      </c>
      <c r="CH30" s="42" t="n">
        <f aca="false">Sheet1!BJ265</f>
        <v>1.86320706472949</v>
      </c>
      <c r="CI30" s="42" t="s">
        <v>241</v>
      </c>
      <c r="CJ30" s="42" t="n">
        <f aca="false">Sheet1!BH265</f>
        <v>0.561646165697425</v>
      </c>
      <c r="CK30" s="42" t="s">
        <v>241</v>
      </c>
      <c r="CL30" s="42" t="n">
        <f aca="false">Sheet1!BL265</f>
        <v>1.83999070601295</v>
      </c>
      <c r="CM30" s="42" t="s">
        <v>241</v>
      </c>
      <c r="CN30" s="42" t="n">
        <f aca="false">Sheet1!BI265</f>
        <v>0.668418414934964</v>
      </c>
      <c r="CO30" s="42" t="s">
        <v>241</v>
      </c>
      <c r="CP30" s="42" t="n">
        <f aca="false">Sheet1!BN265</f>
        <v>1.91557631387235</v>
      </c>
      <c r="CQ30" s="42" t="s">
        <v>350</v>
      </c>
    </row>
    <row r="31" customFormat="false" ht="13.2" hidden="false" customHeight="false" outlineLevel="0" collapsed="false">
      <c r="A31" s="0" t="str">
        <f aca="false">Sheet1!A31</f>
        <v>N-Tol1924-conti – star Ha</v>
      </c>
      <c r="B31" s="0" t="n">
        <v>0.345</v>
      </c>
      <c r="C31" s="0" t="n">
        <v>0</v>
      </c>
      <c r="D31" s="20" t="n">
        <v>0.345</v>
      </c>
      <c r="E31" s="8" t="n">
        <v>0</v>
      </c>
      <c r="F31" s="8" t="s">
        <v>581</v>
      </c>
      <c r="G31" s="0" t="n">
        <v>0.3</v>
      </c>
      <c r="H31" s="0" t="n">
        <v>0.0131</v>
      </c>
      <c r="I31" s="0" t="n">
        <v>0.3</v>
      </c>
      <c r="J31" s="0" t="n">
        <v>0.012</v>
      </c>
      <c r="K31" s="0" t="s">
        <v>581</v>
      </c>
      <c r="M31" s="0" t="n">
        <v>0.00952</v>
      </c>
      <c r="N31" s="0" t="n">
        <f aca="false">Sheet1!Z31/(1+M31)^2</f>
        <v>37.6791736550282</v>
      </c>
      <c r="BC31" s="0" t="str">
        <f aca="false">Sheet1!$BK$245</f>
        <v>log (σHβ) (Km s-¹)</v>
      </c>
      <c r="BD31" s="0" t="n">
        <v>2.36688955500347</v>
      </c>
      <c r="BE31" s="0" t="n">
        <v>0.443840574209521</v>
      </c>
      <c r="BF31" s="0" t="n">
        <v>5.33274714511826</v>
      </c>
      <c r="BG31" s="0" t="n">
        <v>5.41731766444263E-006</v>
      </c>
      <c r="BH31" s="0" t="n">
        <v>1.46673914905742</v>
      </c>
      <c r="BI31" s="0" t="n">
        <v>3.26703996094952</v>
      </c>
      <c r="CD31" s="22" t="n">
        <v>21</v>
      </c>
      <c r="CE31" s="42" t="s">
        <v>241</v>
      </c>
      <c r="CF31" s="42" t="n">
        <f aca="false">Sheet1!BG266</f>
        <v>0.655068025045052</v>
      </c>
      <c r="CG31" s="42" t="s">
        <v>241</v>
      </c>
      <c r="CH31" s="42" t="n">
        <f aca="false">Sheet1!BJ266</f>
        <v>2.33960155611318</v>
      </c>
      <c r="CI31" s="42" t="s">
        <v>241</v>
      </c>
      <c r="CJ31" s="42" t="n">
        <f aca="false">Sheet1!BH266</f>
        <v>0.570146258700926</v>
      </c>
      <c r="CK31" s="42" t="s">
        <v>241</v>
      </c>
      <c r="CL31" s="42" t="n">
        <f aca="false">Sheet1!BL266</f>
        <v>2.2793014336249</v>
      </c>
      <c r="CM31" s="42" t="s">
        <v>241</v>
      </c>
      <c r="CN31" s="42" t="n">
        <f aca="false">Sheet1!BI266</f>
        <v>0.726142988737961</v>
      </c>
      <c r="CO31" s="42" t="s">
        <v>241</v>
      </c>
      <c r="CP31" s="42" t="n">
        <f aca="false">Sheet1!BN266</f>
        <v>2.38433730319002</v>
      </c>
      <c r="CQ31" s="42" t="s">
        <v>350</v>
      </c>
    </row>
    <row r="32" customFormat="false" ht="13.2" hidden="false" customHeight="false" outlineLevel="0" collapsed="false">
      <c r="A32" s="0" t="str">
        <f aca="false">Sheet1!A32</f>
        <v>N-Tol1937-conti</v>
      </c>
      <c r="B32" s="0" t="n">
        <v>0.4048</v>
      </c>
      <c r="C32" s="0" t="n">
        <v>0.0098</v>
      </c>
      <c r="D32" s="20" t="n">
        <v>0.4206</v>
      </c>
      <c r="E32" s="8" t="n">
        <v>0.0093</v>
      </c>
      <c r="F32" s="8" t="n">
        <v>0.0311</v>
      </c>
      <c r="G32" s="0" t="n">
        <v>0.05</v>
      </c>
      <c r="H32" s="0" t="n">
        <v>0.0173</v>
      </c>
      <c r="I32" s="0" t="n">
        <v>0.05</v>
      </c>
      <c r="J32" s="0" t="n">
        <v>0.0187</v>
      </c>
      <c r="K32" s="0" t="n">
        <v>0.0144</v>
      </c>
      <c r="M32" s="0" t="n">
        <v>0.00932</v>
      </c>
      <c r="N32" s="0" t="n">
        <f aca="false">Sheet1!Z32/(1+M32)^2</f>
        <v>36.7124902467871</v>
      </c>
      <c r="BL32" s="0" t="str">
        <f aca="false">Sheet1!$BL$245</f>
        <v>Log2</v>
      </c>
      <c r="BM32" s="0" t="str">
        <f aca="false">Sheet1!$BM$245</f>
        <v>log (σHβ) (Km s-¹)</v>
      </c>
      <c r="BN32" s="0" t="s">
        <v>157</v>
      </c>
      <c r="BO32" s="0" t="str">
        <f aca="false">Sheet1!$BF$2</f>
        <v>log (LHβ) (erg s-¹) KTC</v>
      </c>
      <c r="BP32" s="0" t="s">
        <v>133</v>
      </c>
      <c r="BQ32" s="0" t="s">
        <v>158</v>
      </c>
      <c r="BU32" s="0" t="str">
        <f aca="false">Sheet1!$BM$245</f>
        <v>log (σHβ) (Km s-¹)</v>
      </c>
      <c r="BV32" s="0" t="str">
        <f aca="false">Sheet1!$BN$245</f>
        <v>Log3</v>
      </c>
      <c r="BW32" s="0" t="s">
        <v>157</v>
      </c>
      <c r="BX32" s="0" t="str">
        <f aca="false">Sheet1!$BF$2</f>
        <v>log (LHβ) (erg s-¹) KTC</v>
      </c>
      <c r="BY32" s="0" t="s">
        <v>133</v>
      </c>
      <c r="BZ32" s="0" t="s">
        <v>158</v>
      </c>
      <c r="CD32" s="22" t="n">
        <v>22</v>
      </c>
      <c r="CE32" s="42" t="s">
        <v>241</v>
      </c>
      <c r="CF32" s="42" t="n">
        <f aca="false">Sheet1!BG267</f>
        <v>0.496394724873601</v>
      </c>
      <c r="CG32" s="42" t="s">
        <v>241</v>
      </c>
      <c r="CH32" s="42" t="n">
        <f aca="false">Sheet1!BJ267</f>
        <v>2.404216648641</v>
      </c>
      <c r="CI32" s="42" t="s">
        <v>241</v>
      </c>
      <c r="CJ32" s="42" t="n">
        <f aca="false">Sheet1!BH267</f>
        <v>0.820137004152203</v>
      </c>
      <c r="CK32" s="42" t="s">
        <v>241</v>
      </c>
      <c r="CL32" s="42" t="n">
        <f aca="false">Sheet1!BL267</f>
        <v>2.62227589846239</v>
      </c>
      <c r="CM32" s="42" t="s">
        <v>241</v>
      </c>
      <c r="CN32" s="42" t="n">
        <f aca="false">Sheet1!BI267</f>
        <v>0.603980418482803</v>
      </c>
      <c r="CO32" s="42" t="s">
        <v>241</v>
      </c>
      <c r="CP32" s="42" t="n">
        <f aca="false">Sheet1!BN267</f>
        <v>2.4894123496673</v>
      </c>
      <c r="CQ32" s="42" t="s">
        <v>350</v>
      </c>
    </row>
    <row r="33" customFormat="false" ht="13.2" hidden="false" customHeight="false" outlineLevel="0" collapsed="false">
      <c r="A33" s="0" t="str">
        <f aca="false">Sheet1!A33</f>
        <v>N-Tol2019-conti – star</v>
      </c>
      <c r="B33" s="0" t="n">
        <v>0.25</v>
      </c>
      <c r="C33" s="0" t="n">
        <v>0.0153</v>
      </c>
      <c r="D33" s="20" t="n">
        <v>0.25</v>
      </c>
      <c r="E33" s="8" t="n">
        <v>0.0156</v>
      </c>
      <c r="F33" s="8" t="n">
        <v>0.056</v>
      </c>
      <c r="G33" s="0" t="n">
        <v>0.1311</v>
      </c>
      <c r="H33" s="0" t="n">
        <v>0.0127</v>
      </c>
      <c r="I33" s="0" t="n">
        <v>0.134</v>
      </c>
      <c r="J33" s="0" t="n">
        <v>0.0171</v>
      </c>
      <c r="K33" s="0" t="n">
        <v>0.0161</v>
      </c>
      <c r="M33" s="0" t="n">
        <v>0.01495</v>
      </c>
      <c r="N33" s="0" t="n">
        <f aca="false">Sheet1!Z33/(1+M33)^2</f>
        <v>58.8278976772496</v>
      </c>
      <c r="BC33" s="0" t="str">
        <f aca="false">Sheet1!$BJ$245</f>
        <v>Log1</v>
      </c>
      <c r="BD33" s="0" t="str">
        <f aca="false">Sheet1!$BK$245</f>
        <v>log (σHβ) (Km s-¹)</v>
      </c>
      <c r="BE33" s="0" t="s">
        <v>157</v>
      </c>
      <c r="BF33" s="0" t="str">
        <f aca="false">Sheet1!$BF$2</f>
        <v>log (LHβ) (erg s-¹) KTC</v>
      </c>
      <c r="BG33" s="0" t="s">
        <v>133</v>
      </c>
      <c r="BH33" s="0" t="s">
        <v>158</v>
      </c>
      <c r="BL33" s="0" t="n">
        <f aca="false" t="array" ref="BL33:BM71">Sheet1!$BL$246:$BM$284</f>
        <v>1.96199288672569</v>
      </c>
      <c r="BM33" s="0" t="n">
        <v>1.18752072083646</v>
      </c>
      <c r="BN33" s="0" t="n">
        <f aca="false" t="array" ref="BN33:BN71">MMULT(Sheet2!$BL$33:$BM$71 , Sheet2!$BM$29:$BM$30) + Sheet2!$BM$28</f>
        <v>39.3713831333261</v>
      </c>
      <c r="BO33" s="0" t="n">
        <f aca="false" t="array" ref="BO33:BO71">Sheet1!$BF$3:$BF$41</f>
        <v>39.4693811697741</v>
      </c>
      <c r="BP33" s="0" t="n">
        <f aca="false" t="array" ref="BP33:BP71">Sheet2!$BO$33:$BO$71 - Sheet2!$BN$33:$BN$71</f>
        <v>0.0979980364480255</v>
      </c>
      <c r="BQ33" s="20" t="n">
        <f aca="false">(BP33)^2</f>
        <v>0.00960361514766854</v>
      </c>
      <c r="BU33" s="0" t="n">
        <f aca="false" t="array" ref="BU33:BV71">Sheet1!$BM$246:$BN$284</f>
        <v>1.18752072083646</v>
      </c>
      <c r="BV33" s="0" t="n">
        <v>2.08204662175641</v>
      </c>
      <c r="BW33" s="0" t="n">
        <f aca="false" t="array" ref="BW33:BW71">MMULT(Sheet2!$BU$33:$BV$71 , Sheet2!$BV$29:$BV$30) + Sheet2!$BV$28</f>
        <v>39.4189174302603</v>
      </c>
      <c r="BX33" s="0" t="n">
        <f aca="false" t="array" ref="BX33:BX71">Sheet1!$BF$3:$BF$41</f>
        <v>39.4693811697741</v>
      </c>
      <c r="BY33" s="0" t="n">
        <f aca="false" t="array" ref="BY33:BY71">Sheet2!$BX$33:$BX$71 - Sheet2!$BW$33:$BW$71</f>
        <v>0.0504637395137948</v>
      </c>
      <c r="BZ33" s="20" t="n">
        <f aca="false">(BY33)^2</f>
        <v>0.00254658900571613</v>
      </c>
      <c r="CD33" s="22" t="n">
        <v>23</v>
      </c>
      <c r="CE33" s="42" t="s">
        <v>241</v>
      </c>
      <c r="CF33" s="42" t="n">
        <f aca="false">Sheet1!BG268</f>
        <v>0.675576455374028</v>
      </c>
      <c r="CG33" s="42" t="s">
        <v>241</v>
      </c>
      <c r="CH33" s="42" t="n">
        <f aca="false">Sheet1!BJ268</f>
        <v>1.78651096849721</v>
      </c>
      <c r="CI33" s="42" t="s">
        <v>241</v>
      </c>
      <c r="CJ33" s="42" t="n">
        <f aca="false">Sheet1!BH268</f>
        <v>0.554025822869048</v>
      </c>
      <c r="CK33" s="42" t="s">
        <v>241</v>
      </c>
      <c r="CL33" s="42" t="n">
        <f aca="false">Sheet1!BL268</f>
        <v>1.70036647045356</v>
      </c>
      <c r="CM33" s="42" t="s">
        <v>241</v>
      </c>
      <c r="CN33" s="42" t="n">
        <f aca="false">Sheet1!BI268</f>
        <v>0.75112621280879</v>
      </c>
      <c r="CO33" s="42" t="s">
        <v>241</v>
      </c>
      <c r="CP33" s="42" t="n">
        <f aca="false">Sheet1!BN268</f>
        <v>1.83254938125989</v>
      </c>
      <c r="CQ33" s="42" t="s">
        <v>350</v>
      </c>
    </row>
    <row r="34" customFormat="false" ht="13.2" hidden="false" customHeight="false" outlineLevel="0" collapsed="false">
      <c r="A34" s="0" t="str">
        <f aca="false">Sheet1!A34</f>
        <v>N-Tol2041-conti – star Ha</v>
      </c>
      <c r="B34" s="0" t="n">
        <v>0.2</v>
      </c>
      <c r="C34" s="0" t="n">
        <v>0.019</v>
      </c>
      <c r="D34" s="20" t="n">
        <v>0.2</v>
      </c>
      <c r="E34" s="8" t="n">
        <v>0.0209</v>
      </c>
      <c r="F34" s="8" t="s">
        <v>581</v>
      </c>
      <c r="G34" s="0" t="n">
        <v>0.15</v>
      </c>
      <c r="H34" s="0" t="n">
        <v>0.0409</v>
      </c>
      <c r="I34" s="0" t="n">
        <v>0.15</v>
      </c>
      <c r="J34" s="0" t="n">
        <v>0.0388</v>
      </c>
      <c r="K34" s="0" t="n">
        <v>0.0164</v>
      </c>
      <c r="M34" s="0" t="n">
        <v>0.02576</v>
      </c>
      <c r="N34" s="0" t="n">
        <f aca="false">Sheet1!Z34/(1+M34)^2</f>
        <v>100.742876297103</v>
      </c>
      <c r="BC34" s="0" t="n">
        <f aca="false" t="array" ref="BC34:BD72">Sheet1!$BJ$246:$BK$284</f>
        <v>2.2376031663819</v>
      </c>
      <c r="BD34" s="0" t="n">
        <v>1.18752072083646</v>
      </c>
      <c r="BE34" s="0" t="n">
        <f aca="false" t="array" ref="BE34:BE72">MMULT(Sheet2!$BC$34:$BD$72 , Sheet2!$BD$30:$BD$31) + Sheet2!$BD$29</f>
        <v>39.4594388945508</v>
      </c>
      <c r="BF34" s="0" t="n">
        <f aca="false" t="array" ref="BF34:BF72">Sheet1!$BF$3:$BF$41</f>
        <v>39.4693811697741</v>
      </c>
      <c r="BG34" s="0" t="n">
        <f aca="false" t="array" ref="BG34:BG72">Sheet2!$BF$34:$BF$72 - Sheet2!$BE$34:$BE$72</f>
        <v>0.00994227522328117</v>
      </c>
      <c r="BH34" s="20" t="n">
        <f aca="false">(BG34)^2</f>
        <v>9.88488366153294E-005</v>
      </c>
      <c r="BL34" s="0" t="n">
        <v>2.22753399971829</v>
      </c>
      <c r="BM34" s="0" t="n">
        <v>1.32633586092875</v>
      </c>
      <c r="BN34" s="0" t="n">
        <v>39.7855050696845</v>
      </c>
      <c r="BO34" s="0" t="n">
        <v>40.1317447055601</v>
      </c>
      <c r="BP34" s="0" t="n">
        <v>0.346239635875591</v>
      </c>
      <c r="BQ34" s="20" t="n">
        <f aca="false">(BP34)^2</f>
        <v>0.119881885451267</v>
      </c>
      <c r="BU34" s="0" t="n">
        <v>1.32633586092875</v>
      </c>
      <c r="BV34" s="0" t="n">
        <v>2.30340179575688</v>
      </c>
      <c r="BW34" s="0" t="n">
        <v>39.8332136026352</v>
      </c>
      <c r="BX34" s="0" t="n">
        <v>40.1317447055601</v>
      </c>
      <c r="BY34" s="0" t="n">
        <v>0.298531102924876</v>
      </c>
      <c r="BZ34" s="20" t="n">
        <f aca="false">(BY34)^2</f>
        <v>0.0891208194135431</v>
      </c>
      <c r="CD34" s="22" t="n">
        <v>24</v>
      </c>
      <c r="CE34" s="42" t="s">
        <v>241</v>
      </c>
      <c r="CF34" s="42" t="n">
        <f aca="false">Sheet1!BG269</f>
        <v>0.59352434484666</v>
      </c>
      <c r="CG34" s="42" t="s">
        <v>241</v>
      </c>
      <c r="CH34" s="42" t="n">
        <f aca="false">Sheet1!BJ269</f>
        <v>1.76115692527252</v>
      </c>
      <c r="CI34" s="42" t="s">
        <v>241</v>
      </c>
      <c r="CJ34" s="42" t="n">
        <f aca="false">Sheet1!BH269</f>
        <v>0.701682079921129</v>
      </c>
      <c r="CK34" s="42" t="s">
        <v>241</v>
      </c>
      <c r="CL34" s="42" t="n">
        <f aca="false">Sheet1!BL269</f>
        <v>1.8338587733055</v>
      </c>
      <c r="CM34" s="42" t="s">
        <v>241</v>
      </c>
      <c r="CN34" s="42" t="n">
        <f aca="false">Sheet1!BI269</f>
        <v>0.555788465482447</v>
      </c>
      <c r="CO34" s="42" t="s">
        <v>241</v>
      </c>
      <c r="CP34" s="42" t="n">
        <f aca="false">Sheet1!BN269</f>
        <v>1.73262791740489</v>
      </c>
      <c r="CQ34" s="42" t="s">
        <v>350</v>
      </c>
    </row>
    <row r="35" customFormat="false" ht="13.2" hidden="false" customHeight="false" outlineLevel="0" collapsed="false">
      <c r="A35" s="0" t="str">
        <f aca="false">Sheet1!A35</f>
        <v>N-UM439-conti</v>
      </c>
      <c r="B35" s="0" t="n">
        <v>0.4</v>
      </c>
      <c r="C35" s="0" t="n">
        <v>0</v>
      </c>
      <c r="D35" s="20" t="n">
        <v>0.4</v>
      </c>
      <c r="E35" s="8" t="n">
        <v>0</v>
      </c>
      <c r="F35" s="8" t="s">
        <v>581</v>
      </c>
      <c r="G35" s="0" t="n">
        <v>0.05</v>
      </c>
      <c r="H35" s="0" t="n">
        <v>0.0266</v>
      </c>
      <c r="I35" s="0" t="n">
        <v>0.05</v>
      </c>
      <c r="J35" s="0" t="n">
        <v>0.036</v>
      </c>
      <c r="K35" s="0" t="n">
        <v>0.0642</v>
      </c>
      <c r="M35" s="0" t="n">
        <v>0.00382</v>
      </c>
      <c r="N35" s="0" t="n">
        <f aca="false">Sheet1!Z35/(1+M35)^2</f>
        <v>21.1381957276335</v>
      </c>
      <c r="P35" s="0" t="n">
        <v>5.297172</v>
      </c>
      <c r="Q35" s="0" t="n">
        <v>0.0624378</v>
      </c>
      <c r="R35" s="0" t="n">
        <v>6.509997</v>
      </c>
      <c r="S35" s="0" t="n">
        <v>0.1319614</v>
      </c>
      <c r="T35" s="0" t="n">
        <v>6.938074</v>
      </c>
      <c r="U35" s="0" t="n">
        <v>0.08418958</v>
      </c>
      <c r="V35" s="0" t="n">
        <v>8.232005</v>
      </c>
      <c r="W35" s="0" t="n">
        <v>0.1265633</v>
      </c>
      <c r="X35" s="0" t="n">
        <v>7.576244</v>
      </c>
      <c r="Y35" s="0" t="n">
        <v>0.110372</v>
      </c>
      <c r="Z35" s="0" t="n">
        <f aca="false">Sheet1!AS35</f>
        <v>0.505205095085917</v>
      </c>
      <c r="AA35" s="0" t="n">
        <v>1.207695</v>
      </c>
      <c r="AB35" s="0" t="n">
        <v>1.264419</v>
      </c>
      <c r="AC35" s="0" t="n">
        <v>1.285137</v>
      </c>
      <c r="AD35" s="0" t="n">
        <v>1.153276</v>
      </c>
      <c r="AE35" s="0" t="n">
        <v>1.192729</v>
      </c>
      <c r="AK35" s="0" t="n">
        <f aca="false">Sheet1!AN35</f>
        <v>6.40749631659236</v>
      </c>
      <c r="AL35" s="0" t="n">
        <f aca="false">Sheet1!AO35</f>
        <v>6.35753969500346</v>
      </c>
      <c r="AM35" s="0" t="n">
        <v>0.6704747</v>
      </c>
      <c r="AN35" s="0" t="n">
        <v>0.04052008</v>
      </c>
      <c r="AO35" s="0" t="n">
        <v>0.7304716</v>
      </c>
      <c r="AP35" s="0" t="n">
        <v>0.01455271</v>
      </c>
      <c r="AQ35" s="0" t="n">
        <v>0.7392687</v>
      </c>
      <c r="AR35" s="0" t="n">
        <v>0.02650494</v>
      </c>
      <c r="AS35" s="0" t="n">
        <v>0.7483022</v>
      </c>
      <c r="AT35" s="0" t="n">
        <v>0.06097616</v>
      </c>
      <c r="AU35" s="0" t="n">
        <v>0.7086577</v>
      </c>
      <c r="AV35" s="0" t="n">
        <v>0.07852747</v>
      </c>
      <c r="BC35" s="0" t="n">
        <v>2.09548626931625</v>
      </c>
      <c r="BD35" s="0" t="n">
        <v>1.32633586092875</v>
      </c>
      <c r="BE35" s="0" t="n">
        <v>39.7445911477132</v>
      </c>
      <c r="BF35" s="0" t="n">
        <v>40.1317447055601</v>
      </c>
      <c r="BG35" s="0" t="n">
        <v>0.387153557846915</v>
      </c>
      <c r="BH35" s="20" t="n">
        <f aca="false">(BG35)^2</f>
        <v>0.149887877353525</v>
      </c>
      <c r="BL35" s="0" t="n">
        <v>2.53466039955659</v>
      </c>
      <c r="BM35" s="0" t="n">
        <v>1.52762990087134</v>
      </c>
      <c r="BN35" s="0" t="n">
        <v>40.3637487499115</v>
      </c>
      <c r="BO35" s="0" t="n">
        <v>39.9963150223595</v>
      </c>
      <c r="BP35" s="0" t="n">
        <v>-0.367433727551955</v>
      </c>
      <c r="BQ35" s="20" t="n">
        <f aca="false">(BP35)^2</f>
        <v>0.135007544142724</v>
      </c>
      <c r="BU35" s="0" t="n">
        <v>1.52762990087134</v>
      </c>
      <c r="BV35" s="0" t="n">
        <v>2.3766293213853</v>
      </c>
      <c r="BW35" s="0" t="n">
        <v>40.3335122568848</v>
      </c>
      <c r="BX35" s="0" t="n">
        <v>39.9963150223595</v>
      </c>
      <c r="BY35" s="0" t="n">
        <v>-0.337197234525291</v>
      </c>
      <c r="BZ35" s="20" t="n">
        <f aca="false">(BY35)^2</f>
        <v>0.113701974971504</v>
      </c>
      <c r="CD35" s="22" t="n">
        <v>25</v>
      </c>
      <c r="CE35" s="42" t="s">
        <v>241</v>
      </c>
      <c r="CF35" s="42" t="n">
        <f aca="false">Sheet1!BG270</f>
        <v>0.842935114156806</v>
      </c>
      <c r="CG35" s="42" t="s">
        <v>241</v>
      </c>
      <c r="CH35" s="42" t="n">
        <f aca="false">Sheet1!BJ270</f>
        <v>2.71380146353513</v>
      </c>
      <c r="CI35" s="42" t="s">
        <v>241</v>
      </c>
      <c r="CJ35" s="42" t="n">
        <f aca="false">Sheet1!BH270</f>
        <v>0.446441009670877</v>
      </c>
      <c r="CK35" s="42" t="s">
        <v>241</v>
      </c>
      <c r="CL35" s="42" t="n">
        <f aca="false">Sheet1!BL270</f>
        <v>2.43777139957549</v>
      </c>
      <c r="CM35" s="42" t="s">
        <v>241</v>
      </c>
      <c r="CN35" s="42" t="n">
        <f aca="false">Sheet1!BI270</f>
        <v>0.500663284466506</v>
      </c>
      <c r="CO35" s="42" t="s">
        <v>241</v>
      </c>
      <c r="CP35" s="42" t="n">
        <f aca="false">Sheet1!BN270</f>
        <v>2.48755306202043</v>
      </c>
      <c r="CQ35" s="42" t="s">
        <v>350</v>
      </c>
    </row>
    <row r="36" customFormat="false" ht="13.2" hidden="false" customHeight="false" outlineLevel="0" collapsed="false">
      <c r="A36" s="0" t="str">
        <f aca="false">Sheet1!A36</f>
        <v>N-UM455-conti – star</v>
      </c>
      <c r="B36" s="0" t="n">
        <v>0.4345</v>
      </c>
      <c r="C36" s="0" t="n">
        <v>0.017</v>
      </c>
      <c r="D36" s="20" t="n">
        <v>0.4222</v>
      </c>
      <c r="E36" s="8" t="n">
        <v>0.0177</v>
      </c>
      <c r="F36" s="8" t="s">
        <v>581</v>
      </c>
      <c r="G36" s="0" t="n">
        <v>0.15</v>
      </c>
      <c r="H36" s="0" t="n">
        <v>0.0216</v>
      </c>
      <c r="I36" s="0" t="n">
        <v>0.15</v>
      </c>
      <c r="J36" s="0" t="n">
        <v>0.0247</v>
      </c>
      <c r="K36" s="0" t="n">
        <v>0.0241</v>
      </c>
      <c r="M36" s="0" t="n">
        <v>0.01306</v>
      </c>
      <c r="N36" s="0" t="n">
        <f aca="false">Sheet1!Z36/(1+M36)^2</f>
        <v>58.7552903034409</v>
      </c>
      <c r="P36" s="0" t="n">
        <v>2.089404</v>
      </c>
      <c r="Q36" s="0" t="n">
        <v>0.06725696</v>
      </c>
      <c r="R36" s="0" t="n">
        <v>2.350491</v>
      </c>
      <c r="S36" s="0" t="n">
        <v>0.03849021</v>
      </c>
      <c r="T36" s="0" t="n">
        <v>2.697669</v>
      </c>
      <c r="U36" s="0" t="n">
        <v>0.09922513</v>
      </c>
      <c r="V36" s="0" t="n">
        <v>2.748262</v>
      </c>
      <c r="W36" s="0" t="n">
        <v>0.1561716</v>
      </c>
      <c r="X36" s="0" t="n">
        <v>2.39841</v>
      </c>
      <c r="Y36" s="0" t="n">
        <v>0.1320573</v>
      </c>
      <c r="Z36" s="0" t="n">
        <f aca="false">Sheet1!AS36</f>
        <v>0.677814111279765</v>
      </c>
      <c r="AA36" s="0" t="n">
        <v>1.280389</v>
      </c>
      <c r="AB36" s="0" t="n">
        <v>1.212096</v>
      </c>
      <c r="AC36" s="0" t="n">
        <v>1.126888</v>
      </c>
      <c r="AD36" s="0" t="n">
        <v>1.02131</v>
      </c>
      <c r="AE36" s="0" t="n">
        <v>1.077076</v>
      </c>
      <c r="AK36" s="0" t="n">
        <f aca="false">Sheet1!AN36</f>
        <v>2.37853808063212</v>
      </c>
      <c r="AL36" s="0" t="n">
        <f aca="false">Sheet1!AO36</f>
        <v>2.0179970368207</v>
      </c>
      <c r="BC36" s="0" t="n">
        <v>2.63851828298318</v>
      </c>
      <c r="BD36" s="0" t="n">
        <v>1.52762990087134</v>
      </c>
      <c r="BE36" s="0" t="n">
        <v>40.3868943340335</v>
      </c>
      <c r="BF36" s="0" t="n">
        <v>39.9963150223595</v>
      </c>
      <c r="BG36" s="0" t="n">
        <v>-0.390579311673989</v>
      </c>
      <c r="BH36" s="20" t="n">
        <f aca="false">(BG36)^2</f>
        <v>0.152552198707727</v>
      </c>
      <c r="BL36" s="0" t="n">
        <v>2.53811301426108</v>
      </c>
      <c r="BM36" s="0" t="n">
        <v>1.54530711646582</v>
      </c>
      <c r="BN36" s="0" t="n">
        <v>40.4078083581875</v>
      </c>
      <c r="BO36" s="0" t="n">
        <v>40.3308782653967</v>
      </c>
      <c r="BP36" s="0" t="n">
        <v>-0.0769300927907821</v>
      </c>
      <c r="BQ36" s="20" t="n">
        <f aca="false">(BP36)^2</f>
        <v>0.00591823917679835</v>
      </c>
      <c r="BU36" s="0" t="n">
        <v>1.54530711646582</v>
      </c>
      <c r="BV36" s="0" t="n">
        <v>2.52131069049153</v>
      </c>
      <c r="BW36" s="0" t="n">
        <v>40.4335089162226</v>
      </c>
      <c r="BX36" s="0" t="n">
        <v>40.3308782653967</v>
      </c>
      <c r="BY36" s="0" t="n">
        <v>-0.102630650825873</v>
      </c>
      <c r="BZ36" s="20" t="n">
        <f aca="false">(BY36)^2</f>
        <v>0.0105330504889422</v>
      </c>
      <c r="CD36" s="22" t="n">
        <v>26</v>
      </c>
      <c r="CE36" s="42" t="s">
        <v>241</v>
      </c>
      <c r="CF36" s="42" t="n">
        <f aca="false">Sheet1!BG271</f>
        <v>0.762795437133874</v>
      </c>
      <c r="CG36" s="42" t="s">
        <v>241</v>
      </c>
      <c r="CH36" s="42" t="n">
        <f aca="false">Sheet1!BJ271</f>
        <v>2.05671712872547</v>
      </c>
      <c r="CI36" s="42" t="s">
        <v>241</v>
      </c>
      <c r="CJ36" s="42" t="n">
        <f aca="false">Sheet1!BH271</f>
        <v>0.595213667360085</v>
      </c>
      <c r="CK36" s="42" t="s">
        <v>241</v>
      </c>
      <c r="CL36" s="42" t="n">
        <f aca="false">Sheet1!BL271</f>
        <v>1.94898193716181</v>
      </c>
      <c r="CM36" s="42" t="s">
        <v>241</v>
      </c>
      <c r="CN36" s="42" t="n">
        <f aca="false">Sheet1!BI271</f>
        <v>0.405550438962414</v>
      </c>
      <c r="CO36" s="42" t="s">
        <v>241</v>
      </c>
      <c r="CP36" s="42" t="n">
        <f aca="false">Sheet1!BN271</f>
        <v>1.78235391800477</v>
      </c>
      <c r="CQ36" s="42" t="s">
        <v>350</v>
      </c>
    </row>
    <row r="37" customFormat="false" ht="13.2" hidden="false" customHeight="false" outlineLevel="0" collapsed="false">
      <c r="A37" s="0" t="str">
        <f aca="false">Sheet1!A37</f>
        <v>N-UM456-conti</v>
      </c>
      <c r="B37" s="0" t="n">
        <v>0.4086</v>
      </c>
      <c r="C37" s="0" t="n">
        <v>0</v>
      </c>
      <c r="D37" s="20" t="n">
        <v>0.4086</v>
      </c>
      <c r="E37" s="8" t="n">
        <v>0</v>
      </c>
      <c r="F37" s="8" t="s">
        <v>581</v>
      </c>
      <c r="G37" s="0" t="n">
        <v>0.05</v>
      </c>
      <c r="H37" s="0" t="n">
        <v>0.0239</v>
      </c>
      <c r="I37" s="0" t="n">
        <v>0.05</v>
      </c>
      <c r="J37" s="0" t="n">
        <v>0.0316</v>
      </c>
      <c r="K37" s="0" t="n">
        <v>0.0325</v>
      </c>
      <c r="M37" s="0" t="n">
        <v>0.00572</v>
      </c>
      <c r="N37" s="0" t="n">
        <f aca="false">Sheet1!Z37/(1+M37)^2</f>
        <v>28.9676621692261</v>
      </c>
      <c r="P37" s="0" t="n">
        <v>5.184079</v>
      </c>
      <c r="Q37" s="0" t="n">
        <v>0.2913655</v>
      </c>
      <c r="R37" s="0" t="n">
        <v>7.062248</v>
      </c>
      <c r="S37" s="0" t="n">
        <v>0.2301721</v>
      </c>
      <c r="T37" s="0" t="n">
        <v>6.7188</v>
      </c>
      <c r="U37" s="0" t="n">
        <v>0.1679778</v>
      </c>
      <c r="V37" s="0" t="n">
        <v>6.491963</v>
      </c>
      <c r="W37" s="0" t="n">
        <v>0.1843574</v>
      </c>
      <c r="X37" s="0" t="n">
        <v>7.338552</v>
      </c>
      <c r="Y37" s="0" t="n">
        <v>0.4230649</v>
      </c>
      <c r="Z37" s="0" t="n">
        <f aca="false">Sheet1!AS37</f>
        <v>0.668548180542831</v>
      </c>
      <c r="AA37" s="0" t="n">
        <v>1.291883</v>
      </c>
      <c r="AB37" s="0" t="n">
        <v>1.208044</v>
      </c>
      <c r="AC37" s="0" t="n">
        <v>1.179655</v>
      </c>
      <c r="AD37" s="0" t="n">
        <v>1.011408</v>
      </c>
      <c r="AE37" s="0" t="n">
        <v>1.08604</v>
      </c>
      <c r="AK37" s="0" t="n">
        <f aca="false">Sheet1!AN37</f>
        <v>6.83142933034778</v>
      </c>
      <c r="AL37" s="0" t="n">
        <f aca="false">Sheet1!AO37</f>
        <v>6.78947541587132</v>
      </c>
      <c r="AM37" s="0" t="n">
        <v>3.226522</v>
      </c>
      <c r="AN37" s="0" t="n">
        <v>0.3350779</v>
      </c>
      <c r="AO37" s="0" t="n">
        <v>3.680356</v>
      </c>
      <c r="AP37" s="0" t="n">
        <v>0.2023376</v>
      </c>
      <c r="AQ37" s="0" t="n">
        <v>3.698782</v>
      </c>
      <c r="AR37" s="0" t="n">
        <v>0.2481938</v>
      </c>
      <c r="AS37" s="0" t="n">
        <v>3.479091</v>
      </c>
      <c r="AT37" s="0" t="n">
        <v>0.3787152</v>
      </c>
      <c r="AU37" s="0" t="n">
        <v>2.895152</v>
      </c>
      <c r="AV37" s="0" t="n">
        <v>0.6339463</v>
      </c>
      <c r="BC37" s="0" t="n">
        <v>2.63967668258401</v>
      </c>
      <c r="BD37" s="0" t="n">
        <v>1.54530711646582</v>
      </c>
      <c r="BE37" s="0" t="n">
        <v>40.429088169845</v>
      </c>
      <c r="BF37" s="0" t="n">
        <v>40.3308782653967</v>
      </c>
      <c r="BG37" s="0" t="n">
        <v>-0.0982099044483462</v>
      </c>
      <c r="BH37" s="20" t="n">
        <f aca="false">(BG37)^2</f>
        <v>0.00964518533175469</v>
      </c>
      <c r="BL37" s="0" t="n">
        <v>2.69240570009122</v>
      </c>
      <c r="BM37" s="0" t="n">
        <v>1.44247976906445</v>
      </c>
      <c r="BN37" s="0" t="n">
        <v>40.2013448757798</v>
      </c>
      <c r="BO37" s="0" t="n">
        <v>40.4850090486329</v>
      </c>
      <c r="BP37" s="0" t="n">
        <v>0.283664172853122</v>
      </c>
      <c r="BQ37" s="20" t="n">
        <f aca="false">(BP37)^2</f>
        <v>0.0804653629604458</v>
      </c>
      <c r="BU37" s="0" t="n">
        <v>1.44247976906445</v>
      </c>
      <c r="BV37" s="0" t="n">
        <v>2.52934673727713</v>
      </c>
      <c r="BW37" s="0" t="n">
        <v>40.1963679805529</v>
      </c>
      <c r="BX37" s="0" t="n">
        <v>40.4850090486329</v>
      </c>
      <c r="BY37" s="0" t="n">
        <v>0.288641068080032</v>
      </c>
      <c r="BZ37" s="20" t="n">
        <f aca="false">(BY37)^2</f>
        <v>0.0833136661823819</v>
      </c>
      <c r="CD37" s="22" t="n">
        <v>27</v>
      </c>
      <c r="CE37" s="42" t="s">
        <v>241</v>
      </c>
      <c r="CF37" s="42" t="n">
        <f aca="false">Sheet1!BG272</f>
        <v>0.392573654018126</v>
      </c>
      <c r="CG37" s="42" t="s">
        <v>241</v>
      </c>
      <c r="CH37" s="42" t="n">
        <f aca="false">Sheet1!BJ272</f>
        <v>1.91687774000278</v>
      </c>
      <c r="CI37" s="42" t="s">
        <v>241</v>
      </c>
      <c r="CJ37" s="42" t="n">
        <f aca="false">Sheet1!BH272</f>
        <v>0.467125363923483</v>
      </c>
      <c r="CK37" s="42" t="s">
        <v>241</v>
      </c>
      <c r="CL37" s="42" t="n">
        <f aca="false">Sheet1!BL272</f>
        <v>1.99239003886989</v>
      </c>
      <c r="CM37" s="42" t="s">
        <v>241</v>
      </c>
      <c r="CN37" s="42" t="n">
        <f aca="false">Sheet1!BI272</f>
        <v>0.833934290753365</v>
      </c>
      <c r="CO37" s="42" t="s">
        <v>241</v>
      </c>
      <c r="CP37" s="42" t="n">
        <f aca="false">Sheet1!BN272</f>
        <v>2.24408842173377</v>
      </c>
      <c r="CQ37" s="42" t="s">
        <v>350</v>
      </c>
    </row>
    <row r="38" customFormat="false" ht="13.2" hidden="false" customHeight="false" outlineLevel="0" collapsed="false">
      <c r="A38" s="0" t="str">
        <f aca="false">Sheet1!A38</f>
        <v>N-UM461-conti</v>
      </c>
      <c r="B38" s="0" t="n">
        <v>0.15</v>
      </c>
      <c r="C38" s="0" t="n">
        <v>0.0288</v>
      </c>
      <c r="D38" s="20" t="n">
        <v>0.15</v>
      </c>
      <c r="E38" s="8" t="n">
        <v>0.0433</v>
      </c>
      <c r="F38" s="8" t="n">
        <v>0.0301</v>
      </c>
      <c r="G38" s="0" t="n">
        <v>0.32</v>
      </c>
      <c r="H38" s="0" t="n">
        <v>0.0097</v>
      </c>
      <c r="I38" s="0" t="n">
        <v>0.32</v>
      </c>
      <c r="J38" s="0" t="n">
        <v>0.0086</v>
      </c>
      <c r="K38" s="0" t="n">
        <v>0.0096</v>
      </c>
      <c r="M38" s="0" t="n">
        <v>0.00352</v>
      </c>
      <c r="N38" s="0" t="n">
        <f aca="false">Sheet1!Z38/(1+M38)^2</f>
        <v>19.859939950151</v>
      </c>
      <c r="P38" s="0" t="n">
        <v>1.337088</v>
      </c>
      <c r="Q38" s="0" t="n">
        <v>0.03661583</v>
      </c>
      <c r="R38" s="0" t="n">
        <v>1.2705</v>
      </c>
      <c r="S38" s="0" t="n">
        <v>0.01976294</v>
      </c>
      <c r="T38" s="0" t="n">
        <v>1.382578</v>
      </c>
      <c r="U38" s="0" t="n">
        <v>0.03347608</v>
      </c>
      <c r="V38" s="0" t="n">
        <v>1.891177</v>
      </c>
      <c r="W38" s="0" t="n">
        <v>0.07307554</v>
      </c>
      <c r="X38" s="0" t="n">
        <v>1.561577</v>
      </c>
      <c r="Y38" s="0" t="n">
        <v>0.1784084</v>
      </c>
      <c r="Z38" s="0" t="n">
        <f aca="false">Sheet1!AS38</f>
        <v>0.480300197190104</v>
      </c>
      <c r="AA38" s="0" t="n">
        <v>1.69893</v>
      </c>
      <c r="AB38" s="0" t="n">
        <v>1.507444</v>
      </c>
      <c r="AC38" s="0" t="n">
        <v>1.272729</v>
      </c>
      <c r="AD38" s="0" t="n">
        <v>1.282638</v>
      </c>
      <c r="AE38" s="0" t="n">
        <v>1.291567</v>
      </c>
      <c r="AK38" s="0" t="n">
        <f aca="false">Sheet1!AN38</f>
        <v>3.60019405859161</v>
      </c>
      <c r="AL38" s="0" t="n">
        <f aca="false">Sheet1!AO38</f>
        <v>3.51186606599208</v>
      </c>
      <c r="BC38" s="0" t="n">
        <v>2.53662459118991</v>
      </c>
      <c r="BD38" s="0" t="n">
        <v>1.44247976906445</v>
      </c>
      <c r="BE38" s="0" t="n">
        <v>40.1542312060122</v>
      </c>
      <c r="BF38" s="0" t="n">
        <v>40.4850090486329</v>
      </c>
      <c r="BG38" s="0" t="n">
        <v>0.330777842620691</v>
      </c>
      <c r="BH38" s="20" t="n">
        <f aca="false">(BG38)^2</f>
        <v>0.109413981168794</v>
      </c>
      <c r="BL38" s="0" t="n">
        <v>2.02932924809925</v>
      </c>
      <c r="BM38" s="0" t="n">
        <v>1.53781909507327</v>
      </c>
      <c r="BN38" s="0" t="n">
        <v>40.2441757829032</v>
      </c>
      <c r="BO38" s="0" t="n">
        <v>40.5363222856562</v>
      </c>
      <c r="BP38" s="0" t="n">
        <v>0.292146502752992</v>
      </c>
      <c r="BQ38" s="20" t="n">
        <f aca="false">(BP38)^2</f>
        <v>0.0853495790708039</v>
      </c>
      <c r="BU38" s="0" t="n">
        <v>1.53781909507327</v>
      </c>
      <c r="BV38" s="0" t="n">
        <v>2.2578282392959</v>
      </c>
      <c r="BW38" s="0" t="n">
        <v>40.3091589677559</v>
      </c>
      <c r="BX38" s="0" t="n">
        <v>40.5363222856562</v>
      </c>
      <c r="BY38" s="0" t="n">
        <v>0.227163317900278</v>
      </c>
      <c r="BZ38" s="20" t="n">
        <f aca="false">(BY38)^2</f>
        <v>0.0516031729994626</v>
      </c>
      <c r="CD38" s="22" t="n">
        <v>28</v>
      </c>
      <c r="CE38" s="42" t="s">
        <v>241</v>
      </c>
      <c r="CF38" s="42" t="n">
        <f aca="false">Sheet1!BG273</f>
        <v>0.770566843046123</v>
      </c>
      <c r="CG38" s="42" t="s">
        <v>241</v>
      </c>
      <c r="CH38" s="42" t="n">
        <f aca="false">Sheet1!BJ273</f>
        <v>2.13943507143884</v>
      </c>
      <c r="CI38" s="42" t="s">
        <v>241</v>
      </c>
      <c r="CJ38" s="42" t="n">
        <f aca="false">Sheet1!BH273</f>
        <v>0.58492230872077</v>
      </c>
      <c r="CK38" s="42" t="s">
        <v>241</v>
      </c>
      <c r="CL38" s="42" t="n">
        <f aca="false">Sheet1!BL273</f>
        <v>2.01972293925881</v>
      </c>
      <c r="CM38" s="42" t="s">
        <v>241</v>
      </c>
      <c r="CN38" s="42" t="n">
        <f aca="false">Sheet1!BI273</f>
        <v>0.806118567612466</v>
      </c>
      <c r="CO38" s="42" t="s">
        <v>241</v>
      </c>
      <c r="CP38" s="42" t="n">
        <f aca="false">Sheet1!BN273</f>
        <v>2.15902367827408</v>
      </c>
      <c r="CQ38" s="42" t="s">
        <v>350</v>
      </c>
    </row>
    <row r="39" customFormat="false" ht="13.2" hidden="false" customHeight="false" outlineLevel="0" collapsed="false">
      <c r="A39" s="0" t="str">
        <f aca="false">Sheet1!A39</f>
        <v>N-UM463-conti $</v>
      </c>
      <c r="B39" s="0" t="n">
        <v>0.541</v>
      </c>
      <c r="C39" s="0" t="n">
        <v>0.0152</v>
      </c>
      <c r="D39" s="20" t="n">
        <v>0.5278</v>
      </c>
      <c r="E39" s="8" t="n">
        <v>0.0137</v>
      </c>
      <c r="F39" s="8" t="n">
        <v>0.1051</v>
      </c>
      <c r="G39" s="0" t="n">
        <v>0.4</v>
      </c>
      <c r="H39" s="0" t="n">
        <v>0.0141</v>
      </c>
      <c r="I39" s="0" t="n">
        <v>0.4</v>
      </c>
      <c r="J39" s="0" t="n">
        <v>0.0153</v>
      </c>
      <c r="K39" s="0" t="n">
        <v>0.0131</v>
      </c>
      <c r="M39" s="0" t="n">
        <v>0.00468</v>
      </c>
      <c r="N39" s="0" t="n">
        <f aca="false">Sheet1!Z39/(1+M39)^2</f>
        <v>24.668561959349</v>
      </c>
      <c r="P39" s="0" t="n">
        <v>1.481313</v>
      </c>
      <c r="Q39" s="0" t="n">
        <v>0.05018633</v>
      </c>
      <c r="R39" s="0" t="n">
        <v>1.437381</v>
      </c>
      <c r="S39" s="0" t="n">
        <v>0.01205911</v>
      </c>
      <c r="T39" s="0" t="n">
        <v>1.778476</v>
      </c>
      <c r="U39" s="0" t="n">
        <v>0.02016954</v>
      </c>
      <c r="V39" s="0" t="n">
        <v>2.148176</v>
      </c>
      <c r="W39" s="0" t="n">
        <v>0.03616529</v>
      </c>
      <c r="X39" s="0" t="n">
        <v>2.234669</v>
      </c>
      <c r="Y39" s="0" t="n">
        <v>0.111625</v>
      </c>
      <c r="Z39" s="0" t="n">
        <f aca="false">Sheet1!AS39</f>
        <v>0.482029661781745</v>
      </c>
      <c r="AA39" s="0" t="n">
        <v>1.355573</v>
      </c>
      <c r="AB39" s="0" t="n">
        <v>1.216404</v>
      </c>
      <c r="AC39" s="0" t="n">
        <v>1.004933</v>
      </c>
      <c r="AD39" s="0" t="n">
        <v>0.8547681</v>
      </c>
      <c r="AE39" s="0" t="n">
        <v>1.044279</v>
      </c>
      <c r="AK39" s="0" t="n">
        <f aca="false">Sheet1!AN39</f>
        <v>2.03656293082255</v>
      </c>
      <c r="AL39" s="0" t="n">
        <f aca="false">Sheet1!AO39</f>
        <v>1.85575437159043</v>
      </c>
      <c r="BC39" s="0" t="n">
        <v>2.02925174826383</v>
      </c>
      <c r="BD39" s="0" t="n">
        <v>1.53781909507327</v>
      </c>
      <c r="BE39" s="0" t="n">
        <v>40.2249180887741</v>
      </c>
      <c r="BF39" s="0" t="n">
        <v>40.5363222856562</v>
      </c>
      <c r="BG39" s="0" t="n">
        <v>0.311404196882137</v>
      </c>
      <c r="BH39" s="20" t="n">
        <f aca="false">(BG39)^2</f>
        <v>0.0969725738358042</v>
      </c>
      <c r="BL39" s="0" t="n">
        <v>2.20306837980203</v>
      </c>
      <c r="BM39" s="0" t="n">
        <v>1.3541084391474</v>
      </c>
      <c r="BN39" s="0" t="n">
        <v>39.8461856966294</v>
      </c>
      <c r="BO39" s="0" t="n">
        <v>39.9166540391504</v>
      </c>
      <c r="BP39" s="0" t="n">
        <v>0.0704683425210106</v>
      </c>
      <c r="BQ39" s="20" t="n">
        <f aca="false">(BP39)^2</f>
        <v>0.00496578729765848</v>
      </c>
      <c r="BU39" s="0" t="n">
        <v>1.3541084391474</v>
      </c>
      <c r="BV39" s="0" t="n">
        <v>2.28573886257101</v>
      </c>
      <c r="BW39" s="0" t="n">
        <v>39.8909805638151</v>
      </c>
      <c r="BX39" s="0" t="n">
        <v>39.9166540391504</v>
      </c>
      <c r="BY39" s="0" t="n">
        <v>0.0256734753352745</v>
      </c>
      <c r="BZ39" s="20" t="n">
        <f aca="false">(BY39)^2</f>
        <v>0.00065912733579095</v>
      </c>
      <c r="CD39" s="22" t="n">
        <v>29</v>
      </c>
      <c r="CE39" s="42" t="s">
        <v>241</v>
      </c>
      <c r="CF39" s="42" t="n">
        <f aca="false">Sheet1!BG274</f>
        <v>0.815970110030529</v>
      </c>
      <c r="CG39" s="42" t="s">
        <v>241</v>
      </c>
      <c r="CH39" s="42" t="n">
        <f aca="false">Sheet1!BJ274</f>
        <v>2.17335048681625</v>
      </c>
      <c r="CI39" s="42" t="s">
        <v>241</v>
      </c>
      <c r="CJ39" s="42" t="n">
        <f aca="false">Sheet1!BH274</f>
        <v>0.612526849935779</v>
      </c>
      <c r="CK39" s="42" t="s">
        <v>241</v>
      </c>
      <c r="CL39" s="42" t="n">
        <f aca="false">Sheet1!BL274</f>
        <v>2.04880136712754</v>
      </c>
      <c r="CM39" s="42" t="s">
        <v>241</v>
      </c>
      <c r="CN39" s="42" t="n">
        <f aca="false">Sheet1!BI274</f>
        <v>0.416762876624561</v>
      </c>
      <c r="CO39" s="42" t="s">
        <v>241</v>
      </c>
      <c r="CP39" s="42" t="n">
        <f aca="false">Sheet1!BN274</f>
        <v>1.88156526350358</v>
      </c>
      <c r="CQ39" s="42" t="s">
        <v>350</v>
      </c>
    </row>
    <row r="40" customFormat="false" ht="13.2" hidden="false" customHeight="false" outlineLevel="0" collapsed="false">
      <c r="A40" s="0" t="str">
        <f aca="false">Sheet1!A40</f>
        <v>N-UM483-conti</v>
      </c>
      <c r="B40" s="0" t="n">
        <v>0.3141</v>
      </c>
      <c r="C40" s="0" t="n">
        <v>0.0114</v>
      </c>
      <c r="D40" s="20" t="n">
        <v>0.3232</v>
      </c>
      <c r="E40" s="8" t="n">
        <v>0.0131</v>
      </c>
      <c r="F40" s="8" t="n">
        <v>0.0368</v>
      </c>
      <c r="G40" s="0" t="n">
        <v>0.1924</v>
      </c>
      <c r="H40" s="0" t="n">
        <v>0.0165</v>
      </c>
      <c r="I40" s="0" t="n">
        <v>0.1924</v>
      </c>
      <c r="J40" s="0" t="n">
        <v>0.0165</v>
      </c>
      <c r="K40" s="0" t="n">
        <v>0.0194</v>
      </c>
      <c r="M40" s="0" t="n">
        <v>0.00792</v>
      </c>
      <c r="N40" s="0" t="n">
        <f aca="false">Sheet1!Z40/(1+M40)^2</f>
        <v>37.7988945221911</v>
      </c>
      <c r="P40" s="0" t="n">
        <v>3.3344</v>
      </c>
      <c r="Q40" s="0" t="n">
        <v>0.03898</v>
      </c>
      <c r="R40" s="0" t="n">
        <v>3.1533</v>
      </c>
      <c r="S40" s="0" t="n">
        <v>0.010282</v>
      </c>
      <c r="T40" s="0" t="n">
        <v>3.3643</v>
      </c>
      <c r="U40" s="0" t="n">
        <v>0.012228</v>
      </c>
      <c r="V40" s="0" t="n">
        <v>3.5484</v>
      </c>
      <c r="W40" s="0" t="n">
        <v>0.0172138</v>
      </c>
      <c r="X40" s="0" t="n">
        <v>3.3507</v>
      </c>
      <c r="Y40" s="0" t="n">
        <v>0.0541377</v>
      </c>
      <c r="Z40" s="0" t="n">
        <f aca="false">Sheet1!AS40</f>
        <v>0.514829520586333</v>
      </c>
      <c r="AA40" s="0" t="n">
        <v>2.138434</v>
      </c>
      <c r="AB40" s="0" t="n">
        <v>1.463858</v>
      </c>
      <c r="AC40" s="0" t="n">
        <v>1.470824</v>
      </c>
      <c r="AD40" s="0" t="n">
        <v>1.539142</v>
      </c>
      <c r="AE40" s="0" t="n">
        <v>1.28716</v>
      </c>
      <c r="AK40" s="0" t="n">
        <f aca="false">Sheet1!AN40</f>
        <v>3.22802879460861</v>
      </c>
      <c r="AL40" s="0" t="n">
        <f aca="false">Sheet1!AO40</f>
        <v>3.17853600016046</v>
      </c>
      <c r="BC40" s="0" t="n">
        <v>2.36479235048554</v>
      </c>
      <c r="BD40" s="0" t="n">
        <v>1.3541084391474</v>
      </c>
      <c r="BE40" s="0" t="n">
        <v>39.8925819913462</v>
      </c>
      <c r="BF40" s="0" t="n">
        <v>39.9166540391504</v>
      </c>
      <c r="BG40" s="0" t="n">
        <v>0.024072047804168</v>
      </c>
      <c r="BH40" s="20" t="n">
        <f aca="false">(BG40)^2</f>
        <v>0.00057946348548581</v>
      </c>
      <c r="BL40" s="0" t="n">
        <v>2.55981234621832</v>
      </c>
      <c r="BM40" s="0" t="n">
        <v>1.42488163663107</v>
      </c>
      <c r="BN40" s="0" t="n">
        <v>40.1205754903509</v>
      </c>
      <c r="BO40" s="0" t="n">
        <v>39.9203081956583</v>
      </c>
      <c r="BP40" s="0" t="n">
        <v>-0.20026729469263</v>
      </c>
      <c r="BQ40" s="20" t="n">
        <f aca="false">(BP40)^2</f>
        <v>0.0401069893235046</v>
      </c>
      <c r="BU40" s="0" t="n">
        <v>1.42488163663107</v>
      </c>
      <c r="BV40" s="0" t="n">
        <v>2.28578660345823</v>
      </c>
      <c r="BW40" s="0" t="n">
        <v>40.0564602689721</v>
      </c>
      <c r="BX40" s="0" t="n">
        <v>39.9203081956583</v>
      </c>
      <c r="BY40" s="0" t="n">
        <v>-0.136152073313816</v>
      </c>
      <c r="BZ40" s="20" t="n">
        <f aca="false">(BY40)^2</f>
        <v>0.0185373870676508</v>
      </c>
      <c r="CD40" s="22" t="n">
        <v>30</v>
      </c>
      <c r="CE40" s="42" t="s">
        <v>241</v>
      </c>
      <c r="CF40" s="42" t="n">
        <f aca="false">Sheet1!BG275</f>
        <v>0.421584268045793</v>
      </c>
      <c r="CG40" s="42" t="s">
        <v>241</v>
      </c>
      <c r="CH40" s="42" t="n">
        <f aca="false">Sheet1!BJ275</f>
        <v>1.87527310723252</v>
      </c>
      <c r="CI40" s="42" t="s">
        <v>241</v>
      </c>
      <c r="CJ40" s="42" t="n">
        <f aca="false">Sheet1!BH275</f>
        <v>0.847765610609324</v>
      </c>
      <c r="CK40" s="42" t="s">
        <v>241</v>
      </c>
      <c r="CL40" s="42" t="n">
        <f aca="false">Sheet1!BL275</f>
        <v>2.17866450652492</v>
      </c>
      <c r="CM40" s="42" t="s">
        <v>241</v>
      </c>
      <c r="CN40" s="42" t="n">
        <f aca="false">Sheet1!BI275</f>
        <v>0.728969905308401</v>
      </c>
      <c r="CO40" s="42" t="s">
        <v>241</v>
      </c>
      <c r="CP40" s="42" t="n">
        <f aca="false">Sheet1!BN275</f>
        <v>2.11309831031312</v>
      </c>
      <c r="CQ40" s="42" t="s">
        <v>350</v>
      </c>
    </row>
    <row r="41" customFormat="false" ht="13.2" hidden="false" customHeight="false" outlineLevel="0" collapsed="false">
      <c r="A41" s="0" t="str">
        <f aca="false">Sheet1!A41</f>
        <v>N-UM559-conti</v>
      </c>
      <c r="B41" s="0" t="n">
        <v>0.1</v>
      </c>
      <c r="C41" s="0" t="n">
        <v>0.0259</v>
      </c>
      <c r="D41" s="20" t="n">
        <v>0.1</v>
      </c>
      <c r="E41" s="8" t="n">
        <v>0.0217</v>
      </c>
      <c r="F41" s="8" t="s">
        <v>581</v>
      </c>
      <c r="G41" s="0" t="n">
        <v>0.1</v>
      </c>
      <c r="H41" s="0" t="n">
        <v>0.0259</v>
      </c>
      <c r="I41" s="20" t="n">
        <v>0.1</v>
      </c>
      <c r="J41" s="8" t="n">
        <v>0.0217</v>
      </c>
      <c r="K41" s="0" t="n">
        <v>0.0313</v>
      </c>
      <c r="M41" s="0" t="n">
        <v>0.00429</v>
      </c>
      <c r="N41" s="0" t="n">
        <f aca="false">Sheet1!Z41/(1+M41)^2</f>
        <v>22.3081852088368</v>
      </c>
      <c r="P41" s="0" t="n">
        <v>9.84119</v>
      </c>
      <c r="Q41" s="0" t="n">
        <v>0.81855</v>
      </c>
      <c r="R41" s="0" t="n">
        <v>10.32925</v>
      </c>
      <c r="S41" s="0" t="n">
        <v>0.381318</v>
      </c>
      <c r="T41" s="0" t="n">
        <v>10.91552</v>
      </c>
      <c r="U41" s="0" t="n">
        <v>0.2422468</v>
      </c>
      <c r="V41" s="0" t="n">
        <v>12.6426</v>
      </c>
      <c r="W41" s="0" t="n">
        <v>0.356442</v>
      </c>
      <c r="X41" s="0" t="n">
        <v>6.85153</v>
      </c>
      <c r="Y41" s="0" t="n">
        <v>0.356442</v>
      </c>
      <c r="Z41" s="0" t="n">
        <f aca="false">Sheet1!AS41</f>
        <v>0.609858954908598</v>
      </c>
      <c r="AA41" s="0" t="n">
        <v>1.628857</v>
      </c>
      <c r="AB41" s="0" t="n">
        <v>1.54914</v>
      </c>
      <c r="AC41" s="0" t="n">
        <v>1.413608</v>
      </c>
      <c r="AD41" s="0" t="n">
        <v>1.340998</v>
      </c>
      <c r="AE41" s="0" t="n">
        <v>1.548766</v>
      </c>
      <c r="AK41" s="0" t="n">
        <f aca="false">Sheet1!AN41</f>
        <v>0.733985683669488</v>
      </c>
      <c r="AL41" s="0" t="n">
        <f aca="false">Sheet1!AO41</f>
        <v>0.0502989396282421</v>
      </c>
      <c r="AM41" s="0" t="n">
        <v>1.0293</v>
      </c>
      <c r="AN41" s="0" t="n">
        <v>0.021359</v>
      </c>
      <c r="AO41" s="0" t="n">
        <v>0.9396032</v>
      </c>
      <c r="AP41" s="0" t="n">
        <v>0.0124843</v>
      </c>
      <c r="AQ41" s="0" t="n">
        <v>0.916423</v>
      </c>
      <c r="AR41" s="0" t="n">
        <v>0.01948056</v>
      </c>
      <c r="AS41" s="0" t="n">
        <v>3.264124</v>
      </c>
      <c r="AT41" s="0" t="n">
        <v>-1000</v>
      </c>
      <c r="AU41" s="0" t="n">
        <v>-9999</v>
      </c>
      <c r="BC41" s="0" t="n">
        <v>2.47624185820494</v>
      </c>
      <c r="BD41" s="0" t="n">
        <v>1.42488163663107</v>
      </c>
      <c r="BE41" s="0" t="n">
        <v>40.094135209708</v>
      </c>
      <c r="BF41" s="0" t="n">
        <v>39.9203081956583</v>
      </c>
      <c r="BG41" s="0" t="n">
        <v>-0.173827014049678</v>
      </c>
      <c r="BH41" s="20" t="n">
        <f aca="false">(BG41)^2</f>
        <v>0.0302158308134294</v>
      </c>
      <c r="BL41" s="0" t="n">
        <v>2.62460002795648</v>
      </c>
      <c r="BM41" s="0" t="n">
        <v>1.43775056282039</v>
      </c>
      <c r="BN41" s="0" t="n">
        <v>40.1704457652233</v>
      </c>
      <c r="BO41" s="0" t="n">
        <v>40.0555420750015</v>
      </c>
      <c r="BP41" s="0" t="n">
        <v>-0.114903690221752</v>
      </c>
      <c r="BQ41" s="20" t="n">
        <f aca="false">(BP41)^2</f>
        <v>0.0132028580265763</v>
      </c>
      <c r="BU41" s="0" t="n">
        <v>1.43775056282039</v>
      </c>
      <c r="BV41" s="0" t="n">
        <v>2.55048456401016</v>
      </c>
      <c r="BW41" s="0" t="n">
        <v>40.1938831074427</v>
      </c>
      <c r="BX41" s="0" t="n">
        <v>40.0555420750015</v>
      </c>
      <c r="BY41" s="0" t="n">
        <v>-0.138341032441232</v>
      </c>
      <c r="BZ41" s="20" t="n">
        <f aca="false">(BY41)^2</f>
        <v>0.0191382412569061</v>
      </c>
      <c r="CD41" s="22" t="n">
        <v>31</v>
      </c>
      <c r="CE41" s="42" t="s">
        <v>241</v>
      </c>
      <c r="CF41" s="42" t="n">
        <f aca="false">Sheet1!BG276</f>
        <v>0.764605335627876</v>
      </c>
      <c r="CG41" s="42" t="s">
        <v>241</v>
      </c>
      <c r="CH41" s="42" t="n">
        <f aca="false">Sheet1!BJ276</f>
        <v>2.33859551949977</v>
      </c>
      <c r="CI41" s="42" t="s">
        <v>241</v>
      </c>
      <c r="CJ41" s="42" t="n">
        <f aca="false">Sheet1!BH276</f>
        <v>0.679076205452575</v>
      </c>
      <c r="CK41" s="42" t="s">
        <v>241</v>
      </c>
      <c r="CL41" s="42" t="n">
        <f aca="false">Sheet1!BL276</f>
        <v>2.28707670841454</v>
      </c>
      <c r="CM41" s="42" t="s">
        <v>241</v>
      </c>
      <c r="CN41" s="42" t="n">
        <f aca="false">Sheet1!BI276</f>
        <v>0.670465997870317</v>
      </c>
      <c r="CO41" s="42" t="s">
        <v>241</v>
      </c>
      <c r="CP41" s="42" t="n">
        <f aca="false">Sheet1!BN276</f>
        <v>2.28153495303887</v>
      </c>
      <c r="CQ41" s="42" t="s">
        <v>350</v>
      </c>
    </row>
    <row r="42" customFormat="false" ht="13.2" hidden="false" customHeight="false" outlineLevel="0" collapsed="false">
      <c r="D42" s="20"/>
      <c r="E42" s="8"/>
      <c r="F42" s="8"/>
      <c r="BC42" s="0" t="n">
        <v>2.55289327668008</v>
      </c>
      <c r="BD42" s="0" t="n">
        <v>1.43775056282039</v>
      </c>
      <c r="BE42" s="0" t="n">
        <v>40.1480067663212</v>
      </c>
      <c r="BF42" s="0" t="n">
        <v>40.0555420750015</v>
      </c>
      <c r="BG42" s="0" t="n">
        <v>-0.0924646913197407</v>
      </c>
      <c r="BH42" s="20" t="n">
        <f aca="false">(BG42)^2</f>
        <v>0.00854971914085624</v>
      </c>
      <c r="BL42" s="0" t="n">
        <v>1.78418513419869</v>
      </c>
      <c r="BM42" s="0" t="n">
        <v>1.31386722036915</v>
      </c>
      <c r="BN42" s="0" t="n">
        <v>39.6284347989962</v>
      </c>
      <c r="BO42" s="0" t="n">
        <v>39.6009701741581</v>
      </c>
      <c r="BP42" s="0" t="n">
        <v>-0.0274646248380819</v>
      </c>
      <c r="BQ42" s="20" t="n">
        <f aca="false">(BP42)^2</f>
        <v>0.000754305617496584</v>
      </c>
      <c r="BU42" s="0" t="n">
        <v>1.31386722036915</v>
      </c>
      <c r="BV42" s="0" t="n">
        <v>1.70822580477628</v>
      </c>
      <c r="BW42" s="0" t="n">
        <v>39.5627157390503</v>
      </c>
      <c r="BX42" s="0" t="n">
        <v>39.6009701741581</v>
      </c>
      <c r="BY42" s="0" t="n">
        <v>0.038254435107774</v>
      </c>
      <c r="BZ42" s="20" t="n">
        <f aca="false">(BY42)^2</f>
        <v>0.0014634018054149</v>
      </c>
      <c r="CD42" s="22" t="n">
        <v>32</v>
      </c>
      <c r="CE42" s="42" t="s">
        <v>241</v>
      </c>
      <c r="CF42" s="42" t="n">
        <f aca="false">Sheet1!BG277</f>
        <v>0.723653922635683</v>
      </c>
      <c r="CG42" s="42" t="s">
        <v>241</v>
      </c>
      <c r="CH42" s="42" t="n">
        <f aca="false">Sheet1!BJ277</f>
        <v>2.54832013359396</v>
      </c>
      <c r="CI42" s="42" t="s">
        <v>241</v>
      </c>
      <c r="CJ42" s="42" t="n">
        <f aca="false">Sheet1!BH277</f>
        <v>0.420079899049092</v>
      </c>
      <c r="CK42" s="42" t="s">
        <v>241</v>
      </c>
      <c r="CL42" s="42" t="n">
        <f aca="false">Sheet1!BL277</f>
        <v>2.31212111392115</v>
      </c>
      <c r="CM42" s="42" t="s">
        <v>241</v>
      </c>
      <c r="CN42" s="42" t="n">
        <f aca="false">Sheet1!BI277</f>
        <v>0.814712631952026</v>
      </c>
      <c r="CO42" s="42" t="s">
        <v>241</v>
      </c>
      <c r="CP42" s="42" t="n">
        <f aca="false">Sheet1!BN277</f>
        <v>2.59979366301859</v>
      </c>
      <c r="CQ42" s="42" t="s">
        <v>350</v>
      </c>
    </row>
    <row r="43" customFormat="false" ht="13.2" hidden="false" customHeight="false" outlineLevel="0" collapsed="false">
      <c r="BC43" s="0" t="n">
        <v>1.6219132334487</v>
      </c>
      <c r="BD43" s="0" t="n">
        <v>1.31386722036915</v>
      </c>
      <c r="BE43" s="0" t="n">
        <v>39.5704322143185</v>
      </c>
      <c r="BF43" s="0" t="n">
        <v>39.6009701741581</v>
      </c>
      <c r="BG43" s="0" t="n">
        <v>0.0305379598396129</v>
      </c>
      <c r="BH43" s="20" t="n">
        <f aca="false">(BG43)^2</f>
        <v>0.000932566991165379</v>
      </c>
      <c r="BL43" s="0" t="n">
        <v>1.57100227200172</v>
      </c>
      <c r="BM43" s="0" t="n">
        <v>1.51719589794997</v>
      </c>
      <c r="BN43" s="0" t="n">
        <v>40.0629557397394</v>
      </c>
      <c r="BO43" s="0" t="n">
        <v>39.7119114592515</v>
      </c>
      <c r="BP43" s="0" t="n">
        <v>-0.351044280487869</v>
      </c>
      <c r="BQ43" s="20" t="n">
        <f aca="false">(BP43)^2</f>
        <v>0.123232086863241</v>
      </c>
      <c r="BU43" s="0" t="n">
        <v>1.51719589794997</v>
      </c>
      <c r="BV43" s="0" t="n">
        <v>1.44572779635315</v>
      </c>
      <c r="BW43" s="0" t="n">
        <v>39.9316324178993</v>
      </c>
      <c r="BX43" s="0" t="n">
        <v>39.7119114592515</v>
      </c>
      <c r="BY43" s="0" t="n">
        <v>-0.219720958647763</v>
      </c>
      <c r="BZ43" s="20" t="n">
        <f aca="false">(BY43)^2</f>
        <v>0.0482772996690918</v>
      </c>
      <c r="CD43" s="22" t="n">
        <v>33</v>
      </c>
      <c r="CE43" s="42" t="s">
        <v>241</v>
      </c>
      <c r="CF43" s="42" t="n">
        <f aca="false">Sheet1!BG278</f>
        <v>0.576861625978825</v>
      </c>
      <c r="CG43" s="42" t="s">
        <v>241</v>
      </c>
      <c r="CH43" s="42" t="n">
        <f aca="false">Sheet1!BJ278</f>
        <v>1.77171443148352</v>
      </c>
      <c r="CI43" s="42" t="s">
        <v>241</v>
      </c>
      <c r="CJ43" s="42" t="n">
        <f aca="false">Sheet1!BH278</f>
        <v>0.475782174149013</v>
      </c>
      <c r="CK43" s="42" t="s">
        <v>241</v>
      </c>
      <c r="CL43" s="42" t="n">
        <f aca="false">Sheet1!BL278</f>
        <v>1.68805094827623</v>
      </c>
      <c r="CM43" s="42" t="s">
        <v>241</v>
      </c>
      <c r="CN43" s="42" t="n">
        <f aca="false">Sheet1!BI278</f>
        <v>0.699586841090685</v>
      </c>
      <c r="CO43" s="42" t="s">
        <v>241</v>
      </c>
      <c r="CP43" s="42" t="n">
        <f aca="false">Sheet1!BN278</f>
        <v>1.85548441372858</v>
      </c>
      <c r="CQ43" s="42" t="s">
        <v>350</v>
      </c>
    </row>
    <row r="44" customFormat="false" ht="13.2" hidden="false" customHeight="false" outlineLevel="0" collapsed="false">
      <c r="BC44" s="0" t="n">
        <v>1.53701842838582</v>
      </c>
      <c r="BD44" s="0" t="n">
        <v>1.51719589794997</v>
      </c>
      <c r="BE44" s="0" t="n">
        <v>40.025758667204</v>
      </c>
      <c r="BF44" s="0" t="n">
        <v>39.7119114592515</v>
      </c>
      <c r="BG44" s="0" t="n">
        <v>-0.313847207952506</v>
      </c>
      <c r="BH44" s="20" t="n">
        <f aca="false">(BG44)^2</f>
        <v>0.0985000699395879</v>
      </c>
      <c r="BL44" s="0" t="n">
        <v>1.56360434040143</v>
      </c>
      <c r="BM44" s="0" t="n">
        <v>1.32221929473392</v>
      </c>
      <c r="BN44" s="0" t="n">
        <v>39.5857539674677</v>
      </c>
      <c r="BO44" s="0" t="n">
        <v>39.8158956218551</v>
      </c>
      <c r="BP44" s="0" t="n">
        <v>0.230141654387388</v>
      </c>
      <c r="BQ44" s="20" t="n">
        <f aca="false">(BP44)^2</f>
        <v>0.0529651810841674</v>
      </c>
      <c r="BU44" s="0" t="n">
        <v>1.32221929473392</v>
      </c>
      <c r="BV44" s="0" t="n">
        <v>1.67821140311722</v>
      </c>
      <c r="BW44" s="0" t="n">
        <v>39.5700709944302</v>
      </c>
      <c r="BX44" s="0" t="n">
        <v>39.8158956218551</v>
      </c>
      <c r="BY44" s="0" t="n">
        <v>0.245824627424874</v>
      </c>
      <c r="BZ44" s="20" t="n">
        <f aca="false">(BY44)^2</f>
        <v>0.0604297474485779</v>
      </c>
      <c r="CD44" s="22" t="n">
        <v>34</v>
      </c>
      <c r="CE44" s="42" t="s">
        <v>241</v>
      </c>
      <c r="CF44" s="42" t="n">
        <f aca="false">Sheet1!BG279</f>
        <v>0.54290483457695</v>
      </c>
      <c r="CG44" s="42" t="s">
        <v>241</v>
      </c>
      <c r="CH44" s="42" t="n">
        <f aca="false">Sheet1!BJ279</f>
        <v>2.18934555230654</v>
      </c>
      <c r="CI44" s="42" t="s">
        <v>241</v>
      </c>
      <c r="CJ44" s="42" t="n">
        <f aca="false">Sheet1!BH279</f>
        <v>0.476701044459151</v>
      </c>
      <c r="CK44" s="42" t="s">
        <v>241</v>
      </c>
      <c r="CL44" s="42" t="n">
        <f aca="false">Sheet1!BL279</f>
        <v>2.13286794670758</v>
      </c>
      <c r="CM44" s="42" t="s">
        <v>241</v>
      </c>
      <c r="CN44" s="42" t="n">
        <f aca="false">Sheet1!BI279</f>
        <v>0.742700050690274</v>
      </c>
      <c r="CO44" s="42" t="s">
        <v>241</v>
      </c>
      <c r="CP44" s="42" t="n">
        <f aca="false">Sheet1!BN279</f>
        <v>2.32543529679054</v>
      </c>
      <c r="CQ44" s="42" t="s">
        <v>350</v>
      </c>
    </row>
    <row r="45" customFormat="false" ht="13.2" hidden="false" customHeight="false" outlineLevel="0" collapsed="false">
      <c r="BC45" s="0" t="n">
        <v>1.75800068041896</v>
      </c>
      <c r="BD45" s="0" t="n">
        <v>1.32221929473392</v>
      </c>
      <c r="BE45" s="0" t="n">
        <v>39.631766882786</v>
      </c>
      <c r="BF45" s="0" t="n">
        <v>39.8158956218551</v>
      </c>
      <c r="BG45" s="0" t="n">
        <v>0.184128739069131</v>
      </c>
      <c r="BH45" s="20" t="n">
        <f aca="false">(BG45)^2</f>
        <v>0.0339033925511854</v>
      </c>
      <c r="BL45" s="0" t="n">
        <v>1.80902715576665</v>
      </c>
      <c r="BM45" s="0" t="n">
        <v>1.23299611039215</v>
      </c>
      <c r="BN45" s="0" t="n">
        <v>39.4384797255832</v>
      </c>
      <c r="BO45" s="0" t="n">
        <v>39.9770046637507</v>
      </c>
      <c r="BP45" s="0" t="n">
        <v>0.53852493816747</v>
      </c>
      <c r="BQ45" s="20" t="n">
        <f aca="false">(BP45)^2</f>
        <v>0.290009109028277</v>
      </c>
      <c r="BU45" s="0" t="n">
        <v>1.23299611039215</v>
      </c>
      <c r="BV45" s="0" t="n">
        <v>1.98583880146556</v>
      </c>
      <c r="BW45" s="0" t="n">
        <v>39.486221286521</v>
      </c>
      <c r="BX45" s="0" t="n">
        <v>39.9770046637507</v>
      </c>
      <c r="BY45" s="0" t="n">
        <v>0.490783377229661</v>
      </c>
      <c r="BZ45" s="20" t="n">
        <f aca="false">(BY45)^2</f>
        <v>0.240868323364952</v>
      </c>
      <c r="CD45" s="22" t="n">
        <v>35</v>
      </c>
      <c r="CE45" s="42" t="s">
        <v>241</v>
      </c>
      <c r="CF45" s="42" t="n">
        <f aca="false">Sheet1!BG280</f>
        <v>0.648320769379365</v>
      </c>
      <c r="CG45" s="42" t="s">
        <v>241</v>
      </c>
      <c r="CH45" s="42" t="n">
        <f aca="false">Sheet1!BJ280</f>
        <v>1.95927824850459</v>
      </c>
      <c r="CI45" s="42" t="s">
        <v>241</v>
      </c>
      <c r="CJ45" s="42" t="n">
        <f aca="false">Sheet1!BH280</f>
        <v>0.481546237336541</v>
      </c>
      <c r="CK45" s="42" t="s">
        <v>241</v>
      </c>
      <c r="CL45" s="42" t="n">
        <f aca="false">Sheet1!BL280</f>
        <v>1.830126307529</v>
      </c>
      <c r="CM45" s="42" t="s">
        <v>241</v>
      </c>
      <c r="CN45" s="42" t="n">
        <f aca="false">Sheet1!BI280</f>
        <v>0.824524819656264</v>
      </c>
      <c r="CO45" s="42" t="s">
        <v>241</v>
      </c>
      <c r="CP45" s="42" t="n">
        <f aca="false">Sheet1!BN280</f>
        <v>2.06369204698119</v>
      </c>
      <c r="CQ45" s="42" t="s">
        <v>350</v>
      </c>
    </row>
    <row r="46" customFormat="false" ht="13.2" hidden="false" customHeight="false" outlineLevel="0" collapsed="false">
      <c r="BC46" s="0" t="n">
        <v>1.80280041035222</v>
      </c>
      <c r="BD46" s="0" t="n">
        <v>1.23299611039215</v>
      </c>
      <c r="BE46" s="0" t="n">
        <v>39.434268984229</v>
      </c>
      <c r="BF46" s="0" t="n">
        <v>39.9770046637507</v>
      </c>
      <c r="BG46" s="0" t="n">
        <v>0.542735679521734</v>
      </c>
      <c r="BH46" s="20" t="n">
        <f aca="false">(BG46)^2</f>
        <v>0.29456201782591</v>
      </c>
      <c r="BL46" s="0" t="n">
        <v>1.47717270804376</v>
      </c>
      <c r="BM46" s="0" t="n">
        <v>1.23299611039215</v>
      </c>
      <c r="BN46" s="0" t="n">
        <v>39.3436510114077</v>
      </c>
      <c r="BO46" s="0" t="n">
        <v>39.0888685217564</v>
      </c>
      <c r="BP46" s="0" t="n">
        <v>-0.254782489651305</v>
      </c>
      <c r="BQ46" s="20" t="n">
        <f aca="false">(BP46)^2</f>
        <v>0.0649141170329173</v>
      </c>
      <c r="BU46" s="0" t="n">
        <v>1.23299611039215</v>
      </c>
      <c r="BV46" s="0" t="n">
        <v>1.44995595728912</v>
      </c>
      <c r="BW46" s="0" t="n">
        <v>39.2689175342687</v>
      </c>
      <c r="BX46" s="0" t="n">
        <v>39.0888685217564</v>
      </c>
      <c r="BY46" s="0" t="n">
        <v>-0.18004901251232</v>
      </c>
      <c r="BZ46" s="20" t="n">
        <f aca="false">(BY46)^2</f>
        <v>0.0324176469066617</v>
      </c>
      <c r="CD46" s="22" t="n">
        <v>36</v>
      </c>
      <c r="CE46" s="42" t="s">
        <v>241</v>
      </c>
      <c r="CF46" s="42" t="n">
        <f aca="false">Sheet1!BG281</f>
        <v>0.445100804606005</v>
      </c>
      <c r="CG46" s="42" t="s">
        <v>241</v>
      </c>
      <c r="CH46" s="42" t="n">
        <f aca="false">Sheet1!BJ281</f>
        <v>1.63201117717762</v>
      </c>
      <c r="CI46" s="42" t="s">
        <v>241</v>
      </c>
      <c r="CJ46" s="42" t="n">
        <f aca="false">Sheet1!BH281</f>
        <v>0.764954625202684</v>
      </c>
      <c r="CK46" s="42" t="s">
        <v>241</v>
      </c>
      <c r="CL46" s="42" t="n">
        <f aca="false">Sheet1!BL281</f>
        <v>1.86718847270394</v>
      </c>
      <c r="CM46" s="42" t="s">
        <v>241</v>
      </c>
      <c r="CN46" s="42" t="n">
        <f aca="false">Sheet1!BI281</f>
        <v>0.397273921682055</v>
      </c>
      <c r="CO46" s="42" t="s">
        <v>241</v>
      </c>
      <c r="CP46" s="42" t="n">
        <f aca="false">Sheet1!BN281</f>
        <v>1.5826428553492</v>
      </c>
      <c r="CQ46" s="42" t="s">
        <v>350</v>
      </c>
    </row>
    <row r="47" customFormat="false" ht="13.2" hidden="false" customHeight="false" outlineLevel="0" collapsed="false">
      <c r="BC47" s="0" t="n">
        <v>1.66973273822595</v>
      </c>
      <c r="BD47" s="0" t="n">
        <v>1.23299611039215</v>
      </c>
      <c r="BE47" s="0" t="n">
        <v>39.3936251062898</v>
      </c>
      <c r="BF47" s="0" t="n">
        <v>39.0888685217564</v>
      </c>
      <c r="BG47" s="0" t="n">
        <v>-0.304756584533379</v>
      </c>
      <c r="BH47" s="20" t="n">
        <f aca="false">(BG47)^2</f>
        <v>0.0928765758164551</v>
      </c>
      <c r="BL47" s="0" t="n">
        <v>2.22446605506408</v>
      </c>
      <c r="BM47" s="0" t="n">
        <v>1.3541084391474</v>
      </c>
      <c r="BN47" s="0" t="n">
        <v>39.8523001665284</v>
      </c>
      <c r="BO47" s="0" t="n">
        <v>39.3364926286811</v>
      </c>
      <c r="BP47" s="0" t="n">
        <v>-0.515807537847273</v>
      </c>
      <c r="BQ47" s="20" t="n">
        <f aca="false">(BP47)^2</f>
        <v>0.266057416100066</v>
      </c>
      <c r="BU47" s="0" t="n">
        <v>1.3541084391474</v>
      </c>
      <c r="BV47" s="0" t="n">
        <v>2.17448203156115</v>
      </c>
      <c r="BW47" s="0" t="n">
        <v>39.845865242239</v>
      </c>
      <c r="BX47" s="0" t="n">
        <v>39.3364926286811</v>
      </c>
      <c r="BY47" s="0" t="n">
        <v>-0.509372613557908</v>
      </c>
      <c r="BZ47" s="20" t="n">
        <f aca="false">(BY47)^2</f>
        <v>0.259460459442813</v>
      </c>
      <c r="CD47" s="22" t="n">
        <v>37</v>
      </c>
      <c r="CE47" s="42" t="s">
        <v>241</v>
      </c>
      <c r="CF47" s="42" t="n">
        <f aca="false">Sheet1!BG282</f>
        <v>0.536442866687446</v>
      </c>
      <c r="CG47" s="42" t="s">
        <v>241</v>
      </c>
      <c r="CH47" s="42" t="n">
        <f aca="false">Sheet1!BJ282</f>
        <v>1.8072421747504</v>
      </c>
      <c r="CI47" s="42" t="s">
        <v>241</v>
      </c>
      <c r="CJ47" s="42" t="n">
        <f aca="false">Sheet1!BH282</f>
        <v>0.743101978695529</v>
      </c>
      <c r="CK47" s="42" t="s">
        <v>241</v>
      </c>
      <c r="CL47" s="42" t="n">
        <f aca="false">Sheet1!BL282</f>
        <v>1.94876711781128</v>
      </c>
      <c r="CM47" s="42" t="s">
        <v>241</v>
      </c>
      <c r="CN47" s="42" t="n">
        <f aca="false">Sheet1!BI282</f>
        <v>0.439897275713609</v>
      </c>
      <c r="CO47" s="42" t="s">
        <v>241</v>
      </c>
      <c r="CP47" s="42" t="n">
        <f aca="false">Sheet1!BN282</f>
        <v>1.72106997248311</v>
      </c>
      <c r="CQ47" s="42" t="s">
        <v>350</v>
      </c>
    </row>
    <row r="48" customFormat="false" ht="13.2" hidden="false" customHeight="false" outlineLevel="0" collapsed="false">
      <c r="A48" s="0" t="s">
        <v>187</v>
      </c>
      <c r="AA48" s="0" t="s">
        <v>588</v>
      </c>
      <c r="AB48" s="0" t="s">
        <v>589</v>
      </c>
      <c r="AC48" s="0" t="s">
        <v>590</v>
      </c>
      <c r="AD48" s="0" t="s">
        <v>591</v>
      </c>
      <c r="AE48" s="0" t="s">
        <v>592</v>
      </c>
      <c r="AH48" s="0" t="s">
        <v>588</v>
      </c>
      <c r="AI48" s="0" t="s">
        <v>589</v>
      </c>
      <c r="AJ48" s="0" t="s">
        <v>590</v>
      </c>
      <c r="AK48" s="0" t="s">
        <v>591</v>
      </c>
      <c r="BC48" s="0" t="n">
        <v>2.05102026162947</v>
      </c>
      <c r="BD48" s="0" t="n">
        <v>1.3541084391474</v>
      </c>
      <c r="BE48" s="0" t="n">
        <v>39.7967441798297</v>
      </c>
      <c r="BF48" s="0" t="n">
        <v>39.3364926286811</v>
      </c>
      <c r="BG48" s="0" t="n">
        <v>-0.460251551148552</v>
      </c>
      <c r="BH48" s="20" t="n">
        <f aca="false">(BG48)^2</f>
        <v>0.211831490334655</v>
      </c>
      <c r="BL48" s="0" t="n">
        <v>2.49102488729162</v>
      </c>
      <c r="BM48" s="0" t="n">
        <v>1.48572142648158</v>
      </c>
      <c r="BN48" s="0" t="n">
        <v>40.249163866897</v>
      </c>
      <c r="BO48" s="0" t="n">
        <v>40.3263420583806</v>
      </c>
      <c r="BP48" s="0" t="n">
        <v>0.077178191483597</v>
      </c>
      <c r="BQ48" s="20" t="n">
        <f aca="false">(BP48)^2</f>
        <v>0.00595647324067876</v>
      </c>
      <c r="BU48" s="0" t="n">
        <v>1.48572142648158</v>
      </c>
      <c r="BV48" s="0" t="n">
        <v>2.47176594856293</v>
      </c>
      <c r="BW48" s="0" t="n">
        <v>40.2741131005209</v>
      </c>
      <c r="BX48" s="0" t="n">
        <v>40.3263420583806</v>
      </c>
      <c r="BY48" s="0" t="n">
        <v>0.0522289578596613</v>
      </c>
      <c r="BZ48" s="20" t="n">
        <f aca="false">(BY48)^2</f>
        <v>0.00272786403910628</v>
      </c>
      <c r="CD48" s="22" t="n">
        <v>38</v>
      </c>
      <c r="CE48" s="42" t="s">
        <v>241</v>
      </c>
      <c r="CF48" s="42" t="n">
        <f aca="false">Sheet1!BG283</f>
        <v>0.602768800023709</v>
      </c>
      <c r="CG48" s="42" t="s">
        <v>241</v>
      </c>
      <c r="CH48" s="42" t="n">
        <f aca="false">Sheet1!BJ283</f>
        <v>2.04320473000393</v>
      </c>
      <c r="CI48" s="42" t="s">
        <v>241</v>
      </c>
      <c r="CJ48" s="42" t="n">
        <f aca="false">Sheet1!BH283</f>
        <v>0.659517973531836</v>
      </c>
      <c r="CK48" s="42" t="s">
        <v>241</v>
      </c>
      <c r="CL48" s="42" t="n">
        <f aca="false">Sheet1!BL283</f>
        <v>2.08228060100585</v>
      </c>
      <c r="CM48" s="42" t="s">
        <v>241</v>
      </c>
      <c r="CN48" s="42" t="n">
        <f aca="false">Sheet1!BI283</f>
        <v>0.580108129863789</v>
      </c>
      <c r="CO48" s="42" t="s">
        <v>241</v>
      </c>
      <c r="CP48" s="42" t="n">
        <f aca="false">Sheet1!BN283</f>
        <v>2.02656291722394</v>
      </c>
      <c r="CQ48" s="42" t="s">
        <v>350</v>
      </c>
    </row>
    <row r="49" customFormat="false" ht="13.2" hidden="false" customHeight="false" outlineLevel="0" collapsed="false">
      <c r="A49" s="0" t="s">
        <v>189</v>
      </c>
      <c r="Z49" s="0" t="str">
        <f aca="false">A3</f>
        <v>C0840+1044</v>
      </c>
      <c r="AA49" s="50" t="n">
        <f aca="false">SQRT(P3^2-AA3^2)</f>
        <v>1.01928291515948</v>
      </c>
      <c r="AB49" s="24" t="n">
        <f aca="false">SQRT(R3^2-AB3^2)</f>
        <v>1.82278887548504</v>
      </c>
      <c r="AC49" s="50" t="n">
        <f aca="false">SQRT(T3^2-AC3^2)</f>
        <v>2.2402868904685</v>
      </c>
      <c r="AD49" s="24" t="n">
        <f aca="false">AL3</f>
        <v>1.69946586243346</v>
      </c>
      <c r="AE49" s="0" t="e">
        <f aca="false">Sheet1!AT3</f>
        <v>#VALUE!</v>
      </c>
      <c r="AG49" s="0" t="s">
        <v>76</v>
      </c>
      <c r="AH49" s="0" t="n">
        <v>1.688356</v>
      </c>
      <c r="AI49" s="0" t="n">
        <v>2.280576</v>
      </c>
      <c r="AJ49" s="0" t="n">
        <v>2.511397</v>
      </c>
      <c r="AK49" s="0" t="n">
        <v>1.69252369172533</v>
      </c>
      <c r="BC49" s="0" t="n">
        <v>2.55445872606549</v>
      </c>
      <c r="BD49" s="0" t="n">
        <v>1.48572142648158</v>
      </c>
      <c r="BE49" s="0" t="n">
        <v>40.2620266496572</v>
      </c>
      <c r="BF49" s="0" t="n">
        <v>40.3263420583806</v>
      </c>
      <c r="BG49" s="0" t="n">
        <v>0.0643154087234379</v>
      </c>
      <c r="BH49" s="20" t="n">
        <f aca="false">(BG49)^2</f>
        <v>0.00413647179926196</v>
      </c>
      <c r="BL49" s="0" t="n">
        <v>2.27248853865146</v>
      </c>
      <c r="BM49" s="0" t="n">
        <v>1.39967372148104</v>
      </c>
      <c r="BN49" s="0" t="n">
        <v>39.9770489682506</v>
      </c>
      <c r="BO49" s="0" t="n">
        <v>39.7238406799932</v>
      </c>
      <c r="BP49" s="0" t="n">
        <v>-0.253208288257426</v>
      </c>
      <c r="BQ49" s="20" t="n">
        <f aca="false">(BP49)^2</f>
        <v>0.0641144372422556</v>
      </c>
      <c r="BU49" s="0" t="n">
        <v>1.39967372148104</v>
      </c>
      <c r="BV49" s="0" t="n">
        <v>2.16404891821439</v>
      </c>
      <c r="BW49" s="0" t="n">
        <v>39.9481614237279</v>
      </c>
      <c r="BX49" s="0" t="n">
        <v>39.7238406799932</v>
      </c>
      <c r="BY49" s="0" t="n">
        <v>-0.224320743734694</v>
      </c>
      <c r="BZ49" s="20" t="n">
        <f aca="false">(BY49)^2</f>
        <v>0.0503197960696862</v>
      </c>
      <c r="CD49" s="22" t="n">
        <v>39</v>
      </c>
      <c r="CE49" s="42" t="s">
        <v>241</v>
      </c>
      <c r="CF49" s="42" t="n">
        <f aca="false">Sheet1!BG284</f>
        <v>0.685553154454816</v>
      </c>
      <c r="CG49" s="42" t="s">
        <v>241</v>
      </c>
      <c r="CH49" s="42" t="n">
        <f aca="false">Sheet1!BJ284</f>
        <v>1.87008024180446</v>
      </c>
      <c r="CI49" s="42" t="s">
        <v>241</v>
      </c>
      <c r="CJ49" s="42" t="n">
        <f aca="false">Sheet1!BH284</f>
        <v>0.651941644384333</v>
      </c>
      <c r="CK49" s="42" t="s">
        <v>241</v>
      </c>
      <c r="CL49" s="42" t="n">
        <f aca="false">Sheet1!BL284</f>
        <v>1.84824783185314</v>
      </c>
      <c r="CM49" s="42" t="s">
        <v>241</v>
      </c>
      <c r="CN49" s="42" t="n">
        <f aca="false">Sheet1!BI284</f>
        <v>0.542946172934714</v>
      </c>
      <c r="CO49" s="42" t="s">
        <v>241</v>
      </c>
      <c r="CP49" s="42" t="n">
        <f aca="false">Sheet1!BN284</f>
        <v>1.76879588455571</v>
      </c>
      <c r="CQ49" s="42" t="s">
        <v>350</v>
      </c>
    </row>
    <row r="50" customFormat="false" ht="13.2" hidden="false" customHeight="false" outlineLevel="0" collapsed="false">
      <c r="A50" s="0" t="s">
        <v>195</v>
      </c>
      <c r="Z50" s="0" t="s">
        <v>593</v>
      </c>
      <c r="AA50" s="0" t="n">
        <f aca="false">SQRT(P13^2-AA13^2)</f>
        <v>1.2726857528805</v>
      </c>
      <c r="AB50" s="0" t="n">
        <f aca="false">SQRT(R13^2-AB13^2)</f>
        <v>1.55796214735243</v>
      </c>
      <c r="AC50" s="0" t="n">
        <f aca="false">SQRT(T13^2-AC13^2)</f>
        <v>1.7355540804184</v>
      </c>
      <c r="AD50" s="0" t="n">
        <f aca="false">AL13</f>
        <v>3.22599098524441</v>
      </c>
      <c r="AE50" s="0" t="e">
        <f aca="false">Sheet1!AT13</f>
        <v>#VALUE!</v>
      </c>
      <c r="BC50" s="0" t="n">
        <v>2.37082359804772</v>
      </c>
      <c r="BD50" s="0" t="n">
        <v>1.39967372148104</v>
      </c>
      <c r="BE50" s="0" t="n">
        <v>40.0022721522941</v>
      </c>
      <c r="BF50" s="0" t="n">
        <v>39.7238406799932</v>
      </c>
      <c r="BG50" s="0" t="n">
        <v>-0.27843147230088</v>
      </c>
      <c r="BH50" s="20" t="n">
        <f aca="false">(BG50)^2</f>
        <v>0.0775240847676399</v>
      </c>
      <c r="BL50" s="0" t="n">
        <v>2.59482941374286</v>
      </c>
      <c r="BM50" s="0" t="n">
        <v>1.3384564936046</v>
      </c>
      <c r="BN50" s="0" t="n">
        <v>39.919994797444</v>
      </c>
      <c r="BO50" s="0" t="n">
        <v>40.069553025812</v>
      </c>
      <c r="BP50" s="0" t="n">
        <v>0.149558228368022</v>
      </c>
      <c r="BQ50" s="20" t="n">
        <f aca="false">(BP50)^2</f>
        <v>0.0223676636725815</v>
      </c>
      <c r="BU50" s="0" t="n">
        <v>1.3384564936046</v>
      </c>
      <c r="BV50" s="0" t="n">
        <v>2.48951930063483</v>
      </c>
      <c r="BW50" s="0" t="n">
        <v>39.9370221563463</v>
      </c>
      <c r="BX50" s="0" t="n">
        <v>40.069553025812</v>
      </c>
      <c r="BY50" s="0" t="n">
        <v>0.132530869465661</v>
      </c>
      <c r="BZ50" s="20" t="n">
        <f aca="false">(BY50)^2</f>
        <v>0.0175644313613241</v>
      </c>
    </row>
    <row r="51" customFormat="false" ht="13.2" hidden="false" customHeight="false" outlineLevel="0" collapsed="false">
      <c r="A51" s="0" t="s">
        <v>196</v>
      </c>
      <c r="Z51" s="0" t="s">
        <v>594</v>
      </c>
      <c r="AA51" s="0" t="n">
        <f aca="false">SQRT(P14^2-AA14^2)</f>
        <v>2.58067012120048</v>
      </c>
      <c r="AB51" s="0" t="n">
        <f aca="false">SQRT(R14^2-AB14^2)</f>
        <v>2.84337102985428</v>
      </c>
      <c r="AC51" s="0" t="n">
        <f aca="false">SQRT(T14^2-AC14^2)</f>
        <v>3.23087112700624</v>
      </c>
      <c r="AD51" s="50" t="n">
        <f aca="false">AL14</f>
        <v>0.904022652592776</v>
      </c>
      <c r="AE51" s="0" t="e">
        <f aca="false">Sheet1!AT14</f>
        <v>#VALUE!</v>
      </c>
      <c r="AG51" s="0" t="s">
        <v>593</v>
      </c>
      <c r="AH51" s="0" t="n">
        <v>1.667807</v>
      </c>
      <c r="AI51" s="0" t="n">
        <v>1.903512</v>
      </c>
      <c r="AJ51" s="0" t="n">
        <v>1.972578</v>
      </c>
      <c r="AK51" s="0" t="n">
        <v>3.99627032049013</v>
      </c>
      <c r="BC51" s="0" t="n">
        <v>2.58308201581506</v>
      </c>
      <c r="BD51" s="0" t="n">
        <v>1.3384564936046</v>
      </c>
      <c r="BE51" s="0" t="n">
        <v>39.9222094487567</v>
      </c>
      <c r="BF51" s="0" t="n">
        <v>40.069553025812</v>
      </c>
      <c r="BG51" s="0" t="n">
        <v>0.147343577055281</v>
      </c>
      <c r="BH51" s="20" t="n">
        <f aca="false">(BG51)^2</f>
        <v>0.0217101296994435</v>
      </c>
      <c r="BL51" s="0" t="n">
        <v>2.08146892130256</v>
      </c>
      <c r="BM51" s="0" t="n">
        <v>1.25527250510331</v>
      </c>
      <c r="BN51" s="0" t="n">
        <v>39.5706105857491</v>
      </c>
      <c r="BO51" s="0" t="n">
        <v>39.8138398098754</v>
      </c>
      <c r="BP51" s="0" t="n">
        <v>0.243229224126345</v>
      </c>
      <c r="BQ51" s="20" t="n">
        <f aca="false">(BP51)^2</f>
        <v>0.059160455469104</v>
      </c>
      <c r="BU51" s="0" t="n">
        <v>1.25527250510331</v>
      </c>
      <c r="BV51" s="0" t="n">
        <v>2.28766766732407</v>
      </c>
      <c r="BW51" s="0" t="n">
        <v>39.6606946120265</v>
      </c>
      <c r="BX51" s="0" t="n">
        <v>39.8138398098754</v>
      </c>
      <c r="BY51" s="0" t="n">
        <v>0.1531451978489</v>
      </c>
      <c r="BZ51" s="20" t="n">
        <f aca="false">(BY51)^2</f>
        <v>0.0234534516241788</v>
      </c>
    </row>
    <row r="52" customFormat="false" ht="13.2" hidden="false" customHeight="false" outlineLevel="0" collapsed="false">
      <c r="A52" s="33" t="s">
        <v>201</v>
      </c>
      <c r="Z52" s="0" t="s">
        <v>595</v>
      </c>
      <c r="AA52" s="0" t="n">
        <f aca="false">SQRT(P15^2-AA15^2)</f>
        <v>6.59419447144145</v>
      </c>
      <c r="AB52" s="24" t="n">
        <f aca="false">SQRT(R15^2-AB15^2)</f>
        <v>8.38992662677094</v>
      </c>
      <c r="AC52" s="0" t="n">
        <f aca="false">SQRT(T15^2-AC15^2)</f>
        <v>8.95993137928539</v>
      </c>
      <c r="AD52" s="24" t="n">
        <f aca="false">AL15</f>
        <v>8.16335673540453</v>
      </c>
      <c r="AE52" s="0" t="e">
        <f aca="false">Sheet1!AT15</f>
        <v>#VALUE!</v>
      </c>
      <c r="AG52" s="0" t="s">
        <v>594</v>
      </c>
      <c r="AH52" s="0" t="n">
        <v>2.764865</v>
      </c>
      <c r="AI52" s="0" t="n">
        <v>2.990497</v>
      </c>
      <c r="AJ52" s="0" t="n">
        <v>3.351281</v>
      </c>
      <c r="AK52" s="0" t="n">
        <v>2.09308867961602</v>
      </c>
      <c r="BC52" s="0" t="n">
        <v>2.17210851033937</v>
      </c>
      <c r="BD52" s="0" t="n">
        <v>1.25527250510331</v>
      </c>
      <c r="BE52" s="0" t="n">
        <v>39.5997953508055</v>
      </c>
      <c r="BF52" s="0" t="n">
        <v>39.8138398098754</v>
      </c>
      <c r="BG52" s="0" t="n">
        <v>0.214044459069861</v>
      </c>
      <c r="BH52" s="20" t="n">
        <f aca="false">(BG52)^2</f>
        <v>0.0458150304585093</v>
      </c>
      <c r="BL52" s="0" t="n">
        <v>1.83999070601295</v>
      </c>
      <c r="BM52" s="0" t="n">
        <v>1.22010808804006</v>
      </c>
      <c r="BN52" s="0" t="n">
        <v>39.4159242115268</v>
      </c>
      <c r="BO52" s="0" t="n">
        <v>39.0981383321098</v>
      </c>
      <c r="BP52" s="0" t="n">
        <v>-0.317785879417009</v>
      </c>
      <c r="BQ52" s="20" t="n">
        <f aca="false">(BP52)^2</f>
        <v>0.100987865156842</v>
      </c>
      <c r="BU52" s="0" t="n">
        <v>1.22010808804006</v>
      </c>
      <c r="BV52" s="0" t="n">
        <v>1.91557631387235</v>
      </c>
      <c r="BW52" s="0" t="n">
        <v>39.427598569948</v>
      </c>
      <c r="BX52" s="0" t="n">
        <v>39.0981383321098</v>
      </c>
      <c r="BY52" s="0" t="n">
        <v>-0.329460237838198</v>
      </c>
      <c r="BZ52" s="20" t="n">
        <f aca="false">(BY52)^2</f>
        <v>0.108544048316402</v>
      </c>
    </row>
    <row r="53" customFormat="false" ht="13.2" hidden="false" customHeight="false" outlineLevel="0" collapsed="false">
      <c r="A53" s="0" t="s">
        <v>202</v>
      </c>
      <c r="Z53" s="0" t="s">
        <v>596</v>
      </c>
      <c r="AA53" s="24" t="n">
        <f aca="false">SQRT(P16^2-AA16^2)</f>
        <v>3.05375915351146</v>
      </c>
      <c r="AB53" s="0" t="n">
        <f aca="false">SQRT(R16^2-AB16^2)</f>
        <v>3.23578885551082</v>
      </c>
      <c r="AC53" s="0" t="n">
        <f aca="false">SQRT(T16^2-AC16^2)</f>
        <v>3.48960237507026</v>
      </c>
      <c r="AD53" s="24" t="n">
        <f aca="false">AL16</f>
        <v>2.69080892206117</v>
      </c>
      <c r="AE53" s="0" t="n">
        <f aca="false">Sheet1!AT16</f>
        <v>0.550505754923274</v>
      </c>
      <c r="AG53" s="0" t="s">
        <v>595</v>
      </c>
      <c r="AH53" s="0" t="n">
        <v>6.782267</v>
      </c>
      <c r="AI53" s="0" t="n">
        <v>8.519383</v>
      </c>
      <c r="AJ53" s="0" t="n">
        <v>9.068512</v>
      </c>
      <c r="AK53" s="0" t="n">
        <v>8.35038154878428</v>
      </c>
      <c r="BC53" s="0" t="n">
        <v>1.86320706472949</v>
      </c>
      <c r="BD53" s="0" t="n">
        <v>1.22010808804006</v>
      </c>
      <c r="BE53" s="0" t="n">
        <v>39.4222149256932</v>
      </c>
      <c r="BF53" s="0" t="n">
        <v>39.0981383321098</v>
      </c>
      <c r="BG53" s="0" t="n">
        <v>-0.324076593583449</v>
      </c>
      <c r="BH53" s="20" t="n">
        <f aca="false">(BG53)^2</f>
        <v>0.105025638508657</v>
      </c>
      <c r="BL53" s="0" t="n">
        <v>2.2793014336249</v>
      </c>
      <c r="BM53" s="0" t="n">
        <v>1.50514997831991</v>
      </c>
      <c r="BN53" s="0" t="n">
        <v>40.2360034428776</v>
      </c>
      <c r="BO53" s="0" t="n">
        <v>40.6295612869068</v>
      </c>
      <c r="BP53" s="0" t="n">
        <v>0.393557844029232</v>
      </c>
      <c r="BQ53" s="20" t="n">
        <f aca="false">(BP53)^2</f>
        <v>0.154887776596932</v>
      </c>
      <c r="BU53" s="0" t="n">
        <v>1.50514997831991</v>
      </c>
      <c r="BV53" s="0" t="n">
        <v>2.38433730319002</v>
      </c>
      <c r="BW53" s="0" t="n">
        <v>40.284082178697</v>
      </c>
      <c r="BX53" s="0" t="n">
        <v>40.6295612869068</v>
      </c>
      <c r="BY53" s="0" t="n">
        <v>0.345479108209815</v>
      </c>
      <c r="BZ53" s="20" t="n">
        <f aca="false">(BY53)^2</f>
        <v>0.119355814209449</v>
      </c>
    </row>
    <row r="54" customFormat="false" ht="13.2" hidden="false" customHeight="false" outlineLevel="0" collapsed="false">
      <c r="A54" s="0" t="s">
        <v>203</v>
      </c>
      <c r="Z54" s="0" t="s">
        <v>597</v>
      </c>
      <c r="AA54" s="0" t="n">
        <f aca="false">SQRT(P35^2-AA35^2)</f>
        <v>5.15766458627924</v>
      </c>
      <c r="AB54" s="24" t="n">
        <f aca="false">SQRT(R35^2-AB35^2)</f>
        <v>6.38602423519109</v>
      </c>
      <c r="AC54" s="0" t="n">
        <f aca="false">SQRT(T35^2-AC35^2)</f>
        <v>6.81801244650573</v>
      </c>
      <c r="AD54" s="24" t="n">
        <f aca="false">AL35</f>
        <v>6.35753969500346</v>
      </c>
      <c r="AE54" s="0" t="e">
        <f aca="false">Sheet1!AT35</f>
        <v>#VALUE!</v>
      </c>
      <c r="AG54" s="0" t="s">
        <v>596</v>
      </c>
      <c r="AH54" s="0" t="n">
        <v>3.362852</v>
      </c>
      <c r="AI54" s="0" t="n">
        <v>3.470147</v>
      </c>
      <c r="AJ54" s="0" t="n">
        <v>3.662111</v>
      </c>
      <c r="AK54" s="0" t="n">
        <v>2.80074173348119</v>
      </c>
      <c r="BC54" s="0" t="n">
        <v>2.33960155611318</v>
      </c>
      <c r="BD54" s="0" t="n">
        <v>1.50514997831991</v>
      </c>
      <c r="BE54" s="0" t="n">
        <v>40.2423864155851</v>
      </c>
      <c r="BF54" s="0" t="n">
        <v>40.6295612869068</v>
      </c>
      <c r="BG54" s="0" t="n">
        <v>0.387174871321676</v>
      </c>
      <c r="BH54" s="20" t="n">
        <f aca="false">(BG54)^2</f>
        <v>0.149904380982956</v>
      </c>
      <c r="BL54" s="0" t="n">
        <v>2.62227589846239</v>
      </c>
      <c r="BM54" s="0" t="n">
        <v>1.45788189673399</v>
      </c>
      <c r="BN54" s="0" t="n">
        <v>40.2188344488974</v>
      </c>
      <c r="BO54" s="0" t="n">
        <v>40.2970404904863</v>
      </c>
      <c r="BP54" s="0" t="n">
        <v>0.0782060415889561</v>
      </c>
      <c r="BQ54" s="20" t="n">
        <f aca="false">(BP54)^2</f>
        <v>0.00611618494101352</v>
      </c>
      <c r="BU54" s="0" t="n">
        <v>1.45788189673399</v>
      </c>
      <c r="BV54" s="0" t="n">
        <v>2.4894123496673</v>
      </c>
      <c r="BW54" s="0" t="n">
        <v>40.2161829097975</v>
      </c>
      <c r="BX54" s="0" t="n">
        <v>40.2970404904863</v>
      </c>
      <c r="BY54" s="0" t="n">
        <v>0.0808575806887788</v>
      </c>
      <c r="BZ54" s="20" t="n">
        <f aca="false">(BY54)^2</f>
        <v>0.00653794835484237</v>
      </c>
    </row>
    <row r="55" customFormat="false" ht="13.2" hidden="false" customHeight="false" outlineLevel="0" collapsed="false">
      <c r="A55" s="0" t="s">
        <v>204</v>
      </c>
      <c r="Z55" s="0" t="s">
        <v>598</v>
      </c>
      <c r="AA55" s="0" t="n">
        <f aca="false">SQRT(P36^2-AA36^2)</f>
        <v>1.6511247935559</v>
      </c>
      <c r="AB55" s="24" t="n">
        <f aca="false">SQRT(R36^2-AB36^2)</f>
        <v>2.01385978356612</v>
      </c>
      <c r="AC55" s="0" t="n">
        <f aca="false">SQRT(T36^2-AC36^2)</f>
        <v>2.45102865528272</v>
      </c>
      <c r="AD55" s="24" t="n">
        <f aca="false">AL36</f>
        <v>2.0179970368207</v>
      </c>
      <c r="AE55" s="0" t="e">
        <f aca="false">Sheet1!AT36</f>
        <v>#VALUE!</v>
      </c>
      <c r="AG55" s="0" t="s">
        <v>597</v>
      </c>
      <c r="AH55" s="0" t="n">
        <v>5.297172</v>
      </c>
      <c r="AI55" s="0" t="n">
        <v>6.509997</v>
      </c>
      <c r="AJ55" s="0" t="n">
        <v>6.938074</v>
      </c>
      <c r="AK55" s="0" t="n">
        <v>6.35743852852071</v>
      </c>
      <c r="BC55" s="0" t="n">
        <v>2.404216648641</v>
      </c>
      <c r="BD55" s="0" t="n">
        <v>1.45788189673399</v>
      </c>
      <c r="BE55" s="0" t="n">
        <v>40.150243969435</v>
      </c>
      <c r="BF55" s="0" t="n">
        <v>40.2970404904863</v>
      </c>
      <c r="BG55" s="0" t="n">
        <v>0.146796521051336</v>
      </c>
      <c r="BH55" s="20" t="n">
        <f aca="false">(BG55)^2</f>
        <v>0.0215492185927752</v>
      </c>
      <c r="BL55" s="0" t="n">
        <v>1.70036647045356</v>
      </c>
      <c r="BM55" s="0" t="n">
        <v>1.39269695325967</v>
      </c>
      <c r="BN55" s="0" t="n">
        <v>39.7965629638547</v>
      </c>
      <c r="BO55" s="0" t="n">
        <v>39.5808250944804</v>
      </c>
      <c r="BP55" s="0" t="n">
        <v>-0.215737869374266</v>
      </c>
      <c r="BQ55" s="20" t="n">
        <f aca="false">(BP55)^2</f>
        <v>0.0465428282821478</v>
      </c>
      <c r="BU55" s="0" t="n">
        <v>1.39269695325967</v>
      </c>
      <c r="BV55" s="0" t="n">
        <v>1.83254938125989</v>
      </c>
      <c r="BW55" s="0" t="n">
        <v>39.797425389876</v>
      </c>
      <c r="BX55" s="0" t="n">
        <v>39.5808250944804</v>
      </c>
      <c r="BY55" s="0" t="n">
        <v>-0.216600295395622</v>
      </c>
      <c r="BZ55" s="20" t="n">
        <f aca="false">(BY55)^2</f>
        <v>0.0469156879654708</v>
      </c>
    </row>
    <row r="56" customFormat="false" ht="13.2" hidden="false" customHeight="false" outlineLevel="0" collapsed="false">
      <c r="A56" s="33" t="s">
        <v>205</v>
      </c>
      <c r="Z56" s="0" t="s">
        <v>599</v>
      </c>
      <c r="AA56" s="0" t="n">
        <f aca="false">SQRT(P37^2-AA37^2)</f>
        <v>5.02052919447263</v>
      </c>
      <c r="AB56" s="0" t="n">
        <f aca="false">SQRT(R37^2-AB37^2)</f>
        <v>6.95815898837961</v>
      </c>
      <c r="AC56" s="24" t="n">
        <f aca="false">SQRT(T37^2-AC37^2)</f>
        <v>6.6144302491579</v>
      </c>
      <c r="AD56" s="24" t="n">
        <f aca="false">AL37</f>
        <v>6.78947541587132</v>
      </c>
      <c r="AE56" s="0" t="e">
        <f aca="false">Sheet1!AT37</f>
        <v>#VALUE!</v>
      </c>
      <c r="AG56" s="0" t="s">
        <v>598</v>
      </c>
      <c r="AH56" s="0" t="n">
        <v>2.089404</v>
      </c>
      <c r="AI56" s="0" t="n">
        <v>2.350491</v>
      </c>
      <c r="AJ56" s="0" t="n">
        <v>2.697669</v>
      </c>
      <c r="AK56" s="0" t="n">
        <v>2.05412800444971</v>
      </c>
      <c r="BC56" s="0" t="n">
        <v>1.78651096849721</v>
      </c>
      <c r="BD56" s="0" t="n">
        <v>1.39269695325967</v>
      </c>
      <c r="BE56" s="0" t="n">
        <v>39.8072878321904</v>
      </c>
      <c r="BF56" s="0" t="n">
        <v>39.5808250944804</v>
      </c>
      <c r="BG56" s="0" t="n">
        <v>-0.226462737709959</v>
      </c>
      <c r="BH56" s="20" t="n">
        <f aca="false">(BG56)^2</f>
        <v>0.0512853715710895</v>
      </c>
      <c r="BL56" s="0" t="n">
        <v>1.8338587733055</v>
      </c>
      <c r="BM56" s="0" t="n">
        <v>1.50379068305718</v>
      </c>
      <c r="BN56" s="0" t="n">
        <v>40.1054043368548</v>
      </c>
      <c r="BO56" s="0" t="n">
        <v>40.3643638589132</v>
      </c>
      <c r="BP56" s="0" t="n">
        <v>0.258959522058454</v>
      </c>
      <c r="BQ56" s="20" t="n">
        <f aca="false">(BP56)^2</f>
        <v>0.067060034064743</v>
      </c>
      <c r="BU56" s="0" t="n">
        <v>1.50379068305718</v>
      </c>
      <c r="BV56" s="0" t="n">
        <v>1.73262791740489</v>
      </c>
      <c r="BW56" s="0" t="n">
        <v>40.0166321690368</v>
      </c>
      <c r="BX56" s="0" t="n">
        <v>40.3643638589132</v>
      </c>
      <c r="BY56" s="0" t="n">
        <v>0.34773168987639</v>
      </c>
      <c r="BZ56" s="20" t="n">
        <f aca="false">(BY56)^2</f>
        <v>0.12091732814429</v>
      </c>
    </row>
    <row r="57" customFormat="false" ht="13.2" hidden="false" customHeight="false" outlineLevel="0" collapsed="false">
      <c r="A57" s="33" t="s">
        <v>206</v>
      </c>
      <c r="Z57" s="0" t="s">
        <v>600</v>
      </c>
      <c r="AA57" s="0" t="e">
        <f aca="false">SQRT(P38^2-AA39^2)</f>
        <v>#VALUE!</v>
      </c>
      <c r="AB57" s="0" t="n">
        <f aca="false">SQRT(R38^2-AB39^2)</f>
        <v>0.366785439711011</v>
      </c>
      <c r="AC57" s="0" t="n">
        <f aca="false">SQRT(T38^2-AC39^2)</f>
        <v>0.949542832943833</v>
      </c>
      <c r="AD57" s="0" t="n">
        <f aca="false">AL38</f>
        <v>3.51186606599208</v>
      </c>
      <c r="AE57" s="0" t="n">
        <f aca="false">Sheet1!AT11</f>
        <v>0.310636904178022</v>
      </c>
      <c r="AG57" s="0" t="s">
        <v>599</v>
      </c>
      <c r="AH57" s="0" t="n">
        <v>5.184079</v>
      </c>
      <c r="AI57" s="0" t="n">
        <v>7.062248</v>
      </c>
      <c r="AJ57" s="0" t="n">
        <v>6.7188</v>
      </c>
      <c r="AK57" s="0" t="n">
        <v>6.79110765169115</v>
      </c>
      <c r="BC57" s="0" t="n">
        <v>1.76115692527252</v>
      </c>
      <c r="BD57" s="0" t="n">
        <v>1.50379068305718</v>
      </c>
      <c r="BE57" s="0" t="n">
        <v>40.0624903413274</v>
      </c>
      <c r="BF57" s="0" t="n">
        <v>40.3643638589132</v>
      </c>
      <c r="BG57" s="0" t="n">
        <v>0.301873517585804</v>
      </c>
      <c r="BH57" s="20" t="n">
        <f aca="false">(BG57)^2</f>
        <v>0.0911276206196268</v>
      </c>
      <c r="BL57" s="0" t="n">
        <v>2.43777139957549</v>
      </c>
      <c r="BM57" s="0" t="n">
        <v>1.76937732607614</v>
      </c>
      <c r="BN57" s="0" t="n">
        <v>40.9251137753397</v>
      </c>
      <c r="BO57" s="0" t="n">
        <v>41.0032839602938</v>
      </c>
      <c r="BP57" s="0" t="n">
        <v>0.0781701849540681</v>
      </c>
      <c r="BQ57" s="20" t="n">
        <f aca="false">(BP57)^2</f>
        <v>0.00611057781575322</v>
      </c>
      <c r="BU57" s="0" t="n">
        <v>1.76937732607614</v>
      </c>
      <c r="BV57" s="0" t="n">
        <v>2.48755306202043</v>
      </c>
      <c r="BW57" s="0" t="n">
        <v>40.9436727463716</v>
      </c>
      <c r="BX57" s="0" t="n">
        <v>41.0032839602938</v>
      </c>
      <c r="BY57" s="0" t="n">
        <v>0.0596112139221745</v>
      </c>
      <c r="BZ57" s="20" t="n">
        <f aca="false">(BY57)^2</f>
        <v>0.00355349682527525</v>
      </c>
      <c r="CD57" s="41" t="s">
        <v>601</v>
      </c>
      <c r="CE57" s="41" t="n">
        <v>36.04</v>
      </c>
      <c r="CF57" s="41" t="s">
        <v>352</v>
      </c>
      <c r="CG57" s="41" t="n">
        <v>0.52</v>
      </c>
      <c r="CH57" s="41" t="s">
        <v>353</v>
      </c>
      <c r="CI57" s="41" t="n">
        <v>2.79</v>
      </c>
      <c r="CJ57" s="41"/>
      <c r="CK57" s="41" t="s">
        <v>352</v>
      </c>
      <c r="CL57" s="41" t="n">
        <v>0.38</v>
      </c>
      <c r="CM57" s="41" t="s">
        <v>354</v>
      </c>
      <c r="CN57" s="41" t="n">
        <v>0.308</v>
      </c>
      <c r="CO57" s="41" t="s">
        <v>350</v>
      </c>
      <c r="CP57" s="41"/>
      <c r="CQ57" s="41"/>
    </row>
    <row r="58" customFormat="false" ht="13.2" hidden="false" customHeight="false" outlineLevel="0" collapsed="false">
      <c r="A58" s="0" t="s">
        <v>207</v>
      </c>
      <c r="Z58" s="0" t="s">
        <v>602</v>
      </c>
      <c r="AA58" s="0" t="e">
        <f aca="false">SQRT(P39^2-AA41^2)</f>
        <v>#VALUE!</v>
      </c>
      <c r="AB58" s="0" t="e">
        <f aca="false">SQRT(R39^2-AB41^2)</f>
        <v>#VALUE!</v>
      </c>
      <c r="AC58" s="0" t="n">
        <f aca="false">SQRT(T39^2-AC41^2)</f>
        <v>1.07920772092865</v>
      </c>
      <c r="AD58" s="24" t="n">
        <f aca="false">AL39</f>
        <v>1.85575437159043</v>
      </c>
      <c r="AE58" s="0" t="e">
        <f aca="false">Sheet1!AT12</f>
        <v>#VALUE!</v>
      </c>
      <c r="AG58" s="0" t="s">
        <v>600</v>
      </c>
      <c r="AH58" s="0" t="n">
        <v>1.337088</v>
      </c>
      <c r="AI58" s="0" t="n">
        <v>1.2705</v>
      </c>
      <c r="AJ58" s="0" t="n">
        <v>1.382578</v>
      </c>
      <c r="AK58" s="0" t="n">
        <v>3.51970381581098</v>
      </c>
      <c r="BC58" s="0" t="n">
        <v>2.71380146353513</v>
      </c>
      <c r="BD58" s="0" t="n">
        <v>1.76937732607614</v>
      </c>
      <c r="BE58" s="0" t="n">
        <v>40.9820781079465</v>
      </c>
      <c r="BF58" s="0" t="n">
        <v>41.0032839602938</v>
      </c>
      <c r="BG58" s="0" t="n">
        <v>0.021205852347336</v>
      </c>
      <c r="BH58" s="20" t="n">
        <f aca="false">(BG58)^2</f>
        <v>0.000449688173776713</v>
      </c>
      <c r="BL58" s="0" t="n">
        <v>1.94898193716181</v>
      </c>
      <c r="BM58" s="0" t="n">
        <v>1.23044892137827</v>
      </c>
      <c r="BN58" s="0" t="n">
        <v>39.4722657724861</v>
      </c>
      <c r="BO58" s="0" t="n">
        <v>39.4879266153321</v>
      </c>
      <c r="BP58" s="0" t="n">
        <v>0.0156608428460245</v>
      </c>
      <c r="BQ58" s="20" t="n">
        <f aca="false">(BP58)^2</f>
        <v>0.000245261998647878</v>
      </c>
      <c r="BU58" s="0" t="n">
        <v>1.23044892137827</v>
      </c>
      <c r="BV58" s="0" t="n">
        <v>1.78235391800477</v>
      </c>
      <c r="BW58" s="0" t="n">
        <v>39.397751866847</v>
      </c>
      <c r="BX58" s="0" t="n">
        <v>39.4879266153321</v>
      </c>
      <c r="BY58" s="0" t="n">
        <v>0.0901747484851327</v>
      </c>
      <c r="BZ58" s="20" t="n">
        <f aca="false">(BY58)^2</f>
        <v>0.00813148526435695</v>
      </c>
      <c r="CD58" s="41" t="s">
        <v>355</v>
      </c>
      <c r="CE58" s="41" t="n">
        <f aca="false">BD29</f>
        <v>35.9652602365844</v>
      </c>
      <c r="CF58" s="41" t="s">
        <v>352</v>
      </c>
      <c r="CG58" s="41" t="n">
        <f aca="false">BE29</f>
        <v>0.51077784314737</v>
      </c>
      <c r="CH58" s="41" t="s">
        <v>353</v>
      </c>
      <c r="CI58" s="41" t="n">
        <f aca="false">BD31</f>
        <v>2.36688955500347</v>
      </c>
      <c r="CJ58" s="41"/>
      <c r="CK58" s="41" t="s">
        <v>352</v>
      </c>
      <c r="CL58" s="41" t="n">
        <f aca="false">BE31</f>
        <v>0.443840574209521</v>
      </c>
      <c r="CM58" s="41" t="s">
        <v>356</v>
      </c>
      <c r="CN58" s="41" t="n">
        <f aca="false">BD30</f>
        <v>0.305437656567813</v>
      </c>
      <c r="CO58" s="41" t="s">
        <v>352</v>
      </c>
      <c r="CP58" s="41" t="n">
        <f aca="false">BE30</f>
        <v>0.178549102958401</v>
      </c>
      <c r="CQ58" s="41" t="s">
        <v>603</v>
      </c>
      <c r="CR58" s="0" t="n">
        <f aca="false">BH73</f>
        <v>0.296438469729063</v>
      </c>
      <c r="CT58" s="0" t="s">
        <v>350</v>
      </c>
    </row>
    <row r="59" customFormat="false" ht="13.2" hidden="false" customHeight="false" outlineLevel="0" collapsed="false">
      <c r="A59" s="0" t="s">
        <v>208</v>
      </c>
      <c r="Z59" s="0" t="s">
        <v>604</v>
      </c>
      <c r="AA59" s="0" t="n">
        <f aca="false">SQRT(P40^2-AA38^2)</f>
        <v>2.86912185434847</v>
      </c>
      <c r="AB59" s="24" t="n">
        <f aca="false">SQRT(R40^2-AB38^2)</f>
        <v>2.76964139860452</v>
      </c>
      <c r="AC59" s="0" t="n">
        <f aca="false">SQRT(T40^2-AC38^2)</f>
        <v>3.11426963870488</v>
      </c>
      <c r="AD59" s="24" t="n">
        <f aca="false">AL40</f>
        <v>3.17853600016046</v>
      </c>
      <c r="AE59" s="0" t="e">
        <f aca="false">Sheet1!AT13</f>
        <v>#VALUE!</v>
      </c>
      <c r="AG59" s="0" t="s">
        <v>602</v>
      </c>
      <c r="AH59" s="0" t="n">
        <v>1.481313</v>
      </c>
      <c r="AI59" s="0" t="n">
        <v>1.437381</v>
      </c>
      <c r="AJ59" s="0" t="n">
        <v>1.778476</v>
      </c>
      <c r="AK59" s="0" t="n">
        <v>1.27097938466703</v>
      </c>
      <c r="BC59" s="0" t="n">
        <v>2.05671712872547</v>
      </c>
      <c r="BD59" s="0" t="n">
        <v>1.23044892137827</v>
      </c>
      <c r="BE59" s="0" t="n">
        <v>39.5057957965807</v>
      </c>
      <c r="BF59" s="0" t="n">
        <v>39.4879266153321</v>
      </c>
      <c r="BG59" s="0" t="n">
        <v>-0.0178691812486136</v>
      </c>
      <c r="BH59" s="20" t="n">
        <f aca="false">(BG59)^2</f>
        <v>0.000319307638495803</v>
      </c>
      <c r="BL59" s="0" t="n">
        <v>1.99239003886989</v>
      </c>
      <c r="BM59" s="0" t="n">
        <v>1.24303804868629</v>
      </c>
      <c r="BN59" s="0" t="n">
        <v>39.515344979106</v>
      </c>
      <c r="BO59" s="0" t="n">
        <v>39.8907352023789</v>
      </c>
      <c r="BP59" s="0" t="n">
        <v>0.375390223272916</v>
      </c>
      <c r="BQ59" s="20" t="n">
        <f aca="false">(BP59)^2</f>
        <v>0.14091781972889</v>
      </c>
      <c r="BU59" s="0" t="n">
        <v>1.24303804868629</v>
      </c>
      <c r="BV59" s="0" t="n">
        <v>2.24408842173377</v>
      </c>
      <c r="BW59" s="0" t="n">
        <v>39.6144200812723</v>
      </c>
      <c r="BX59" s="0" t="n">
        <v>39.8907352023789</v>
      </c>
      <c r="BY59" s="0" t="n">
        <v>0.276315121106613</v>
      </c>
      <c r="BZ59" s="20" t="n">
        <f aca="false">(BY59)^2</f>
        <v>0.0763500461521622</v>
      </c>
      <c r="CD59" s="41" t="s">
        <v>355</v>
      </c>
      <c r="CE59" s="41" t="n">
        <f aca="false">BM28</f>
        <v>35.9171754950028</v>
      </c>
      <c r="CF59" s="41" t="s">
        <v>352</v>
      </c>
      <c r="CG59" s="41" t="n">
        <f aca="false">BN28</f>
        <v>0.516858591932865</v>
      </c>
      <c r="CH59" s="41" t="s">
        <v>353</v>
      </c>
      <c r="CI59" s="41" t="n">
        <f aca="false">BM30</f>
        <v>2.43663996793504</v>
      </c>
      <c r="CJ59" s="41"/>
      <c r="CK59" s="41" t="s">
        <v>352</v>
      </c>
      <c r="CL59" s="41" t="n">
        <f aca="false">BN30</f>
        <v>0.430378847207873</v>
      </c>
      <c r="CM59" s="41" t="s">
        <v>356</v>
      </c>
      <c r="CN59" s="41" t="n">
        <f aca="false">BM29</f>
        <v>0.285753934672898</v>
      </c>
      <c r="CO59" s="41" t="s">
        <v>352</v>
      </c>
      <c r="CP59" s="41" t="n">
        <f aca="false">BN29</f>
        <v>0.177435864330804</v>
      </c>
      <c r="CQ59" s="41" t="s">
        <v>603</v>
      </c>
      <c r="CR59" s="0" t="n">
        <f aca="false">BQ72</f>
        <v>0.29771378075044</v>
      </c>
      <c r="CT59" s="0" t="s">
        <v>350</v>
      </c>
    </row>
    <row r="60" customFormat="false" ht="13.2" hidden="false" customHeight="false" outlineLevel="0" collapsed="false">
      <c r="A60" s="0" t="s">
        <v>209</v>
      </c>
      <c r="Z60" s="0" t="s">
        <v>605</v>
      </c>
      <c r="AA60" s="0" t="n">
        <f aca="false">SQRT(P41^2-AA40^2)</f>
        <v>9.60604604630563</v>
      </c>
      <c r="AB60" s="24" t="n">
        <f aca="false">SQRT(R41^2-AB40^2)</f>
        <v>10.2249951255898</v>
      </c>
      <c r="AC60" s="0" t="n">
        <f aca="false">SQRT(T41^2-AC40^2)</f>
        <v>10.8159721537837</v>
      </c>
      <c r="AD60" s="24" t="n">
        <f aca="false">AL41</f>
        <v>0.0502989396282421</v>
      </c>
      <c r="AE60" s="0" t="e">
        <f aca="false">Sheet1!AT14</f>
        <v>#VALUE!</v>
      </c>
      <c r="AG60" s="0" t="s">
        <v>604</v>
      </c>
      <c r="AH60" s="0" t="n">
        <v>3.3344</v>
      </c>
      <c r="AI60" s="0" t="n">
        <v>3.1533</v>
      </c>
      <c r="AJ60" s="0" t="n">
        <v>3.3643</v>
      </c>
      <c r="AK60" s="0" t="n">
        <v>2.65245508998242</v>
      </c>
      <c r="BC60" s="0" t="n">
        <v>1.91687774000278</v>
      </c>
      <c r="BD60" s="0" t="n">
        <v>1.24303804868629</v>
      </c>
      <c r="BE60" s="0" t="n">
        <v>39.4928806553253</v>
      </c>
      <c r="BF60" s="0" t="n">
        <v>39.8907352023789</v>
      </c>
      <c r="BG60" s="0" t="n">
        <v>0.397854547053562</v>
      </c>
      <c r="BH60" s="20" t="n">
        <f aca="false">(BG60)^2</f>
        <v>0.158288240611189</v>
      </c>
      <c r="BL60" s="0" t="n">
        <v>2.01972293925881</v>
      </c>
      <c r="BM60" s="0" t="n">
        <v>1.3096301674259</v>
      </c>
      <c r="BN60" s="0" t="n">
        <v>39.6854164810085</v>
      </c>
      <c r="BO60" s="0" t="n">
        <v>39.8855611883631</v>
      </c>
      <c r="BP60" s="0" t="n">
        <v>0.200144707354553</v>
      </c>
      <c r="BQ60" s="20" t="n">
        <f aca="false">(BP60)^2</f>
        <v>0.0400579038820399</v>
      </c>
      <c r="BU60" s="0" t="n">
        <v>1.3096301674259</v>
      </c>
      <c r="BV60" s="0" t="n">
        <v>2.15902367827408</v>
      </c>
      <c r="BW60" s="0" t="n">
        <v>39.7356112308838</v>
      </c>
      <c r="BX60" s="0" t="n">
        <v>39.8855611883631</v>
      </c>
      <c r="BY60" s="0" t="n">
        <v>0.149949957479343</v>
      </c>
      <c r="BZ60" s="20" t="n">
        <f aca="false">(BY60)^2</f>
        <v>0.0224849897480568</v>
      </c>
      <c r="CD60" s="41" t="s">
        <v>355</v>
      </c>
      <c r="CE60" s="41" t="n">
        <f aca="false">BV28</f>
        <v>35.7983354129007</v>
      </c>
      <c r="CF60" s="41" t="s">
        <v>352</v>
      </c>
      <c r="CG60" s="41" t="n">
        <f aca="false">BW28</f>
        <v>0.500550747917672</v>
      </c>
      <c r="CH60" s="41" t="s">
        <v>353</v>
      </c>
      <c r="CI60" s="41" t="n">
        <f aca="false">BV29</f>
        <v>2.33789558504931</v>
      </c>
      <c r="CJ60" s="41"/>
      <c r="CK60" s="41" t="s">
        <v>352</v>
      </c>
      <c r="CL60" s="41" t="n">
        <f aca="false">BW29</f>
        <v>0.401658051692042</v>
      </c>
      <c r="CM60" s="41" t="s">
        <v>356</v>
      </c>
      <c r="CN60" s="41" t="n">
        <f aca="false">BV30</f>
        <v>0.405506081438876</v>
      </c>
      <c r="CO60" s="41" t="s">
        <v>352</v>
      </c>
      <c r="CP60" s="41" t="n">
        <f aca="false">BW30</f>
        <v>0.166872830565703</v>
      </c>
      <c r="CQ60" s="41" t="s">
        <v>603</v>
      </c>
      <c r="CR60" s="0" t="n">
        <f aca="false">BZ72</f>
        <v>0.285708632879096</v>
      </c>
      <c r="CT60" s="0" t="s">
        <v>350</v>
      </c>
    </row>
    <row r="61" customFormat="false" ht="13.2" hidden="false" customHeight="false" outlineLevel="0" collapsed="false">
      <c r="A61" s="0" t="s">
        <v>210</v>
      </c>
      <c r="AG61" s="0" t="s">
        <v>605</v>
      </c>
      <c r="AH61" s="0" t="n">
        <v>1.0293</v>
      </c>
      <c r="AI61" s="0" t="n">
        <v>0.9396032</v>
      </c>
      <c r="AJ61" s="0" t="n">
        <v>0.916423</v>
      </c>
      <c r="AK61" s="0" t="n">
        <v>0.087150795295597</v>
      </c>
      <c r="BC61" s="0" t="n">
        <v>2.13943507143884</v>
      </c>
      <c r="BD61" s="0" t="n">
        <v>1.3096301674259</v>
      </c>
      <c r="BE61" s="0" t="n">
        <v>39.7184742353815</v>
      </c>
      <c r="BF61" s="0" t="n">
        <v>39.8855611883631</v>
      </c>
      <c r="BG61" s="0" t="n">
        <v>0.167086952981613</v>
      </c>
      <c r="BH61" s="20" t="n">
        <f aca="false">(BG61)^2</f>
        <v>0.0279180498566774</v>
      </c>
      <c r="BL61" s="0" t="n">
        <v>2.04880136712754</v>
      </c>
      <c r="BM61" s="0" t="n">
        <v>1.54900326202579</v>
      </c>
      <c r="BN61" s="0" t="n">
        <v>40.2769918057365</v>
      </c>
      <c r="BO61" s="0" t="n">
        <v>40.8602418490241</v>
      </c>
      <c r="BP61" s="0" t="n">
        <v>0.58325004328757</v>
      </c>
      <c r="BQ61" s="20" t="n">
        <f aca="false">(BP61)^2</f>
        <v>0.340180612994953</v>
      </c>
      <c r="BU61" s="0" t="n">
        <v>1.54900326202579</v>
      </c>
      <c r="BV61" s="0" t="n">
        <v>1.88156526350358</v>
      </c>
      <c r="BW61" s="0" t="n">
        <v>40.1827294573926</v>
      </c>
      <c r="BX61" s="0" t="n">
        <v>40.8602418490241</v>
      </c>
      <c r="BY61" s="0" t="n">
        <v>0.677512391631502</v>
      </c>
      <c r="BZ61" s="20" t="n">
        <f aca="false">(BY61)^2</f>
        <v>0.459023040814238</v>
      </c>
    </row>
    <row r="62" customFormat="false" ht="13.2" hidden="false" customHeight="false" outlineLevel="0" collapsed="false">
      <c r="A62" s="0" t="s">
        <v>606</v>
      </c>
      <c r="BC62" s="0" t="n">
        <v>2.17335048681625</v>
      </c>
      <c r="BD62" s="0" t="n">
        <v>1.54900326202579</v>
      </c>
      <c r="BE62" s="0" t="n">
        <v>40.2954029577332</v>
      </c>
      <c r="BF62" s="0" t="n">
        <v>40.8602418490241</v>
      </c>
      <c r="BG62" s="0" t="n">
        <v>0.564838891290876</v>
      </c>
      <c r="BH62" s="20" t="n">
        <f aca="false">(BG62)^2</f>
        <v>0.319042973114698</v>
      </c>
      <c r="BL62" s="0" t="n">
        <v>2.17866450652492</v>
      </c>
      <c r="BM62" s="0" t="n">
        <v>1.38021124171161</v>
      </c>
      <c r="BN62" s="0" t="n">
        <v>39.9028153258223</v>
      </c>
      <c r="BO62" s="0" t="n">
        <v>39.5307026003539</v>
      </c>
      <c r="BP62" s="0" t="n">
        <v>-0.372112725468369</v>
      </c>
      <c r="BQ62" s="20" t="n">
        <f aca="false">(BP62)^2</f>
        <v>0.138467880455498</v>
      </c>
      <c r="BU62" s="0" t="n">
        <v>1.38021124171161</v>
      </c>
      <c r="BV62" s="0" t="n">
        <v>2.11309831031312</v>
      </c>
      <c r="BW62" s="0" t="n">
        <v>39.8819993968439</v>
      </c>
      <c r="BX62" s="0" t="n">
        <v>39.5307026003539</v>
      </c>
      <c r="BY62" s="0" t="n">
        <v>-0.351296796489969</v>
      </c>
      <c r="BZ62" s="20" t="n">
        <f aca="false">(BY62)^2</f>
        <v>0.123409439224114</v>
      </c>
    </row>
    <row r="63" customFormat="false" ht="13.2" hidden="false" customHeight="false" outlineLevel="0" collapsed="false">
      <c r="A63" s="0" t="s">
        <v>211</v>
      </c>
      <c r="K63" s="0" t="n">
        <v>0.0613</v>
      </c>
      <c r="Z63" s="0" t="s">
        <v>607</v>
      </c>
      <c r="AA63" s="0" t="n">
        <f aca="false">P12</f>
        <v>0.7610484</v>
      </c>
      <c r="AB63" s="0" t="n">
        <f aca="false">R12</f>
        <v>0.8326843</v>
      </c>
      <c r="AC63" s="0" t="n">
        <f aca="false">T12</f>
        <v>0.2657138</v>
      </c>
      <c r="AD63" s="0" t="n">
        <f aca="false">Z12</f>
        <v>0.60166004775985</v>
      </c>
      <c r="AG63" s="0" t="s">
        <v>607</v>
      </c>
      <c r="AH63" s="0" t="n">
        <v>0.7610484</v>
      </c>
      <c r="AI63" s="0" t="n">
        <v>0.8326843</v>
      </c>
      <c r="AJ63" s="0" t="n">
        <v>0.2657138</v>
      </c>
      <c r="AK63" s="0" t="n">
        <v>0.667624135322219</v>
      </c>
      <c r="BC63" s="0" t="n">
        <v>1.87527310723252</v>
      </c>
      <c r="BD63" s="0" t="n">
        <v>1.38021124171161</v>
      </c>
      <c r="BE63" s="0" t="n">
        <v>39.8048468315877</v>
      </c>
      <c r="BF63" s="0" t="n">
        <v>39.5307026003539</v>
      </c>
      <c r="BG63" s="0" t="n">
        <v>-0.274144231233834</v>
      </c>
      <c r="BH63" s="20" t="n">
        <f aca="false">(BG63)^2</f>
        <v>0.0751550595187935</v>
      </c>
      <c r="BL63" s="0" t="n">
        <v>2.28707670841454</v>
      </c>
      <c r="BM63" s="0" t="n">
        <v>1.41161970596323</v>
      </c>
      <c r="BN63" s="0" t="n">
        <v>40.0103256584057</v>
      </c>
      <c r="BO63" s="0" t="n">
        <v>39.4259659076773</v>
      </c>
      <c r="BP63" s="0" t="n">
        <v>-0.584359750728432</v>
      </c>
      <c r="BQ63" s="20" t="n">
        <f aca="false">(BP63)^2</f>
        <v>0.341476318271395</v>
      </c>
      <c r="BU63" s="0" t="n">
        <v>1.41161970596323</v>
      </c>
      <c r="BV63" s="0" t="n">
        <v>2.28153495303887</v>
      </c>
      <c r="BW63" s="0" t="n">
        <v>40.0237311897133</v>
      </c>
      <c r="BX63" s="0" t="n">
        <v>39.4259659076773</v>
      </c>
      <c r="BY63" s="0" t="n">
        <v>-0.597765282036043</v>
      </c>
      <c r="BZ63" s="20" t="n">
        <f aca="false">(BY63)^2</f>
        <v>0.35732333240763</v>
      </c>
    </row>
    <row r="64" customFormat="false" ht="13.2" hidden="false" customHeight="false" outlineLevel="0" collapsed="false">
      <c r="A64" s="0" t="s">
        <v>608</v>
      </c>
      <c r="BC64" s="0" t="n">
        <v>2.33859551949977</v>
      </c>
      <c r="BD64" s="0" t="n">
        <v>1.41161970596323</v>
      </c>
      <c r="BE64" s="0" t="n">
        <v>40.0207033094018</v>
      </c>
      <c r="BF64" s="0" t="n">
        <v>39.4259659076773</v>
      </c>
      <c r="BG64" s="0" t="n">
        <v>-0.594737401724544</v>
      </c>
      <c r="BH64" s="20" t="n">
        <f aca="false">(BG64)^2</f>
        <v>0.35371257701007</v>
      </c>
      <c r="BL64" s="0" t="n">
        <v>2.31212111392115</v>
      </c>
      <c r="BM64" s="0" t="n">
        <v>1.45484486000851</v>
      </c>
      <c r="BN64" s="0" t="n">
        <v>40.1228063337877</v>
      </c>
      <c r="BO64" s="0" t="n">
        <v>39.9477947317714</v>
      </c>
      <c r="BP64" s="0" t="n">
        <v>-0.175011602016269</v>
      </c>
      <c r="BQ64" s="20" t="n">
        <f aca="false">(BP64)^2</f>
        <v>0.030629060840301</v>
      </c>
      <c r="BU64" s="0" t="n">
        <v>1.45484486000851</v>
      </c>
      <c r="BV64" s="0" t="n">
        <v>2.59979366301859</v>
      </c>
      <c r="BW64" s="0" t="n">
        <v>40.2538429288865</v>
      </c>
      <c r="BX64" s="0" t="n">
        <v>39.9477947317714</v>
      </c>
      <c r="BY64" s="0" t="n">
        <v>-0.306048197115146</v>
      </c>
      <c r="BZ64" s="20" t="n">
        <f aca="false">(BY64)^2</f>
        <v>0.0936654989574313</v>
      </c>
    </row>
    <row r="65" customFormat="false" ht="13.2" hidden="false" customHeight="false" outlineLevel="0" collapsed="false">
      <c r="A65" s="0" t="s">
        <v>609</v>
      </c>
      <c r="BC65" s="0" t="n">
        <v>2.54832013359396</v>
      </c>
      <c r="BD65" s="0" t="n">
        <v>1.45484486000851</v>
      </c>
      <c r="BE65" s="0" t="n">
        <v>40.1870702696785</v>
      </c>
      <c r="BF65" s="0" t="n">
        <v>39.9477947317714</v>
      </c>
      <c r="BG65" s="0" t="n">
        <v>-0.239275537907147</v>
      </c>
      <c r="BH65" s="20" t="n">
        <f aca="false">(BG65)^2</f>
        <v>0.0572527830407581</v>
      </c>
      <c r="BL65" s="0" t="n">
        <v>1.68805094827623</v>
      </c>
      <c r="BM65" s="0" t="n">
        <v>1.24797326636181</v>
      </c>
      <c r="BN65" s="0" t="n">
        <v>39.4404042351327</v>
      </c>
      <c r="BO65" s="0" t="n">
        <v>39.3876198532141</v>
      </c>
      <c r="BP65" s="0" t="n">
        <v>-0.052784381918606</v>
      </c>
      <c r="BQ65" s="20" t="n">
        <f aca="false">(BP65)^2</f>
        <v>0.00278619097452926</v>
      </c>
      <c r="BU65" s="0" t="n">
        <v>1.24797326636181</v>
      </c>
      <c r="BV65" s="0" t="n">
        <v>1.85548441372858</v>
      </c>
      <c r="BW65" s="0" t="n">
        <v>39.4683768163695</v>
      </c>
      <c r="BX65" s="0" t="n">
        <v>39.3876198532141</v>
      </c>
      <c r="BY65" s="0" t="n">
        <v>-0.0807569631554159</v>
      </c>
      <c r="BZ65" s="20" t="n">
        <f aca="false">(BY65)^2</f>
        <v>0.0065216870980852</v>
      </c>
    </row>
    <row r="66" customFormat="false" ht="13.2" hidden="false" customHeight="false" outlineLevel="0" collapsed="false">
      <c r="A66" s="0" t="s">
        <v>610</v>
      </c>
      <c r="BC66" s="0" t="n">
        <v>1.77171443148352</v>
      </c>
      <c r="BD66" s="0" t="n">
        <v>1.24797326636181</v>
      </c>
      <c r="BE66" s="0" t="n">
        <v>39.4602234297194</v>
      </c>
      <c r="BF66" s="0" t="n">
        <v>39.3876198532141</v>
      </c>
      <c r="BG66" s="0" t="n">
        <v>-0.0726035765053439</v>
      </c>
      <c r="BH66" s="20" t="n">
        <f aca="false">(BG66)^2</f>
        <v>0.00527127932136835</v>
      </c>
      <c r="BL66" s="0" t="n">
        <v>2.13286794670758</v>
      </c>
      <c r="BM66" s="0" t="n">
        <v>1.3541084391474</v>
      </c>
      <c r="BN66" s="0" t="n">
        <v>39.8261256466569</v>
      </c>
      <c r="BO66" s="0" t="n">
        <v>39.7992940202333</v>
      </c>
      <c r="BP66" s="0" t="n">
        <v>-0.0268316264236148</v>
      </c>
      <c r="BQ66" s="20" t="n">
        <f aca="false">(BP66)^2</f>
        <v>0.000719936176536424</v>
      </c>
      <c r="BU66" s="0" t="n">
        <v>1.3541084391474</v>
      </c>
      <c r="BV66" s="0" t="n">
        <v>2.32543529679054</v>
      </c>
      <c r="BW66" s="0" t="n">
        <v>39.9070777093026</v>
      </c>
      <c r="BX66" s="0" t="n">
        <v>39.7992940202333</v>
      </c>
      <c r="BY66" s="0" t="n">
        <v>-0.107783689069286</v>
      </c>
      <c r="BZ66" s="20" t="n">
        <f aca="false">(BY66)^2</f>
        <v>0.0116173236293846</v>
      </c>
    </row>
    <row r="67" customFormat="false" ht="13.2" hidden="false" customHeight="false" outlineLevel="0" collapsed="false">
      <c r="A67" s="0" t="s">
        <v>611</v>
      </c>
      <c r="Z67" s="0" t="s">
        <v>612</v>
      </c>
      <c r="BC67" s="0" t="n">
        <v>2.18934555230654</v>
      </c>
      <c r="BD67" s="0" t="n">
        <v>1.3541084391474</v>
      </c>
      <c r="BE67" s="0" t="n">
        <v>39.8389939324581</v>
      </c>
      <c r="BF67" s="0" t="n">
        <v>39.7992940202333</v>
      </c>
      <c r="BG67" s="0" t="n">
        <v>-0.0396999122248189</v>
      </c>
      <c r="BH67" s="20" t="n">
        <f aca="false">(BG67)^2</f>
        <v>0.00157608303065833</v>
      </c>
      <c r="BL67" s="0" t="n">
        <v>1.830126307529</v>
      </c>
      <c r="BM67" s="0" t="n">
        <v>1.20682587603185</v>
      </c>
      <c r="BN67" s="0" t="n">
        <v>39.380741452205</v>
      </c>
      <c r="BO67" s="0" t="n">
        <v>39.5414546476421</v>
      </c>
      <c r="BP67" s="0" t="n">
        <v>0.160713195437054</v>
      </c>
      <c r="BQ67" s="20" t="n">
        <f aca="false">(BP67)^2</f>
        <v>0.0258287311875889</v>
      </c>
      <c r="BU67" s="0" t="n">
        <v>1.20682587603185</v>
      </c>
      <c r="BV67" s="0" t="n">
        <v>2.06369204698119</v>
      </c>
      <c r="BW67" s="0" t="n">
        <v>39.4566079756667</v>
      </c>
      <c r="BX67" s="0" t="n">
        <v>39.5414546476421</v>
      </c>
      <c r="BY67" s="0" t="n">
        <v>0.0848466719753702</v>
      </c>
      <c r="BZ67" s="20" t="n">
        <f aca="false">(BY67)^2</f>
        <v>0.00719895774529607</v>
      </c>
    </row>
    <row r="68" customFormat="false" ht="13.2" hidden="false" customHeight="false" outlineLevel="0" collapsed="false">
      <c r="A68" s="0" t="s">
        <v>613</v>
      </c>
      <c r="BC68" s="0" t="n">
        <v>1.95927824850459</v>
      </c>
      <c r="BD68" s="0" t="n">
        <v>1.20682587603185</v>
      </c>
      <c r="BE68" s="0" t="n">
        <v>39.4201211540596</v>
      </c>
      <c r="BF68" s="0" t="n">
        <v>39.5414546476421</v>
      </c>
      <c r="BG68" s="0" t="n">
        <v>0.121333493582462</v>
      </c>
      <c r="BH68" s="20" t="n">
        <f aca="false">(BG68)^2</f>
        <v>0.0147218166649236</v>
      </c>
      <c r="BL68" s="0" t="n">
        <v>1.86718847270394</v>
      </c>
      <c r="BM68" s="0" t="n">
        <v>1.09691001300806</v>
      </c>
      <c r="BN68" s="0" t="n">
        <v>39.1235067267774</v>
      </c>
      <c r="BO68" s="0" t="n">
        <v>39.2951320767752</v>
      </c>
      <c r="BP68" s="0" t="n">
        <v>0.171625349997761</v>
      </c>
      <c r="BQ68" s="20" t="n">
        <f aca="false">(BP68)^2</f>
        <v>0.029455260761854</v>
      </c>
      <c r="BU68" s="0" t="n">
        <v>1.09691001300806</v>
      </c>
      <c r="BV68" s="0" t="n">
        <v>1.5826428553492</v>
      </c>
      <c r="BW68" s="0" t="n">
        <v>39.0045677920985</v>
      </c>
      <c r="BX68" s="0" t="n">
        <v>39.2951320767752</v>
      </c>
      <c r="BY68" s="0" t="n">
        <v>0.290564284676698</v>
      </c>
      <c r="BZ68" s="20" t="n">
        <f aca="false">(BY68)^2</f>
        <v>0.0844276035296812</v>
      </c>
    </row>
    <row r="69" customFormat="false" ht="13.2" hidden="false" customHeight="false" outlineLevel="0" collapsed="false">
      <c r="A69" s="0" t="s">
        <v>614</v>
      </c>
      <c r="BC69" s="0" t="n">
        <v>1.63201117717762</v>
      </c>
      <c r="BD69" s="0" t="n">
        <v>1.09691001300806</v>
      </c>
      <c r="BE69" s="0" t="n">
        <v>39.0600027586015</v>
      </c>
      <c r="BF69" s="0" t="n">
        <v>39.2951320767752</v>
      </c>
      <c r="BG69" s="0" t="n">
        <v>0.235129318173684</v>
      </c>
      <c r="BH69" s="20" t="n">
        <f aca="false">(BG69)^2</f>
        <v>0.055285796264818</v>
      </c>
      <c r="BL69" s="0" t="n">
        <v>1.94876711781128</v>
      </c>
      <c r="BM69" s="0" t="n">
        <v>1.28330122870355</v>
      </c>
      <c r="BN69" s="0" t="n">
        <v>39.6009864314378</v>
      </c>
      <c r="BO69" s="0" t="n">
        <v>39.0423920343584</v>
      </c>
      <c r="BP69" s="0" t="n">
        <v>-0.558594397079375</v>
      </c>
      <c r="BQ69" s="20" t="n">
        <f aca="false">(BP69)^2</f>
        <v>0.31202770044847</v>
      </c>
      <c r="BU69" s="0" t="n">
        <v>1.28330122870355</v>
      </c>
      <c r="BV69" s="0" t="n">
        <v>1.72106997248311</v>
      </c>
      <c r="BW69" s="0" t="n">
        <v>39.4964640301988</v>
      </c>
      <c r="BX69" s="0" t="n">
        <v>39.0423920343584</v>
      </c>
      <c r="BY69" s="0" t="n">
        <v>-0.454071995840408</v>
      </c>
      <c r="BZ69" s="20" t="n">
        <f aca="false">(BY69)^2</f>
        <v>0.206181377406492</v>
      </c>
    </row>
    <row r="70" customFormat="false" ht="13.2" hidden="false" customHeight="false" outlineLevel="0" collapsed="false">
      <c r="A70" s="0" t="s">
        <v>216</v>
      </c>
      <c r="BC70" s="0" t="n">
        <v>1.8072421747504</v>
      </c>
      <c r="BD70" s="0" t="n">
        <v>1.28330122870355</v>
      </c>
      <c r="BE70" s="0" t="n">
        <v>39.5546923254322</v>
      </c>
      <c r="BF70" s="0" t="n">
        <v>39.0423920343584</v>
      </c>
      <c r="BG70" s="0" t="n">
        <v>-0.512300291073842</v>
      </c>
      <c r="BH70" s="20" t="n">
        <f aca="false">(BG70)^2</f>
        <v>0.262451588234343</v>
      </c>
      <c r="BL70" s="0" t="n">
        <v>2.08228060100585</v>
      </c>
      <c r="BM70" s="0" t="n">
        <v>1.23552844690755</v>
      </c>
      <c r="BN70" s="0" t="n">
        <v>39.5227333650889</v>
      </c>
      <c r="BO70" s="0" t="n">
        <v>39.7584397069598</v>
      </c>
      <c r="BP70" s="0" t="n">
        <v>0.235706341870859</v>
      </c>
      <c r="BQ70" s="20" t="n">
        <f aca="false">(BP70)^2</f>
        <v>0.0555574795981423</v>
      </c>
      <c r="BU70" s="0" t="n">
        <v>1.23552844690755</v>
      </c>
      <c r="BV70" s="0" t="n">
        <v>2.02656291722394</v>
      </c>
      <c r="BW70" s="0" t="n">
        <v>39.5086555014815</v>
      </c>
      <c r="BX70" s="0" t="n">
        <v>39.7584397069598</v>
      </c>
      <c r="BY70" s="0" t="n">
        <v>0.249784205478306</v>
      </c>
      <c r="BZ70" s="20" t="n">
        <f aca="false">(BY70)^2</f>
        <v>0.0623921493064288</v>
      </c>
    </row>
    <row r="71" customFormat="false" ht="13.2" hidden="false" customHeight="false" outlineLevel="0" collapsed="false">
      <c r="A71" s="0" t="s">
        <v>217</v>
      </c>
      <c r="BC71" s="0" t="n">
        <v>2.04320473000393</v>
      </c>
      <c r="BD71" s="0" t="n">
        <v>1.23552844690755</v>
      </c>
      <c r="BE71" s="0" t="n">
        <v>39.5136912771002</v>
      </c>
      <c r="BF71" s="0" t="n">
        <v>39.7584397069598</v>
      </c>
      <c r="BG71" s="0" t="n">
        <v>0.244748429859577</v>
      </c>
      <c r="BH71" s="20" t="n">
        <f aca="false">(BG71)^2</f>
        <v>0.0599017939187282</v>
      </c>
      <c r="BL71" s="0" t="n">
        <v>1.84824783185314</v>
      </c>
      <c r="BM71" s="0" t="n">
        <v>1.22788670461367</v>
      </c>
      <c r="BN71" s="0" t="n">
        <v>39.4372374057632</v>
      </c>
      <c r="BO71" s="0" t="n">
        <v>39.0217644408478</v>
      </c>
      <c r="BP71" s="0" t="n">
        <v>-0.415472964915431</v>
      </c>
      <c r="BQ71" s="20" t="n">
        <f aca="false">(BP71)^2</f>
        <v>0.172617784575619</v>
      </c>
      <c r="BU71" s="0" t="n">
        <v>1.22788670461367</v>
      </c>
      <c r="BV71" s="0" t="n">
        <v>1.76879588455571</v>
      </c>
      <c r="BW71" s="0" t="n">
        <v>39.3862638065691</v>
      </c>
      <c r="BX71" s="0" t="n">
        <v>39.0217644408478</v>
      </c>
      <c r="BY71" s="0" t="n">
        <v>-0.364499365721329</v>
      </c>
      <c r="BZ71" s="20" t="n">
        <f aca="false">(BY71)^2</f>
        <v>0.132859787611251</v>
      </c>
    </row>
    <row r="72" customFormat="false" ht="13.2" hidden="false" customHeight="false" outlineLevel="0" collapsed="false">
      <c r="A72" s="0" t="s">
        <v>218</v>
      </c>
      <c r="BC72" s="0" t="n">
        <v>1.87008024180446</v>
      </c>
      <c r="BD72" s="0" t="n">
        <v>1.22788670461367</v>
      </c>
      <c r="BE72" s="0" t="n">
        <v>39.4427253791127</v>
      </c>
      <c r="BF72" s="0" t="n">
        <v>39.0217644408478</v>
      </c>
      <c r="BG72" s="0" t="n">
        <v>-0.420960938264862</v>
      </c>
      <c r="BH72" s="20" t="n">
        <f aca="false">(BG72)^2</f>
        <v>0.177208111544833</v>
      </c>
      <c r="BQ72" s="0" t="n">
        <f aca="false">SQRT(SUM(BQ33:BQ71)/39)</f>
        <v>0.29771378075044</v>
      </c>
      <c r="BZ72" s="0" t="n">
        <f aca="false">SQRT(SUM(BZ33:BZ71)/39)</f>
        <v>0.285708632879096</v>
      </c>
    </row>
    <row r="73" customFormat="false" ht="12.8" hidden="false" customHeight="false" outlineLevel="0" collapsed="false">
      <c r="A73" s="0" t="s">
        <v>223</v>
      </c>
      <c r="BH73" s="0" t="n">
        <f aca="false">SQRT(SUM(BH34:BH72)/39)</f>
        <v>0.296438469729063</v>
      </c>
    </row>
    <row r="74" customFormat="false" ht="12.8" hidden="false" customHeight="false" outlineLevel="0" collapsed="false">
      <c r="A74" s="0" t="s">
        <v>224</v>
      </c>
    </row>
    <row r="75" customFormat="false" ht="12.8" hidden="false" customHeight="false" outlineLevel="0" collapsed="false">
      <c r="A75" s="33" t="s">
        <v>215</v>
      </c>
    </row>
    <row r="76" customFormat="false" ht="12.8" hidden="false" customHeight="false" outlineLevel="0" collapsed="false">
      <c r="A76" s="0" t="s">
        <v>225</v>
      </c>
    </row>
    <row r="77" customFormat="false" ht="12.8" hidden="false" customHeight="false" outlineLevel="0" collapsed="false">
      <c r="A77" s="0" t="s">
        <v>226</v>
      </c>
    </row>
    <row r="78" customFormat="false" ht="12.8" hidden="false" customHeight="false" outlineLevel="0" collapsed="false">
      <c r="A78" s="0" t="s">
        <v>227</v>
      </c>
    </row>
    <row r="79" customFormat="false" ht="12.8" hidden="false" customHeight="false" outlineLevel="0" collapsed="false">
      <c r="A79" s="0" t="s">
        <v>228</v>
      </c>
    </row>
  </sheetData>
  <mergeCells count="3">
    <mergeCell ref="B1:F1"/>
    <mergeCell ref="G1:K1"/>
    <mergeCell ref="P1:Y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45353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2019-01-11T03:12:04Z</dcterms:created>
  <dc:creator/>
  <dc:description/>
  <dc:language>pt-BR</dc:language>
  <cp:lastModifiedBy/>
  <dcterms:modified xsi:type="dcterms:W3CDTF">2020-06-23T04:02:02Z</dcterms:modified>
  <cp:revision>1046</cp:revision>
  <dc:subject/>
  <dc:title/>
</cp:coreProperties>
</file>