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arla\Desktop\"/>
    </mc:Choice>
  </mc:AlternateContent>
  <xr:revisionPtr revIDLastSave="0" documentId="13_ncr:1_{B199FCBB-9F69-4236-B6DD-982AEB58A6E9}" xr6:coauthVersionLast="47" xr6:coauthVersionMax="47" xr10:uidLastSave="{00000000-0000-0000-0000-000000000000}"/>
  <bookViews>
    <workbookView xWindow="-330" yWindow="1620" windowWidth="16530" windowHeight="11385" xr2:uid="{00000000-000D-0000-FFFF-FFFF00000000}"/>
  </bookViews>
  <sheets>
    <sheet name="Leis de comportamento IPT" sheetId="1" r:id="rId1"/>
    <sheet name="Calculo de padiolas ne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I15" i="2"/>
  <c r="L21" i="1" l="1"/>
  <c r="B22" i="2" l="1"/>
  <c r="B18" i="2"/>
  <c r="B15" i="2"/>
  <c r="B5" i="2"/>
  <c r="O24" i="1"/>
  <c r="F7" i="2" l="1"/>
  <c r="J7" i="2" s="1"/>
  <c r="B6" i="2"/>
  <c r="F6" i="2" s="1"/>
  <c r="F5" i="2"/>
  <c r="I11" i="2" l="1"/>
  <c r="I17" i="2" s="1"/>
  <c r="E19" i="2"/>
  <c r="K5" i="2" s="1"/>
  <c r="E14" i="2"/>
  <c r="J5" i="2" s="1"/>
  <c r="E20" i="2"/>
  <c r="K6" i="2" s="1"/>
  <c r="E15" i="2"/>
  <c r="J6" i="2" s="1"/>
  <c r="C30" i="1"/>
  <c r="C35" i="1" s="1"/>
  <c r="C31" i="1"/>
  <c r="E31" i="1" s="1"/>
  <c r="C29" i="1"/>
  <c r="E29" i="1" s="1"/>
  <c r="F29" i="1" s="1"/>
  <c r="G30" i="1"/>
  <c r="G31" i="1"/>
  <c r="G29" i="1"/>
  <c r="L10" i="1"/>
  <c r="L11" i="1"/>
  <c r="L9" i="1"/>
  <c r="K10" i="1"/>
  <c r="K11" i="1"/>
  <c r="K9" i="1"/>
  <c r="J5" i="1"/>
  <c r="J6" i="1"/>
  <c r="J4" i="1"/>
  <c r="C11" i="1"/>
  <c r="C10" i="1"/>
  <c r="C9" i="1"/>
  <c r="D5" i="1"/>
  <c r="D10" i="1" s="1"/>
  <c r="D6" i="1"/>
  <c r="D11" i="1" s="1"/>
  <c r="D4" i="1"/>
  <c r="D9" i="1" s="1"/>
  <c r="C12" i="1" l="1"/>
  <c r="E10" i="1" s="1"/>
  <c r="F10" i="1" s="1"/>
  <c r="E30" i="1"/>
  <c r="F30" i="1" s="1"/>
  <c r="C34" i="1"/>
  <c r="K12" i="1"/>
  <c r="C36" i="1"/>
  <c r="H29" i="1"/>
  <c r="D34" i="1" s="1"/>
  <c r="F31" i="1"/>
  <c r="H31" i="1" s="1"/>
  <c r="D36" i="1" s="1"/>
  <c r="L12" i="1"/>
  <c r="O9" i="1" s="1"/>
  <c r="D12" i="1"/>
  <c r="G11" i="1" s="1"/>
  <c r="E9" i="1" l="1"/>
  <c r="F9" i="1" s="1"/>
  <c r="E11" i="1"/>
  <c r="F11" i="1" s="1"/>
  <c r="H30" i="1"/>
  <c r="M10" i="1"/>
  <c r="N10" i="1" s="1"/>
  <c r="M11" i="1"/>
  <c r="N11" i="1" s="1"/>
  <c r="C37" i="1"/>
  <c r="E35" i="1" s="1"/>
  <c r="M9" i="1"/>
  <c r="N9" i="1" s="1"/>
  <c r="O11" i="1"/>
  <c r="O10" i="1"/>
  <c r="G10" i="1"/>
  <c r="H10" i="1" s="1"/>
  <c r="G9" i="1"/>
  <c r="H11" i="1" l="1"/>
  <c r="H9" i="1"/>
  <c r="D35" i="1"/>
  <c r="D37" i="1" s="1"/>
  <c r="F12" i="1"/>
  <c r="P10" i="1"/>
  <c r="N12" i="1"/>
  <c r="E34" i="1"/>
  <c r="F34" i="1" s="1"/>
  <c r="E36" i="1"/>
  <c r="F36" i="1" s="1"/>
  <c r="F35" i="1"/>
  <c r="P9" i="1"/>
  <c r="P11" i="1"/>
  <c r="H12" i="1" l="1"/>
  <c r="G36" i="1"/>
  <c r="H36" i="1" s="1"/>
  <c r="G34" i="1"/>
  <c r="H34" i="1" s="1"/>
  <c r="G35" i="1"/>
  <c r="H35" i="1" s="1"/>
  <c r="P12" i="1"/>
  <c r="F37" i="1"/>
  <c r="K14" i="1" l="1"/>
  <c r="K15" i="1" s="1"/>
  <c r="P19" i="1" s="1"/>
  <c r="C14" i="1"/>
  <c r="C15" i="1" s="1"/>
  <c r="H37" i="1"/>
  <c r="C39" i="1" s="1"/>
  <c r="C40" i="1" s="1"/>
  <c r="C16" i="1" l="1"/>
  <c r="F14" i="1"/>
  <c r="C17" i="1"/>
  <c r="H42" i="1"/>
  <c r="H43" i="1" s="1"/>
  <c r="M24" i="1"/>
  <c r="N24" i="1" s="1"/>
  <c r="H19" i="1" l="1"/>
</calcChain>
</file>

<file path=xl/sharedStrings.xml><?xml version="1.0" encoding="utf-8"?>
<sst xmlns="http://schemas.openxmlformats.org/spreadsheetml/2006/main" count="137" uniqueCount="94">
  <si>
    <t>a/c  (x)</t>
  </si>
  <si>
    <t>Ponto</t>
  </si>
  <si>
    <t>Xi</t>
  </si>
  <si>
    <t>Yi</t>
  </si>
  <si>
    <t>Xi-Xm</t>
  </si>
  <si>
    <t>média</t>
  </si>
  <si>
    <t>(Xi-Xm)²</t>
  </si>
  <si>
    <t>Yi-Ym</t>
  </si>
  <si>
    <t>(Xi-Xm)*(Yi-Ym)</t>
  </si>
  <si>
    <t>Soma</t>
  </si>
  <si>
    <t>a</t>
  </si>
  <si>
    <t>a/c especifico</t>
  </si>
  <si>
    <t>Fc=</t>
  </si>
  <si>
    <t>Fc (Mpa)</t>
  </si>
  <si>
    <t>Log Fc =</t>
  </si>
  <si>
    <t>a = -Log k2=</t>
  </si>
  <si>
    <t>Log Fc= -Log K2* a/c + Log K1</t>
  </si>
  <si>
    <t>b = Log K1=</t>
  </si>
  <si>
    <t>m (y)</t>
  </si>
  <si>
    <t>Média</t>
  </si>
  <si>
    <t>m=</t>
  </si>
  <si>
    <t>m</t>
  </si>
  <si>
    <t>Teor de Argamassa</t>
  </si>
  <si>
    <t>Principal</t>
  </si>
  <si>
    <t>c</t>
  </si>
  <si>
    <t>p</t>
  </si>
  <si>
    <t>a/c</t>
  </si>
  <si>
    <t>Massa Especifica (g/cm³)</t>
  </si>
  <si>
    <t>LEI DE MOLINARI</t>
  </si>
  <si>
    <t>LEI DE ABRAMS</t>
  </si>
  <si>
    <t>LEI DE LYSE</t>
  </si>
  <si>
    <t>a/c (x)</t>
  </si>
  <si>
    <t>Log Fc(y)</t>
  </si>
  <si>
    <t>Cc(kg/m³)</t>
  </si>
  <si>
    <t xml:space="preserve"> Rico</t>
  </si>
  <si>
    <t>Pobre</t>
  </si>
  <si>
    <t>a=K6 =</t>
  </si>
  <si>
    <t>b=k5 =</t>
  </si>
  <si>
    <t>a=k3=</t>
  </si>
  <si>
    <t>b=k4=</t>
  </si>
  <si>
    <t>k1</t>
  </si>
  <si>
    <t>k2</t>
  </si>
  <si>
    <t>a/c específico</t>
  </si>
  <si>
    <t>Cc =</t>
  </si>
  <si>
    <t>Traço</t>
  </si>
  <si>
    <t>Teor de argamassa</t>
  </si>
  <si>
    <t>Traço unitário</t>
  </si>
  <si>
    <t>Cálculo de traço ipt</t>
  </si>
  <si>
    <t>traço principal</t>
  </si>
  <si>
    <t>teor de argamassa</t>
  </si>
  <si>
    <t>cimento</t>
  </si>
  <si>
    <t>Cimento</t>
  </si>
  <si>
    <t>kg</t>
  </si>
  <si>
    <t>Insumo</t>
  </si>
  <si>
    <t>Quant. Baldes</t>
  </si>
  <si>
    <t>Quant. Padiolas</t>
  </si>
  <si>
    <t>areia</t>
  </si>
  <si>
    <t>Areia</t>
  </si>
  <si>
    <t>cm³</t>
  </si>
  <si>
    <t>pedra</t>
  </si>
  <si>
    <t>Pedra</t>
  </si>
  <si>
    <t>agua</t>
  </si>
  <si>
    <t>Água</t>
  </si>
  <si>
    <t>L</t>
  </si>
  <si>
    <t>água</t>
  </si>
  <si>
    <t>-</t>
  </si>
  <si>
    <t>Massa Unitaria areia</t>
  </si>
  <si>
    <t>g/cm³</t>
  </si>
  <si>
    <t>Massa Unitaria Seixo</t>
  </si>
  <si>
    <t>Balde 18 L</t>
  </si>
  <si>
    <t>Coef. de inchamento</t>
  </si>
  <si>
    <t>cm</t>
  </si>
  <si>
    <t>Teor de umidade</t>
  </si>
  <si>
    <t>Diametro do Balde</t>
  </si>
  <si>
    <t>Area do balde</t>
  </si>
  <si>
    <t>cm²</t>
  </si>
  <si>
    <t>Padiola</t>
  </si>
  <si>
    <t>Altura do balde</t>
  </si>
  <si>
    <t xml:space="preserve">Lado 1 da padiola </t>
  </si>
  <si>
    <t>Lado 2 da padiola</t>
  </si>
  <si>
    <t>Area da padiola</t>
  </si>
  <si>
    <t>Altura da padiola</t>
  </si>
  <si>
    <t>Massa especifica da areia</t>
  </si>
  <si>
    <t>Massa especifica do seixo</t>
  </si>
  <si>
    <t>Consumo de cimento</t>
  </si>
  <si>
    <t>Massa especifica do cimento</t>
  </si>
  <si>
    <t>kg/m³</t>
  </si>
  <si>
    <t>volume medido</t>
  </si>
  <si>
    <t>taxa de perdas</t>
  </si>
  <si>
    <t>volume de calculo</t>
  </si>
  <si>
    <t>m³</t>
  </si>
  <si>
    <t>Quantidade de cimento</t>
  </si>
  <si>
    <t>sacas</t>
  </si>
  <si>
    <t>consumo de areia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</si>
</sst>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2" fontId="2" fillId="5" borderId="0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1" fillId="5" borderId="0" xfId="0" applyFont="1" applyFill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164" fontId="1" fillId="0" borderId="19" xfId="0" applyNumberFormat="1" applyFont="1" applyBorder="1" applyAlignment="1">
      <alignment horizontal="center"/>
    </xf>
    <xf numFmtId="2" fontId="1" fillId="5" borderId="0" xfId="0" applyNumberFormat="1" applyFont="1" applyFill="1" applyBorder="1" applyAlignment="1">
      <alignment horizontal="left"/>
    </xf>
    <xf numFmtId="0" fontId="2" fillId="4" borderId="22" xfId="0" applyFont="1" applyFill="1" applyBorder="1" applyAlignment="1">
      <alignment horizontal="center" vertical="center" wrapText="1"/>
    </xf>
    <xf numFmtId="2" fontId="2" fillId="4" borderId="24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5" fillId="0" borderId="10" xfId="0" applyFont="1" applyBorder="1"/>
    <xf numFmtId="0" fontId="4" fillId="6" borderId="21" xfId="0" applyFont="1" applyFill="1" applyBorder="1" applyAlignment="1">
      <alignment horizontal="right"/>
    </xf>
    <xf numFmtId="0" fontId="6" fillId="9" borderId="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5" fillId="0" borderId="12" xfId="0" applyFont="1" applyBorder="1"/>
    <xf numFmtId="0" fontId="6" fillId="2" borderId="0" xfId="0" applyFont="1" applyFill="1" applyBorder="1" applyAlignment="1">
      <alignment horizontal="right"/>
    </xf>
    <xf numFmtId="0" fontId="5" fillId="0" borderId="14" xfId="0" applyFont="1" applyBorder="1"/>
    <xf numFmtId="0" fontId="6" fillId="2" borderId="5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center"/>
    </xf>
    <xf numFmtId="0" fontId="5" fillId="5" borderId="13" xfId="0" applyFont="1" applyFill="1" applyBorder="1"/>
    <xf numFmtId="0" fontId="5" fillId="5" borderId="15" xfId="0" applyFont="1" applyFill="1" applyBorder="1"/>
    <xf numFmtId="0" fontId="0" fillId="0" borderId="0" xfId="0" applyAlignment="1">
      <alignment horizontal="center"/>
    </xf>
    <xf numFmtId="0" fontId="1" fillId="0" borderId="11" xfId="0" applyFont="1" applyBorder="1"/>
    <xf numFmtId="2" fontId="1" fillId="2" borderId="1" xfId="0" applyNumberFormat="1" applyFont="1" applyFill="1" applyBorder="1" applyAlignment="1">
      <alignment horizontal="center"/>
    </xf>
    <xf numFmtId="0" fontId="1" fillId="0" borderId="13" xfId="0" applyFont="1" applyBorder="1"/>
    <xf numFmtId="164" fontId="1" fillId="2" borderId="9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1" fillId="0" borderId="15" xfId="0" applyFont="1" applyBorder="1"/>
    <xf numFmtId="0" fontId="1" fillId="0" borderId="31" xfId="0" applyFont="1" applyBorder="1" applyAlignment="1">
      <alignment horizontal="center"/>
    </xf>
    <xf numFmtId="2" fontId="1" fillId="2" borderId="32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5" borderId="14" xfId="0" applyFont="1" applyFill="1" applyBorder="1"/>
    <xf numFmtId="0" fontId="1" fillId="5" borderId="15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3" xfId="0" applyFont="1" applyBorder="1"/>
    <xf numFmtId="0" fontId="1" fillId="0" borderId="33" xfId="0" applyFont="1" applyBorder="1" applyAlignment="1">
      <alignment horizontal="center" vertical="center"/>
    </xf>
    <xf numFmtId="0" fontId="1" fillId="5" borderId="33" xfId="0" applyFont="1" applyFill="1" applyBorder="1" applyAlignment="1">
      <alignment horizontal="center"/>
    </xf>
    <xf numFmtId="0" fontId="1" fillId="5" borderId="33" xfId="0" applyFont="1" applyFill="1" applyBorder="1"/>
    <xf numFmtId="0" fontId="0" fillId="5" borderId="33" xfId="0" applyFill="1" applyBorder="1"/>
    <xf numFmtId="0" fontId="0" fillId="5" borderId="0" xfId="0" applyFill="1"/>
    <xf numFmtId="0" fontId="1" fillId="5" borderId="33" xfId="0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/>
    <xf numFmtId="0" fontId="1" fillId="0" borderId="34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0" fontId="0" fillId="2" borderId="0" xfId="0" applyFill="1"/>
    <xf numFmtId="0" fontId="1" fillId="0" borderId="0" xfId="0" applyFont="1" applyBorder="1"/>
    <xf numFmtId="0" fontId="1" fillId="5" borderId="0" xfId="0" applyFont="1" applyFill="1" applyBorder="1"/>
    <xf numFmtId="0" fontId="5" fillId="5" borderId="0" xfId="0" applyFont="1" applyFill="1" applyBorder="1"/>
    <xf numFmtId="0" fontId="4" fillId="6" borderId="0" xfId="0" applyFont="1" applyFill="1" applyBorder="1" applyAlignment="1">
      <alignment horizontal="center"/>
    </xf>
    <xf numFmtId="0" fontId="1" fillId="0" borderId="6" xfId="0" applyFont="1" applyBorder="1"/>
    <xf numFmtId="1" fontId="1" fillId="0" borderId="30" xfId="0" applyNumberFormat="1" applyFont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31" xfId="0" applyFont="1" applyBorder="1"/>
    <xf numFmtId="0" fontId="4" fillId="6" borderId="5" xfId="0" applyFont="1" applyFill="1" applyBorder="1" applyAlignment="1">
      <alignment horizontal="center"/>
    </xf>
    <xf numFmtId="0" fontId="1" fillId="0" borderId="35" xfId="0" applyFont="1" applyBorder="1"/>
    <xf numFmtId="0" fontId="4" fillId="6" borderId="21" xfId="0" applyFont="1" applyFill="1" applyBorder="1" applyAlignment="1">
      <alignment horizontal="center"/>
    </xf>
    <xf numFmtId="0" fontId="1" fillId="0" borderId="7" xfId="0" applyFont="1" applyBorder="1"/>
    <xf numFmtId="0" fontId="1" fillId="2" borderId="32" xfId="0" applyFont="1" applyFill="1" applyBorder="1" applyAlignment="1">
      <alignment horizontal="center"/>
    </xf>
    <xf numFmtId="165" fontId="1" fillId="5" borderId="12" xfId="0" applyNumberFormat="1" applyFont="1" applyFill="1" applyBorder="1"/>
    <xf numFmtId="165" fontId="1" fillId="5" borderId="14" xfId="0" applyNumberFormat="1" applyFont="1" applyFill="1" applyBorder="1"/>
    <xf numFmtId="0" fontId="1" fillId="0" borderId="10" xfId="0" applyFont="1" applyBorder="1"/>
    <xf numFmtId="0" fontId="1" fillId="0" borderId="12" xfId="0" applyFont="1" applyBorder="1"/>
    <xf numFmtId="164" fontId="1" fillId="2" borderId="1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2" fillId="4" borderId="24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/>
    </xf>
    <xf numFmtId="164" fontId="1" fillId="7" borderId="21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01029067262813E-2"/>
          <c:y val="0.1032154137765697"/>
          <c:w val="0.88586461659318438"/>
          <c:h val="0.79800686578726543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76377399431885E-2"/>
                  <c:y val="0.27559977299583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</a:t>
                    </a:r>
                    <a:r>
                      <a:rPr lang="pt-BR" sz="900" b="0" i="0" u="none" strike="noStrike" baseline="0">
                        <a:effectLst/>
                      </a:rPr>
                      <a:t>= 1000/(𝐾5+𝐾6∗𝑚)</a:t>
                    </a:r>
                    <a:b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0,9795</a:t>
                    </a:r>
                    <a:endParaRPr lang="en-US" sz="9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'Leis de comportamento IPT'!$H$29:$H$31</c:f>
              <c:numCache>
                <c:formatCode>0.000</c:formatCode>
                <c:ptCount val="3"/>
                <c:pt idx="0">
                  <c:v>500.60871755835478</c:v>
                </c:pt>
                <c:pt idx="1">
                  <c:v>373.69580846915608</c:v>
                </c:pt>
                <c:pt idx="2">
                  <c:v>260.19202915882011</c:v>
                </c:pt>
              </c:numCache>
            </c:numRef>
          </c:xVal>
          <c:yVal>
            <c:numRef>
              <c:f>'Leis de comportamento IPT'!$C$29:$C$31</c:f>
              <c:numCache>
                <c:formatCode>General</c:formatCode>
                <c:ptCount val="3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7-4F78-8E8B-2BCF8546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4736"/>
        <c:axId val="192353440"/>
      </c:scatterChart>
      <c:valAx>
        <c:axId val="192344736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353440"/>
        <c:crossesAt val="0"/>
        <c:crossBetween val="midCat"/>
      </c:valAx>
      <c:valAx>
        <c:axId val="192353440"/>
        <c:scaling>
          <c:orientation val="maxMin"/>
          <c:max val="8"/>
          <c:min val="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3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17204811075916E-2"/>
          <c:y val="3.2351078856363548E-2"/>
          <c:w val="0.87297198067632864"/>
          <c:h val="0.912304405003674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61964557201244"/>
                  <c:y val="6.5261720587680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'Leis de comportamento IPT'!$J$4:$J$6</c:f>
              <c:numCache>
                <c:formatCode>General</c:formatCode>
                <c:ptCount val="3"/>
                <c:pt idx="0">
                  <c:v>0.35</c:v>
                </c:pt>
                <c:pt idx="1">
                  <c:v>0.46</c:v>
                </c:pt>
                <c:pt idx="2">
                  <c:v>0.68</c:v>
                </c:pt>
              </c:numCache>
            </c:numRef>
          </c:xVal>
          <c:yVal>
            <c:numRef>
              <c:f>'Leis de comportamento IPT'!$K$4:$K$6</c:f>
              <c:numCache>
                <c:formatCode>General</c:formatCode>
                <c:ptCount val="3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8-49C9-9D53-CD5AB1AA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5280"/>
        <c:axId val="192348544"/>
      </c:scatterChart>
      <c:valAx>
        <c:axId val="192345280"/>
        <c:scaling>
          <c:orientation val="minMax"/>
          <c:min val="0.30000000000000004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348544"/>
        <c:crosses val="autoZero"/>
        <c:crossBetween val="midCat"/>
      </c:valAx>
      <c:valAx>
        <c:axId val="192348544"/>
        <c:scaling>
          <c:orientation val="maxMin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34528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'Leis de comportamento IPT'!$B$4:$B$6</c:f>
              <c:numCache>
                <c:formatCode>General</c:formatCode>
                <c:ptCount val="3"/>
                <c:pt idx="0">
                  <c:v>0.35</c:v>
                </c:pt>
                <c:pt idx="1">
                  <c:v>0.46</c:v>
                </c:pt>
                <c:pt idx="2">
                  <c:v>0.68</c:v>
                </c:pt>
              </c:numCache>
            </c:numRef>
          </c:xVal>
          <c:yVal>
            <c:numRef>
              <c:f>'Leis de comportamento IPT'!$C$4:$C$6</c:f>
              <c:numCache>
                <c:formatCode>General</c:formatCode>
                <c:ptCount val="3"/>
                <c:pt idx="0">
                  <c:v>45</c:v>
                </c:pt>
                <c:pt idx="1">
                  <c:v>30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5-4224-B5A2-AF3583F8040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13956502765146"/>
                  <c:y val="-0.2615018739427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'Leis de comportamento IPT'!$B$4:$B$6</c:f>
              <c:numCache>
                <c:formatCode>General</c:formatCode>
                <c:ptCount val="3"/>
                <c:pt idx="0">
                  <c:v>0.35</c:v>
                </c:pt>
                <c:pt idx="1">
                  <c:v>0.46</c:v>
                </c:pt>
                <c:pt idx="2">
                  <c:v>0.68</c:v>
                </c:pt>
              </c:numCache>
            </c:numRef>
          </c:xVal>
          <c:yVal>
            <c:numRef>
              <c:f>'Leis de comportamento IPT'!$C$4:$C$6</c:f>
              <c:numCache>
                <c:formatCode>General</c:formatCode>
                <c:ptCount val="3"/>
                <c:pt idx="0">
                  <c:v>45</c:v>
                </c:pt>
                <c:pt idx="1">
                  <c:v>30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5-4224-B5A2-AF3583F8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5072"/>
        <c:axId val="192355616"/>
      </c:scatterChart>
      <c:valAx>
        <c:axId val="19235507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355616"/>
        <c:crosses val="autoZero"/>
        <c:crossBetween val="midCat"/>
      </c:valAx>
      <c:valAx>
        <c:axId val="19235561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3550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147636</xdr:colOff>
      <xdr:row>14</xdr:row>
      <xdr:rowOff>80962</xdr:rowOff>
    </xdr:from>
    <xdr:ext cx="1466851" cy="519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86011" y="2831306"/>
              <a:ext cx="1466851" cy="5195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800"/>
                <a:t>Fc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𝐾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𝐾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2 ^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</m:oMath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86011" y="2831306"/>
              <a:ext cx="1466851" cy="5195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800"/>
                <a:t>Fc = </a:t>
              </a:r>
              <a:r>
                <a:rPr lang="pt-BR" sz="1800" b="0" i="0">
                  <a:latin typeface="Cambria Math" panose="02040503050406030204" pitchFamily="18" charset="0"/>
                </a:rPr>
                <a:t>𝐾1/(𝐾2 ^𝑎/𝑐)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233363</xdr:colOff>
      <xdr:row>13</xdr:row>
      <xdr:rowOff>11910</xdr:rowOff>
    </xdr:from>
    <xdr:ext cx="1619251" cy="37414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9144" y="2571754"/>
          <a:ext cx="1619251" cy="3741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pt-BR" sz="1800">
              <a:solidFill>
                <a:schemeClr val="dk1"/>
              </a:solidFill>
              <a:latin typeface="+mn-lt"/>
              <a:ea typeface="+mn-ea"/>
              <a:cs typeface="+mn-cs"/>
            </a:rPr>
            <a:t>m= k3*a/c + K4</a:t>
          </a:r>
        </a:p>
      </xdr:txBody>
    </xdr:sp>
    <xdr:clientData/>
  </xdr:oneCellAnchor>
  <xdr:oneCellAnchor>
    <xdr:from>
      <xdr:col>3</xdr:col>
      <xdr:colOff>130969</xdr:colOff>
      <xdr:row>37</xdr:row>
      <xdr:rowOff>154783</xdr:rowOff>
    </xdr:from>
    <xdr:ext cx="1619251" cy="485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369344" y="7846221"/>
              <a:ext cx="1619251" cy="48577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800"/>
                <a:t>Cc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800" b="0" i="1">
                          <a:latin typeface="Cambria Math" panose="02040503050406030204" pitchFamily="18" charset="0"/>
                        </a:rPr>
                        <m:t>1000</m:t>
                      </m:r>
                    </m:num>
                    <m:den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𝐾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5+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𝐾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6∗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2369344" y="7846221"/>
              <a:ext cx="1619251" cy="48577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800"/>
                <a:t>Cc = </a:t>
              </a:r>
              <a:r>
                <a:rPr lang="pt-BR" sz="1800" b="0" i="0">
                  <a:latin typeface="Cambria Math" panose="02040503050406030204" pitchFamily="18" charset="0"/>
                </a:rPr>
                <a:t>1000/(𝐾5+𝐾6∗𝑚)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25</xdr:col>
      <xdr:colOff>330465</xdr:colOff>
      <xdr:row>1</xdr:row>
      <xdr:rowOff>99646</xdr:rowOff>
    </xdr:from>
    <xdr:to>
      <xdr:col>38</xdr:col>
      <xdr:colOff>508777</xdr:colOff>
      <xdr:row>26</xdr:row>
      <xdr:rowOff>121202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8082684" y="302052"/>
          <a:ext cx="8072156" cy="5593681"/>
          <a:chOff x="18046965" y="306021"/>
          <a:chExt cx="8020562" cy="564130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0558897" y="306021"/>
            <a:ext cx="3853808" cy="23912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400">
                <a:latin typeface="Arial" panose="020B0604020202020204" pitchFamily="34" charset="0"/>
                <a:cs typeface="Arial" panose="020B0604020202020204" pitchFamily="34" charset="0"/>
              </a:rPr>
              <a:t>Diagrama</a:t>
            </a:r>
            <a:r>
              <a:rPr lang="pt-BR" sz="2400" baseline="0">
                <a:latin typeface="Arial" panose="020B0604020202020204" pitchFamily="34" charset="0"/>
                <a:cs typeface="Arial" panose="020B0604020202020204" pitchFamily="34" charset="0"/>
              </a:rPr>
              <a:t> de  Dosagem</a:t>
            </a:r>
            <a:endParaRPr lang="pt-BR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18667261" y="3281128"/>
          <a:ext cx="3858692" cy="23815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22072755" y="3182935"/>
          <a:ext cx="3813417" cy="2372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2002269" y="1118150"/>
          <a:ext cx="3858693" cy="2399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9074818" y="1340568"/>
            <a:ext cx="2189287" cy="1490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>
                <a:latin typeface="Arial" panose="020B0604020202020204" pitchFamily="34" charset="0"/>
                <a:cs typeface="Arial" panose="020B0604020202020204" pitchFamily="34" charset="0"/>
              </a:rPr>
              <a:t>Agregado</a:t>
            </a:r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 Graúdo: Seixo</a:t>
            </a:r>
          </a:p>
          <a:p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Teor de argamassa: x %</a:t>
            </a:r>
          </a:p>
          <a:p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Idade: x dias</a:t>
            </a:r>
          </a:p>
          <a:p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Aditivo: x % Tipo</a:t>
            </a:r>
          </a:p>
          <a:p>
            <a:r>
              <a:rPr lang="pt-BR" sz="1400" baseline="0">
                <a:latin typeface="Arial" panose="020B0604020202020204" pitchFamily="34" charset="0"/>
                <a:cs typeface="Arial" panose="020B0604020202020204" pitchFamily="34" charset="0"/>
              </a:rPr>
              <a:t>Slump: 10  </a:t>
            </a:r>
          </a:p>
          <a:p>
            <a:r>
              <a:rPr lang="pt-BR" sz="1400">
                <a:latin typeface="Arial" panose="020B0604020202020204" pitchFamily="34" charset="0"/>
                <a:cs typeface="Arial" panose="020B0604020202020204" pitchFamily="34" charset="0"/>
              </a:rPr>
              <a:t>Cimento: CP II Z</a:t>
            </a: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1678900" y="946150"/>
            <a:ext cx="894219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Fck</a:t>
            </a:r>
            <a:r>
              <a:rPr lang="pt-BR" sz="1200" baseline="0">
                <a:latin typeface="Arial" panose="020B0604020202020204" pitchFamily="34" charset="0"/>
                <a:cs typeface="Arial" panose="020B0604020202020204" pitchFamily="34" charset="0"/>
              </a:rPr>
              <a:t> (MPa)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5677548" y="3221124"/>
            <a:ext cx="389979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a/c</a:t>
            </a: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18046965" y="3273425"/>
            <a:ext cx="782971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C(kg/m³)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21840031" y="5677958"/>
            <a:ext cx="825932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m</a:t>
            </a:r>
            <a:r>
              <a:rPr lang="pt-BR" sz="1200" baseline="0">
                <a:latin typeface="Arial" panose="020B0604020202020204" pitchFamily="34" charset="0"/>
                <a:cs typeface="Arial" panose="020B0604020202020204" pitchFamily="34" charset="0"/>
              </a:rPr>
              <a:t> (kg/kg)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31</xdr:col>
      <xdr:colOff>366293</xdr:colOff>
      <xdr:row>15</xdr:row>
      <xdr:rowOff>102254</xdr:rowOff>
    </xdr:from>
    <xdr:to>
      <xdr:col>31</xdr:col>
      <xdr:colOff>539984</xdr:colOff>
      <xdr:row>16</xdr:row>
      <xdr:rowOff>79842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1761824" y="3055004"/>
          <a:ext cx="173691" cy="168088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32</xdr:col>
      <xdr:colOff>345281</xdr:colOff>
      <xdr:row>9</xdr:row>
      <xdr:rowOff>35719</xdr:rowOff>
    </xdr:from>
    <xdr:to>
      <xdr:col>34</xdr:col>
      <xdr:colOff>392906</xdr:colOff>
      <xdr:row>9</xdr:row>
      <xdr:rowOff>47625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B0DF531C-D3EF-4FFA-9D25-2F4D03F6ACC1}"/>
            </a:ext>
          </a:extLst>
        </xdr:cNvPr>
        <xdr:cNvCxnSpPr/>
      </xdr:nvCxnSpPr>
      <xdr:spPr>
        <a:xfrm flipV="1">
          <a:off x="22348031" y="1797844"/>
          <a:ext cx="1262063" cy="1190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</xdr:row>
      <xdr:rowOff>178595</xdr:rowOff>
    </xdr:from>
    <xdr:to>
      <xdr:col>34</xdr:col>
      <xdr:colOff>202410</xdr:colOff>
      <xdr:row>19</xdr:row>
      <xdr:rowOff>190500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F5BD1882-7E01-4E1E-AB93-4F8B02D6F38F}"/>
            </a:ext>
          </a:extLst>
        </xdr:cNvPr>
        <xdr:cNvCxnSpPr/>
      </xdr:nvCxnSpPr>
      <xdr:spPr>
        <a:xfrm flipV="1">
          <a:off x="23407688" y="1750220"/>
          <a:ext cx="11910" cy="280987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392906</xdr:colOff>
      <xdr:row>18</xdr:row>
      <xdr:rowOff>309562</xdr:rowOff>
    </xdr:from>
    <xdr:to>
      <xdr:col>34</xdr:col>
      <xdr:colOff>271462</xdr:colOff>
      <xdr:row>18</xdr:row>
      <xdr:rowOff>330993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4BABFD49-15AB-4D4C-A881-0E1E49789FC2}"/>
            </a:ext>
          </a:extLst>
        </xdr:cNvPr>
        <xdr:cNvCxnSpPr/>
      </xdr:nvCxnSpPr>
      <xdr:spPr>
        <a:xfrm>
          <a:off x="19359562" y="4262437"/>
          <a:ext cx="4129088" cy="2143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188118</xdr:colOff>
      <xdr:row>10</xdr:row>
      <xdr:rowOff>164308</xdr:rowOff>
    </xdr:from>
    <xdr:to>
      <xdr:col>28</xdr:col>
      <xdr:colOff>200028</xdr:colOff>
      <xdr:row>21</xdr:row>
      <xdr:rowOff>152401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B18509B9-BCD5-43CD-BEE0-A05D6CCE3EB4}"/>
            </a:ext>
          </a:extLst>
        </xdr:cNvPr>
        <xdr:cNvCxnSpPr/>
      </xdr:nvCxnSpPr>
      <xdr:spPr>
        <a:xfrm flipV="1">
          <a:off x="19761993" y="2116933"/>
          <a:ext cx="11910" cy="280987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51"/>
  <sheetViews>
    <sheetView tabSelected="1" zoomScale="80" zoomScaleNormal="80" workbookViewId="0">
      <selection activeCell="E9" sqref="E9"/>
    </sheetView>
  </sheetViews>
  <sheetFormatPr defaultRowHeight="15" x14ac:dyDescent="0.25"/>
  <cols>
    <col min="2" max="2" width="13.7109375" style="1" customWidth="1"/>
    <col min="3" max="6" width="10.7109375" style="1" customWidth="1"/>
    <col min="7" max="7" width="11.7109375" style="1" customWidth="1"/>
    <col min="8" max="8" width="15.28515625" style="1" customWidth="1"/>
    <col min="9" max="9" width="8" style="1" customWidth="1"/>
    <col min="10" max="14" width="10.7109375" style="1" customWidth="1"/>
    <col min="15" max="15" width="12.5703125" style="1" customWidth="1"/>
    <col min="16" max="16" width="17.28515625" style="5" customWidth="1"/>
    <col min="17" max="17" width="9.140625" style="1"/>
  </cols>
  <sheetData>
    <row r="1" spans="2:41" ht="15.75" thickBot="1" x14ac:dyDescent="0.3"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</row>
    <row r="2" spans="2:41" ht="15.75" thickBot="1" x14ac:dyDescent="0.3">
      <c r="B2" s="159" t="s">
        <v>29</v>
      </c>
      <c r="C2" s="160"/>
      <c r="D2" s="160"/>
      <c r="E2" s="160"/>
      <c r="F2" s="160"/>
      <c r="G2" s="160"/>
      <c r="H2" s="161"/>
      <c r="I2" s="7"/>
      <c r="J2" s="159" t="s">
        <v>30</v>
      </c>
      <c r="K2" s="160"/>
      <c r="L2" s="160"/>
      <c r="M2" s="160"/>
      <c r="N2" s="160"/>
      <c r="O2" s="160"/>
      <c r="P2" s="161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</row>
    <row r="3" spans="2:41" x14ac:dyDescent="0.25">
      <c r="B3" s="21" t="s">
        <v>0</v>
      </c>
      <c r="C3" s="4" t="s">
        <v>13</v>
      </c>
      <c r="D3" s="4" t="s">
        <v>32</v>
      </c>
      <c r="E3" s="10"/>
      <c r="F3" s="10"/>
      <c r="G3" s="10"/>
      <c r="H3" s="23"/>
      <c r="I3" s="8"/>
      <c r="J3" s="21" t="s">
        <v>31</v>
      </c>
      <c r="K3" s="4" t="s">
        <v>18</v>
      </c>
      <c r="L3" s="10"/>
      <c r="M3" s="10"/>
      <c r="N3" s="10"/>
      <c r="O3" s="10"/>
      <c r="P3" s="23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</row>
    <row r="4" spans="2:41" x14ac:dyDescent="0.25">
      <c r="B4" s="22">
        <v>0.35</v>
      </c>
      <c r="C4" s="18">
        <v>45</v>
      </c>
      <c r="D4" s="3">
        <f>LOG10(C4)</f>
        <v>1.6532125137753437</v>
      </c>
      <c r="E4" s="10"/>
      <c r="F4" s="157"/>
      <c r="G4" s="157"/>
      <c r="H4" s="158"/>
      <c r="I4" s="8"/>
      <c r="J4" s="20">
        <f>B4</f>
        <v>0.35</v>
      </c>
      <c r="K4" s="18">
        <v>3.5</v>
      </c>
      <c r="L4" s="10"/>
      <c r="M4" s="10"/>
      <c r="N4" s="10"/>
      <c r="O4" s="10"/>
      <c r="P4" s="23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</row>
    <row r="5" spans="2:41" x14ac:dyDescent="0.25">
      <c r="B5" s="22">
        <v>0.46</v>
      </c>
      <c r="C5" s="18">
        <v>30</v>
      </c>
      <c r="D5" s="3">
        <f t="shared" ref="D5:D6" si="0">LOG10(C5)</f>
        <v>1.4771212547196624</v>
      </c>
      <c r="E5" s="10"/>
      <c r="F5" s="10"/>
      <c r="G5" s="10"/>
      <c r="H5" s="23"/>
      <c r="I5" s="8"/>
      <c r="J5" s="20">
        <f>B5</f>
        <v>0.46</v>
      </c>
      <c r="K5" s="18">
        <v>5</v>
      </c>
      <c r="L5" s="10"/>
      <c r="M5" s="10"/>
      <c r="N5" s="10"/>
      <c r="O5" s="10"/>
      <c r="P5" s="23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</row>
    <row r="6" spans="2:41" x14ac:dyDescent="0.25">
      <c r="B6" s="22">
        <v>0.68</v>
      </c>
      <c r="C6" s="18">
        <v>15</v>
      </c>
      <c r="D6" s="3">
        <f t="shared" si="0"/>
        <v>1.1760912590556813</v>
      </c>
      <c r="E6" s="10"/>
      <c r="F6" s="162" t="s">
        <v>16</v>
      </c>
      <c r="G6" s="163"/>
      <c r="H6" s="164"/>
      <c r="I6" s="8"/>
      <c r="J6" s="20">
        <f>B6</f>
        <v>0.68</v>
      </c>
      <c r="K6" s="18">
        <v>7.5</v>
      </c>
      <c r="L6" s="10"/>
      <c r="M6" s="10"/>
      <c r="N6" s="10"/>
      <c r="O6" s="10"/>
      <c r="P6" s="23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</row>
    <row r="7" spans="2:41" ht="15.75" thickBot="1" x14ac:dyDescent="0.3">
      <c r="B7" s="12"/>
      <c r="C7" s="10"/>
      <c r="D7" s="10"/>
      <c r="E7" s="10"/>
      <c r="F7" s="10"/>
      <c r="G7" s="10"/>
      <c r="H7" s="23"/>
      <c r="I7" s="8"/>
      <c r="J7" s="12"/>
      <c r="K7" s="10"/>
      <c r="L7" s="10"/>
      <c r="M7" s="10"/>
      <c r="N7" s="10"/>
      <c r="O7" s="10"/>
      <c r="P7" s="23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</row>
    <row r="8" spans="2:41" ht="15.75" thickBot="1" x14ac:dyDescent="0.3">
      <c r="B8" s="46" t="s">
        <v>1</v>
      </c>
      <c r="C8" s="47" t="s">
        <v>2</v>
      </c>
      <c r="D8" s="47" t="s">
        <v>3</v>
      </c>
      <c r="E8" s="47" t="s">
        <v>4</v>
      </c>
      <c r="F8" s="47" t="s">
        <v>6</v>
      </c>
      <c r="G8" s="47" t="s">
        <v>7</v>
      </c>
      <c r="H8" s="48" t="s">
        <v>8</v>
      </c>
      <c r="I8" s="8"/>
      <c r="J8" s="46" t="s">
        <v>1</v>
      </c>
      <c r="K8" s="47" t="s">
        <v>2</v>
      </c>
      <c r="L8" s="47" t="s">
        <v>3</v>
      </c>
      <c r="M8" s="47" t="s">
        <v>4</v>
      </c>
      <c r="N8" s="47" t="s">
        <v>6</v>
      </c>
      <c r="O8" s="47" t="s">
        <v>7</v>
      </c>
      <c r="P8" s="48" t="s">
        <v>8</v>
      </c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</row>
    <row r="9" spans="2:41" x14ac:dyDescent="0.25">
      <c r="B9" s="41">
        <v>1</v>
      </c>
      <c r="C9" s="43">
        <f>B4</f>
        <v>0.35</v>
      </c>
      <c r="D9" s="43">
        <f>D4</f>
        <v>1.6532125137753437</v>
      </c>
      <c r="E9" s="43">
        <f>C9-$C$12</f>
        <v>-0.14666666666666678</v>
      </c>
      <c r="F9" s="43">
        <f>E9^2</f>
        <v>2.1511111111111144E-2</v>
      </c>
      <c r="G9" s="43">
        <f>D9-$D$12</f>
        <v>0.21773750459178109</v>
      </c>
      <c r="H9" s="44">
        <f>E9*G9</f>
        <v>-3.1934834006794588E-2</v>
      </c>
      <c r="I9" s="8"/>
      <c r="J9" s="41">
        <v>1</v>
      </c>
      <c r="K9" s="43">
        <f>B4</f>
        <v>0.35</v>
      </c>
      <c r="L9" s="43">
        <f>K4</f>
        <v>3.5</v>
      </c>
      <c r="M9" s="43">
        <f>K9-$K$12</f>
        <v>-0.14666666666666678</v>
      </c>
      <c r="N9" s="43">
        <f>M9^2</f>
        <v>2.1511111111111144E-2</v>
      </c>
      <c r="O9" s="43">
        <f>L9-$L$12</f>
        <v>-1.833333333333333</v>
      </c>
      <c r="P9" s="44">
        <f>M9*O9</f>
        <v>0.26888888888888907</v>
      </c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</row>
    <row r="10" spans="2:41" x14ac:dyDescent="0.25">
      <c r="B10" s="41">
        <v>2</v>
      </c>
      <c r="C10" s="43">
        <f>B5</f>
        <v>0.46</v>
      </c>
      <c r="D10" s="43">
        <f>D5</f>
        <v>1.4771212547196624</v>
      </c>
      <c r="E10" s="43">
        <f t="shared" ref="E10:E11" si="1">C10-$C$12</f>
        <v>-3.6666666666666736E-2</v>
      </c>
      <c r="F10" s="43">
        <f t="shared" ref="F10:F11" si="2">E10^2</f>
        <v>1.3444444444444495E-3</v>
      </c>
      <c r="G10" s="43">
        <f t="shared" ref="G10:G11" si="3">D10-$D$12</f>
        <v>4.1646245536099746E-2</v>
      </c>
      <c r="H10" s="44">
        <f t="shared" ref="H10:H11" si="4">E10*G10</f>
        <v>-1.527029002990327E-3</v>
      </c>
      <c r="I10" s="8"/>
      <c r="J10" s="41">
        <v>2</v>
      </c>
      <c r="K10" s="43">
        <f t="shared" ref="K10:K11" si="5">B5</f>
        <v>0.46</v>
      </c>
      <c r="L10" s="43">
        <f>K5</f>
        <v>5</v>
      </c>
      <c r="M10" s="43">
        <f t="shared" ref="M10:M11" si="6">K10-$K$12</f>
        <v>-3.6666666666666736E-2</v>
      </c>
      <c r="N10" s="43">
        <f t="shared" ref="N10:N11" si="7">M10^2</f>
        <v>1.3444444444444495E-3</v>
      </c>
      <c r="O10" s="43">
        <f t="shared" ref="O10:O11" si="8">L10-$L$12</f>
        <v>-0.33333333333333304</v>
      </c>
      <c r="P10" s="44">
        <f t="shared" ref="P10:P11" si="9">M10*O10</f>
        <v>1.2222222222222235E-2</v>
      </c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</row>
    <row r="11" spans="2:41" ht="15.75" thickBot="1" x14ac:dyDescent="0.3">
      <c r="B11" s="41">
        <v>3</v>
      </c>
      <c r="C11" s="43">
        <f>B6</f>
        <v>0.68</v>
      </c>
      <c r="D11" s="43">
        <f>D6</f>
        <v>1.1760912590556813</v>
      </c>
      <c r="E11" s="43">
        <f t="shared" si="1"/>
        <v>0.18333333333333329</v>
      </c>
      <c r="F11" s="43">
        <f t="shared" si="2"/>
        <v>3.3611111111111099E-2</v>
      </c>
      <c r="G11" s="43">
        <f t="shared" si="3"/>
        <v>-0.25938375012788129</v>
      </c>
      <c r="H11" s="44">
        <f t="shared" si="4"/>
        <v>-4.7553687523444889E-2</v>
      </c>
      <c r="I11" s="8"/>
      <c r="J11" s="41">
        <v>3</v>
      </c>
      <c r="K11" s="43">
        <f t="shared" si="5"/>
        <v>0.68</v>
      </c>
      <c r="L11" s="43">
        <f>K6</f>
        <v>7.5</v>
      </c>
      <c r="M11" s="43">
        <f t="shared" si="6"/>
        <v>0.18333333333333329</v>
      </c>
      <c r="N11" s="43">
        <f t="shared" si="7"/>
        <v>3.3611111111111099E-2</v>
      </c>
      <c r="O11" s="43">
        <f t="shared" si="8"/>
        <v>2.166666666666667</v>
      </c>
      <c r="P11" s="44">
        <f t="shared" si="9"/>
        <v>0.3972222222222222</v>
      </c>
      <c r="T11" s="109"/>
      <c r="U11" s="109"/>
      <c r="V11" s="109"/>
      <c r="W11" s="109"/>
      <c r="X11" s="109"/>
      <c r="Y11" s="113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</row>
    <row r="12" spans="2:41" ht="15.75" thickBot="1" x14ac:dyDescent="0.3">
      <c r="B12" s="33" t="s">
        <v>5</v>
      </c>
      <c r="C12" s="34">
        <f>AVERAGE(C9:C11)</f>
        <v>0.49666666666666676</v>
      </c>
      <c r="D12" s="34">
        <f>AVERAGE(D9:D11)</f>
        <v>1.4354750091835626</v>
      </c>
      <c r="E12" s="35" t="s">
        <v>9</v>
      </c>
      <c r="F12" s="34">
        <f>SUM(F9:F11)</f>
        <v>5.6466666666666693E-2</v>
      </c>
      <c r="G12" s="35" t="s">
        <v>9</v>
      </c>
      <c r="H12" s="36">
        <f>SUM(H9:H11)</f>
        <v>-8.1015550533229813E-2</v>
      </c>
      <c r="I12" s="8"/>
      <c r="J12" s="33" t="s">
        <v>19</v>
      </c>
      <c r="K12" s="34">
        <f>AVERAGE(K9:K11)</f>
        <v>0.49666666666666676</v>
      </c>
      <c r="L12" s="34">
        <f>AVERAGE(L9:L11)</f>
        <v>5.333333333333333</v>
      </c>
      <c r="M12" s="35" t="s">
        <v>9</v>
      </c>
      <c r="N12" s="34">
        <f>SUM(N9:N11)</f>
        <v>5.6466666666666693E-2</v>
      </c>
      <c r="O12" s="35" t="s">
        <v>9</v>
      </c>
      <c r="P12" s="36">
        <f>SUM(P9:P11)</f>
        <v>0.67833333333333345</v>
      </c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</row>
    <row r="13" spans="2:41" ht="15.75" thickBot="1" x14ac:dyDescent="0.3">
      <c r="B13" s="19"/>
      <c r="C13" s="10"/>
      <c r="D13" s="10"/>
      <c r="E13" s="10"/>
      <c r="F13" s="10"/>
      <c r="G13" s="10"/>
      <c r="H13" s="23"/>
      <c r="I13" s="8"/>
      <c r="J13" s="12"/>
      <c r="K13" s="10"/>
      <c r="L13" s="10"/>
      <c r="M13" s="10"/>
      <c r="N13" s="10"/>
      <c r="O13" s="10"/>
      <c r="P13" s="23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</row>
    <row r="14" spans="2:41" x14ac:dyDescent="0.25">
      <c r="B14" s="15" t="s">
        <v>15</v>
      </c>
      <c r="C14" s="144">
        <f>H12/F12</f>
        <v>-1.4347500094432664</v>
      </c>
      <c r="D14" s="10"/>
      <c r="E14" s="37" t="s">
        <v>14</v>
      </c>
      <c r="F14" s="53">
        <f>C14*H18+C15</f>
        <v>1.4235187591048688</v>
      </c>
      <c r="G14" s="10"/>
      <c r="H14" s="23"/>
      <c r="I14" s="8"/>
      <c r="J14" s="15" t="s">
        <v>38</v>
      </c>
      <c r="K14" s="144">
        <f>P12/N12</f>
        <v>12.01298701298701</v>
      </c>
      <c r="L14" s="10"/>
      <c r="M14" s="10"/>
      <c r="N14" s="10"/>
      <c r="O14" s="10"/>
      <c r="P14" s="23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</row>
    <row r="15" spans="2:41" ht="15.75" thickBot="1" x14ac:dyDescent="0.3">
      <c r="B15" s="17" t="s">
        <v>17</v>
      </c>
      <c r="C15" s="145">
        <f>D12-C14*C12</f>
        <v>2.1480675138737184</v>
      </c>
      <c r="D15" s="10"/>
      <c r="E15" s="10"/>
      <c r="F15" s="10"/>
      <c r="G15" s="10"/>
      <c r="H15" s="23"/>
      <c r="I15" s="8"/>
      <c r="J15" s="16" t="s">
        <v>39</v>
      </c>
      <c r="K15" s="146">
        <f>L12-K14*K12</f>
        <v>-0.63311688311688297</v>
      </c>
      <c r="L15" s="10"/>
      <c r="M15" s="10"/>
      <c r="N15" s="10"/>
      <c r="O15" s="10"/>
      <c r="P15" s="23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</row>
    <row r="16" spans="2:41" x14ac:dyDescent="0.25">
      <c r="B16" s="17" t="s">
        <v>40</v>
      </c>
      <c r="C16" s="145">
        <f>10^C15</f>
        <v>140.62661202620015</v>
      </c>
      <c r="D16" s="10"/>
      <c r="E16" s="10"/>
      <c r="F16" s="10"/>
      <c r="G16" s="10"/>
      <c r="H16" s="23"/>
      <c r="I16" s="8"/>
      <c r="J16" s="12"/>
      <c r="K16" s="10"/>
      <c r="L16" s="10"/>
      <c r="M16" s="10"/>
      <c r="N16" s="10"/>
      <c r="O16" s="10"/>
      <c r="P16" s="23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</row>
    <row r="17" spans="2:41" ht="15.75" thickBot="1" x14ac:dyDescent="0.3">
      <c r="B17" s="16" t="s">
        <v>41</v>
      </c>
      <c r="C17" s="146">
        <f>1/10^C14</f>
        <v>27.211345054072481</v>
      </c>
      <c r="D17" s="10"/>
      <c r="E17" s="10"/>
      <c r="F17" s="10"/>
      <c r="G17" s="10"/>
      <c r="H17" s="23"/>
      <c r="I17" s="8"/>
      <c r="J17" s="12"/>
      <c r="K17" s="10"/>
      <c r="L17" s="10"/>
      <c r="M17" s="10"/>
      <c r="N17" s="10"/>
      <c r="O17" s="10"/>
      <c r="P17" s="23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</row>
    <row r="18" spans="2:41" ht="48" customHeight="1" thickBot="1" x14ac:dyDescent="0.3">
      <c r="B18" s="29"/>
      <c r="C18" s="30"/>
      <c r="D18" s="10"/>
      <c r="E18" s="10"/>
      <c r="F18" s="10"/>
      <c r="G18" s="49" t="s">
        <v>11</v>
      </c>
      <c r="H18" s="141">
        <v>0.505</v>
      </c>
      <c r="I18" s="8"/>
      <c r="J18" s="24"/>
      <c r="K18" s="25"/>
      <c r="L18" s="10"/>
      <c r="M18" s="10"/>
      <c r="N18" s="10"/>
      <c r="O18" s="54" t="s">
        <v>42</v>
      </c>
      <c r="P18" s="140">
        <f>H18</f>
        <v>0.505</v>
      </c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</row>
    <row r="19" spans="2:41" ht="33" customHeight="1" thickBot="1" x14ac:dyDescent="0.3">
      <c r="B19" s="26"/>
      <c r="C19" s="27"/>
      <c r="D19" s="28"/>
      <c r="E19" s="28"/>
      <c r="F19" s="28"/>
      <c r="G19" s="51" t="s">
        <v>12</v>
      </c>
      <c r="H19" s="143">
        <f>C16/C17^H18</f>
        <v>26.516656277347668</v>
      </c>
      <c r="I19" s="8"/>
      <c r="J19" s="26"/>
      <c r="K19" s="27"/>
      <c r="L19" s="28"/>
      <c r="M19" s="28"/>
      <c r="N19" s="28"/>
      <c r="O19" s="50" t="s">
        <v>20</v>
      </c>
      <c r="P19" s="142">
        <f>K14*P18+K15</f>
        <v>5.4334415584415572</v>
      </c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</row>
    <row r="20" spans="2:41" ht="15.75" thickBot="1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</row>
    <row r="21" spans="2:41" ht="15.75" thickBot="1" x14ac:dyDescent="0.3">
      <c r="B21" s="159" t="s">
        <v>28</v>
      </c>
      <c r="C21" s="160"/>
      <c r="D21" s="160"/>
      <c r="E21" s="160"/>
      <c r="F21" s="160"/>
      <c r="G21" s="160"/>
      <c r="H21" s="161"/>
      <c r="I21" s="5"/>
      <c r="J21" s="165" t="s">
        <v>45</v>
      </c>
      <c r="K21" s="166"/>
      <c r="L21" s="55">
        <f>D26</f>
        <v>0.55000000000000004</v>
      </c>
      <c r="M21" s="74"/>
      <c r="N21" s="74"/>
      <c r="O21" s="14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</row>
    <row r="22" spans="2:41" ht="15.75" thickBot="1" x14ac:dyDescent="0.3">
      <c r="B22" s="154" t="s">
        <v>27</v>
      </c>
      <c r="C22" s="155"/>
      <c r="D22" s="156"/>
      <c r="E22" s="101"/>
      <c r="F22" s="101"/>
      <c r="G22" s="101"/>
      <c r="H22" s="102"/>
      <c r="I22" s="5"/>
      <c r="J22" s="12"/>
      <c r="K22" s="31"/>
      <c r="L22" s="31"/>
      <c r="M22" s="31"/>
      <c r="N22" s="31"/>
      <c r="O22" s="32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</row>
    <row r="23" spans="2:41" x14ac:dyDescent="0.25">
      <c r="B23" s="9" t="s">
        <v>24</v>
      </c>
      <c r="C23" s="2" t="s">
        <v>10</v>
      </c>
      <c r="D23" s="45" t="s">
        <v>25</v>
      </c>
      <c r="E23" s="101"/>
      <c r="F23" s="101"/>
      <c r="G23" s="101"/>
      <c r="H23" s="102"/>
      <c r="I23" s="5"/>
      <c r="J23" s="167" t="s">
        <v>46</v>
      </c>
      <c r="K23" s="168"/>
      <c r="L23" s="38" t="s">
        <v>24</v>
      </c>
      <c r="M23" s="39" t="s">
        <v>10</v>
      </c>
      <c r="N23" s="39" t="s">
        <v>25</v>
      </c>
      <c r="O23" s="40" t="s">
        <v>26</v>
      </c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</row>
    <row r="24" spans="2:41" ht="15.75" thickBot="1" x14ac:dyDescent="0.3">
      <c r="B24" s="64">
        <v>3.1</v>
      </c>
      <c r="C24" s="65">
        <v>2.63</v>
      </c>
      <c r="D24" s="66">
        <v>2.65</v>
      </c>
      <c r="E24" s="101"/>
      <c r="F24" s="101"/>
      <c r="G24" s="101"/>
      <c r="H24" s="102"/>
      <c r="I24" s="5"/>
      <c r="J24" s="169"/>
      <c r="K24" s="170"/>
      <c r="L24" s="73">
        <v>1</v>
      </c>
      <c r="M24" s="71">
        <f>L21*(1+P19)-1</f>
        <v>2.5383928571428567</v>
      </c>
      <c r="N24" s="139">
        <f>P19-M24</f>
        <v>2.8950487012987005</v>
      </c>
      <c r="O24" s="72">
        <f>H18</f>
        <v>0.505</v>
      </c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</row>
    <row r="25" spans="2:41" ht="15.75" thickBot="1" x14ac:dyDescent="0.3">
      <c r="B25" s="19"/>
      <c r="C25" s="6"/>
      <c r="D25" s="6"/>
      <c r="E25" s="101"/>
      <c r="F25" s="101"/>
      <c r="G25" s="101"/>
      <c r="H25" s="102"/>
      <c r="I25" s="5"/>
      <c r="J25" s="5"/>
      <c r="K25" s="5"/>
      <c r="L25" s="5"/>
      <c r="M25" s="5"/>
      <c r="N25" s="5"/>
      <c r="O25" s="5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</row>
    <row r="26" spans="2:41" ht="15.75" thickBot="1" x14ac:dyDescent="0.3">
      <c r="B26" s="152" t="s">
        <v>22</v>
      </c>
      <c r="C26" s="153"/>
      <c r="D26" s="63">
        <v>0.55000000000000004</v>
      </c>
      <c r="E26" s="101"/>
      <c r="F26" s="101"/>
      <c r="G26" s="101"/>
      <c r="H26" s="102"/>
      <c r="I26" s="114"/>
      <c r="J26" s="103"/>
      <c r="K26" s="103"/>
      <c r="L26" s="103"/>
      <c r="M26" s="106"/>
      <c r="N26" s="106"/>
      <c r="O26" s="106"/>
      <c r="P26" s="106"/>
      <c r="Q26" s="107"/>
      <c r="R26" s="108"/>
      <c r="S26" s="108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</row>
    <row r="27" spans="2:41" ht="15.75" thickBot="1" x14ac:dyDescent="0.3">
      <c r="B27" s="12"/>
      <c r="C27" s="101"/>
      <c r="D27" s="30"/>
      <c r="E27" s="101"/>
      <c r="F27" s="101"/>
      <c r="G27" s="101"/>
      <c r="H27" s="102"/>
      <c r="I27" s="114"/>
      <c r="J27" s="103"/>
      <c r="K27" s="103"/>
      <c r="L27" s="103"/>
      <c r="M27" s="106"/>
      <c r="N27" s="106"/>
      <c r="O27" s="106"/>
      <c r="P27" s="106"/>
      <c r="Q27" s="107"/>
      <c r="R27" s="108"/>
      <c r="S27" s="108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</row>
    <row r="28" spans="2:41" ht="15.75" thickBot="1" x14ac:dyDescent="0.3">
      <c r="B28" s="46" t="s">
        <v>44</v>
      </c>
      <c r="C28" s="47" t="s">
        <v>21</v>
      </c>
      <c r="D28" s="47" t="s">
        <v>24</v>
      </c>
      <c r="E28" s="47" t="s">
        <v>10</v>
      </c>
      <c r="F28" s="47" t="s">
        <v>25</v>
      </c>
      <c r="G28" s="47" t="s">
        <v>26</v>
      </c>
      <c r="H28" s="48" t="s">
        <v>33</v>
      </c>
      <c r="I28" s="114"/>
      <c r="J28" s="103"/>
      <c r="K28" s="103"/>
      <c r="L28" s="103"/>
      <c r="M28" s="106"/>
      <c r="N28" s="106"/>
      <c r="O28" s="106"/>
      <c r="P28" s="106"/>
      <c r="Q28" s="107"/>
      <c r="R28" s="108"/>
      <c r="S28" s="108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</row>
    <row r="29" spans="2:41" x14ac:dyDescent="0.25">
      <c r="B29" s="56" t="s">
        <v>34</v>
      </c>
      <c r="C29" s="60">
        <f>K4</f>
        <v>3.5</v>
      </c>
      <c r="D29" s="57">
        <v>1</v>
      </c>
      <c r="E29" s="147">
        <f>$D$26*(1+C29)-1</f>
        <v>1.4750000000000001</v>
      </c>
      <c r="F29" s="147">
        <f>C29-E29</f>
        <v>2.0249999999999999</v>
      </c>
      <c r="G29" s="147">
        <f>B4</f>
        <v>0.35</v>
      </c>
      <c r="H29" s="148">
        <f>1000/((1/$B$24)+(E29/$C$24)+(F29/$D$24)+G29)</f>
        <v>500.60871755835478</v>
      </c>
      <c r="I29" s="114"/>
      <c r="J29" s="103"/>
      <c r="K29" s="103"/>
      <c r="L29" s="103"/>
      <c r="M29" s="106"/>
      <c r="N29" s="106"/>
      <c r="O29" s="106"/>
      <c r="P29" s="106"/>
      <c r="Q29" s="107"/>
      <c r="R29" s="108"/>
      <c r="S29" s="108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</row>
    <row r="30" spans="2:41" x14ac:dyDescent="0.25">
      <c r="B30" s="41" t="s">
        <v>23</v>
      </c>
      <c r="C30" s="61">
        <f>K5</f>
        <v>5</v>
      </c>
      <c r="D30" s="42">
        <v>1</v>
      </c>
      <c r="E30" s="43">
        <f t="shared" ref="E30:E31" si="10">$D$26*(1+C30)-1</f>
        <v>2.3000000000000003</v>
      </c>
      <c r="F30" s="43">
        <f t="shared" ref="F30:F31" si="11">C30-E30</f>
        <v>2.6999999999999997</v>
      </c>
      <c r="G30" s="43">
        <f>B5</f>
        <v>0.46</v>
      </c>
      <c r="H30" s="44">
        <f t="shared" ref="H30:H31" si="12">1000/(1/$B$24+E30/$C$24+F30/$D$24+G30)</f>
        <v>373.69580846915608</v>
      </c>
      <c r="I30" s="114"/>
      <c r="J30" s="103"/>
      <c r="K30" s="103"/>
      <c r="L30" s="103"/>
      <c r="M30" s="106"/>
      <c r="N30" s="106"/>
      <c r="O30" s="106"/>
      <c r="P30" s="106"/>
      <c r="Q30" s="107"/>
      <c r="R30" s="108"/>
      <c r="S30" s="108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</row>
    <row r="31" spans="2:41" ht="15.75" thickBot="1" x14ac:dyDescent="0.3">
      <c r="B31" s="58" t="s">
        <v>35</v>
      </c>
      <c r="C31" s="62">
        <f>K6</f>
        <v>7.5</v>
      </c>
      <c r="D31" s="59">
        <v>1</v>
      </c>
      <c r="E31" s="149">
        <f t="shared" si="10"/>
        <v>3.6750000000000007</v>
      </c>
      <c r="F31" s="149">
        <f t="shared" si="11"/>
        <v>3.8249999999999993</v>
      </c>
      <c r="G31" s="149">
        <f>B6</f>
        <v>0.68</v>
      </c>
      <c r="H31" s="150">
        <f t="shared" si="12"/>
        <v>260.19202915882011</v>
      </c>
      <c r="I31" s="114"/>
      <c r="J31" s="103"/>
      <c r="K31" s="103"/>
      <c r="L31" s="103"/>
      <c r="M31" s="106"/>
      <c r="N31" s="106"/>
      <c r="O31" s="106"/>
      <c r="P31" s="106"/>
      <c r="Q31" s="107"/>
      <c r="R31" s="108"/>
      <c r="S31" s="108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</row>
    <row r="32" spans="2:41" ht="15.75" thickBot="1" x14ac:dyDescent="0.3">
      <c r="B32" s="19"/>
      <c r="C32" s="6"/>
      <c r="D32" s="6"/>
      <c r="E32" s="6"/>
      <c r="F32" s="6"/>
      <c r="G32" s="6"/>
      <c r="H32" s="116"/>
      <c r="I32" s="114"/>
      <c r="J32" s="103"/>
      <c r="K32" s="103"/>
      <c r="L32" s="103"/>
      <c r="M32" s="106"/>
      <c r="N32" s="106"/>
      <c r="O32" s="106"/>
      <c r="P32" s="106"/>
      <c r="Q32" s="107"/>
      <c r="R32" s="108"/>
      <c r="S32" s="108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</row>
    <row r="33" spans="2:41" ht="15.75" thickBot="1" x14ac:dyDescent="0.3">
      <c r="B33" s="46" t="s">
        <v>1</v>
      </c>
      <c r="C33" s="47" t="s">
        <v>2</v>
      </c>
      <c r="D33" s="47" t="s">
        <v>3</v>
      </c>
      <c r="E33" s="47" t="s">
        <v>4</v>
      </c>
      <c r="F33" s="47" t="s">
        <v>6</v>
      </c>
      <c r="G33" s="47" t="s">
        <v>7</v>
      </c>
      <c r="H33" s="48" t="s">
        <v>8</v>
      </c>
      <c r="I33" s="114"/>
      <c r="J33" s="103"/>
      <c r="K33" s="103"/>
      <c r="L33" s="103"/>
      <c r="M33" s="106"/>
      <c r="N33" s="106"/>
      <c r="O33" s="106"/>
      <c r="P33" s="106"/>
      <c r="Q33" s="107"/>
      <c r="R33" s="108"/>
      <c r="S33" s="108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</row>
    <row r="34" spans="2:41" x14ac:dyDescent="0.25">
      <c r="B34" s="41">
        <v>1</v>
      </c>
      <c r="C34" s="43">
        <f>C29</f>
        <v>3.5</v>
      </c>
      <c r="D34" s="43">
        <f>1000/H29</f>
        <v>1.9975680904586572</v>
      </c>
      <c r="E34" s="43">
        <f>C34-$C$37</f>
        <v>-1.833333333333333</v>
      </c>
      <c r="F34" s="43">
        <f>E34^2</f>
        <v>3.3611111111111098</v>
      </c>
      <c r="G34" s="43">
        <f>D34-$D$37</f>
        <v>-0.84138412607312807</v>
      </c>
      <c r="H34" s="44">
        <f>E34*G34</f>
        <v>1.5425375644674013</v>
      </c>
      <c r="I34" s="114"/>
      <c r="J34" s="103"/>
      <c r="K34" s="103"/>
      <c r="L34" s="103"/>
      <c r="M34" s="106"/>
      <c r="N34" s="106"/>
      <c r="O34" s="106"/>
      <c r="P34" s="106"/>
      <c r="Q34" s="107"/>
      <c r="R34" s="108"/>
      <c r="S34" s="108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</row>
    <row r="35" spans="2:41" x14ac:dyDescent="0.25">
      <c r="B35" s="41">
        <v>2</v>
      </c>
      <c r="C35" s="43">
        <f t="shared" ref="C35:C36" si="13">C30</f>
        <v>5</v>
      </c>
      <c r="D35" s="43">
        <f t="shared" ref="D35:D36" si="14">1000/H30</f>
        <v>2.6759732845184896</v>
      </c>
      <c r="E35" s="43">
        <f t="shared" ref="E35:E36" si="15">C35-$C$37</f>
        <v>-0.33333333333333304</v>
      </c>
      <c r="F35" s="43">
        <f t="shared" ref="F35:F36" si="16">E35^2</f>
        <v>0.11111111111111091</v>
      </c>
      <c r="G35" s="43">
        <f t="shared" ref="G35:G36" si="17">D35-$D$37</f>
        <v>-0.16297893201329572</v>
      </c>
      <c r="H35" s="44">
        <f>E35*G35</f>
        <v>5.4326310671098527E-2</v>
      </c>
      <c r="I35" s="114"/>
      <c r="J35" s="103"/>
      <c r="K35" s="103"/>
      <c r="L35" s="103"/>
      <c r="M35" s="106"/>
      <c r="N35" s="106"/>
      <c r="O35" s="106"/>
      <c r="P35" s="106"/>
      <c r="Q35" s="107"/>
      <c r="R35" s="108"/>
      <c r="S35" s="108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</row>
    <row r="36" spans="2:41" ht="15.75" thickBot="1" x14ac:dyDescent="0.3">
      <c r="B36" s="41">
        <v>3</v>
      </c>
      <c r="C36" s="43">
        <f t="shared" si="13"/>
        <v>7.5</v>
      </c>
      <c r="D36" s="43">
        <f t="shared" si="14"/>
        <v>3.84331527461821</v>
      </c>
      <c r="E36" s="43">
        <f t="shared" si="15"/>
        <v>2.166666666666667</v>
      </c>
      <c r="F36" s="43">
        <f t="shared" si="16"/>
        <v>4.6944444444444455</v>
      </c>
      <c r="G36" s="43">
        <f t="shared" si="17"/>
        <v>1.0043630580864247</v>
      </c>
      <c r="H36" s="44">
        <f t="shared" ref="H36" si="18">E36*G36</f>
        <v>2.176119959187254</v>
      </c>
      <c r="I36" s="114"/>
      <c r="J36" s="103"/>
      <c r="K36" s="103"/>
      <c r="L36" s="103"/>
      <c r="M36" s="106"/>
      <c r="N36" s="106"/>
      <c r="O36" s="106"/>
      <c r="P36" s="106"/>
      <c r="Q36" s="107"/>
      <c r="R36" s="108"/>
      <c r="S36" s="108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18"/>
      <c r="AO36" s="109"/>
    </row>
    <row r="37" spans="2:41" ht="15.75" thickBot="1" x14ac:dyDescent="0.3">
      <c r="B37" s="99" t="s">
        <v>5</v>
      </c>
      <c r="C37" s="52">
        <f>AVERAGE(C34:C36)</f>
        <v>5.333333333333333</v>
      </c>
      <c r="D37" s="52">
        <f>AVERAGE(D34:D36)</f>
        <v>2.8389522165317853</v>
      </c>
      <c r="E37" s="100" t="s">
        <v>9</v>
      </c>
      <c r="F37" s="52">
        <f>SUM(F34:F36)</f>
        <v>8.1666666666666661</v>
      </c>
      <c r="G37" s="100" t="s">
        <v>9</v>
      </c>
      <c r="H37" s="117">
        <f>SUM(H34:H36)</f>
        <v>3.7729838343257538</v>
      </c>
      <c r="I37" s="114"/>
      <c r="J37" s="103"/>
      <c r="K37" s="103"/>
      <c r="L37" s="103"/>
      <c r="M37" s="106"/>
      <c r="N37" s="106"/>
      <c r="O37" s="106"/>
      <c r="P37" s="106"/>
      <c r="Q37" s="107"/>
      <c r="R37" s="108"/>
      <c r="S37" s="108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</row>
    <row r="38" spans="2:41" ht="15.75" thickBot="1" x14ac:dyDescent="0.3">
      <c r="B38" s="12"/>
      <c r="C38" s="101"/>
      <c r="D38" s="101"/>
      <c r="E38" s="101"/>
      <c r="F38" s="101"/>
      <c r="G38" s="101"/>
      <c r="H38" s="102"/>
      <c r="I38" s="114"/>
      <c r="J38" s="103"/>
      <c r="K38" s="103"/>
      <c r="L38" s="103"/>
      <c r="M38" s="106"/>
      <c r="N38" s="106"/>
      <c r="O38" s="106"/>
      <c r="P38" s="106"/>
      <c r="Q38" s="107"/>
      <c r="R38" s="108"/>
      <c r="S38" s="108"/>
      <c r="T38" s="109"/>
      <c r="U38" s="109"/>
      <c r="V38" s="109"/>
    </row>
    <row r="39" spans="2:41" x14ac:dyDescent="0.25">
      <c r="B39" s="11" t="s">
        <v>36</v>
      </c>
      <c r="C39" s="144">
        <f>H37/F37</f>
        <v>0.46199802052968419</v>
      </c>
      <c r="D39" s="101"/>
      <c r="E39" s="101"/>
      <c r="F39" s="101"/>
      <c r="G39" s="101"/>
      <c r="H39" s="102"/>
      <c r="I39" s="114"/>
      <c r="J39" s="103"/>
      <c r="K39" s="103"/>
      <c r="L39" s="103"/>
      <c r="M39" s="106"/>
      <c r="N39" s="106"/>
      <c r="O39" s="106"/>
      <c r="P39" s="106"/>
      <c r="Q39" s="107"/>
      <c r="R39" s="108"/>
      <c r="S39" s="108"/>
      <c r="T39" s="109"/>
      <c r="U39" s="109"/>
      <c r="V39" s="109"/>
    </row>
    <row r="40" spans="2:41" ht="15.75" thickBot="1" x14ac:dyDescent="0.3">
      <c r="B40" s="13" t="s">
        <v>37</v>
      </c>
      <c r="C40" s="146">
        <f>D37-C39*C37</f>
        <v>0.37496277370680309</v>
      </c>
      <c r="D40" s="101"/>
      <c r="E40" s="101"/>
      <c r="F40" s="101"/>
      <c r="G40" s="101"/>
      <c r="H40" s="102"/>
      <c r="I40" s="114"/>
      <c r="J40" s="103"/>
      <c r="K40" s="103"/>
      <c r="L40" s="103"/>
      <c r="M40" s="106"/>
      <c r="N40" s="106"/>
      <c r="O40" s="106"/>
      <c r="P40" s="106"/>
      <c r="Q40" s="107"/>
      <c r="R40" s="108"/>
      <c r="S40" s="108"/>
      <c r="T40" s="109"/>
      <c r="U40" s="109"/>
      <c r="V40" s="109"/>
    </row>
    <row r="41" spans="2:41" ht="15.75" thickBot="1" x14ac:dyDescent="0.3">
      <c r="B41" s="12"/>
      <c r="C41" s="101"/>
      <c r="D41" s="101"/>
      <c r="E41" s="101"/>
      <c r="F41" s="101"/>
      <c r="G41" s="101"/>
      <c r="H41" s="102"/>
      <c r="I41" s="114"/>
      <c r="J41" s="103"/>
      <c r="K41" s="103"/>
      <c r="L41" s="103"/>
      <c r="M41" s="106"/>
      <c r="N41" s="106"/>
      <c r="O41" s="106"/>
      <c r="P41" s="106"/>
      <c r="Q41" s="107"/>
      <c r="R41" s="108"/>
      <c r="S41" s="108"/>
      <c r="T41" s="109"/>
      <c r="U41" s="109"/>
      <c r="V41" s="109"/>
    </row>
    <row r="42" spans="2:41" ht="21.75" customHeight="1" x14ac:dyDescent="0.25">
      <c r="B42" s="12"/>
      <c r="C42" s="101"/>
      <c r="D42" s="101"/>
      <c r="E42" s="101"/>
      <c r="F42" s="101"/>
      <c r="G42" s="70" t="s">
        <v>21</v>
      </c>
      <c r="H42" s="151">
        <f>P19</f>
        <v>5.4334415584415572</v>
      </c>
      <c r="I42" s="114"/>
      <c r="J42" s="103"/>
      <c r="K42" s="103"/>
      <c r="L42" s="103"/>
      <c r="M42" s="106"/>
      <c r="N42" s="106"/>
      <c r="O42" s="106"/>
      <c r="P42" s="106"/>
      <c r="Q42" s="107"/>
      <c r="R42" s="108"/>
      <c r="S42" s="108"/>
      <c r="T42" s="109"/>
      <c r="U42" s="109"/>
      <c r="V42" s="109"/>
    </row>
    <row r="43" spans="2:41" s="69" customFormat="1" ht="33.75" customHeight="1" thickBot="1" x14ac:dyDescent="0.3">
      <c r="B43" s="67"/>
      <c r="C43" s="68"/>
      <c r="D43" s="68"/>
      <c r="E43" s="68"/>
      <c r="F43" s="68"/>
      <c r="G43" s="50" t="s">
        <v>43</v>
      </c>
      <c r="H43" s="142">
        <f>1000/(C40+C39*H42)</f>
        <v>346.59618066008767</v>
      </c>
      <c r="I43" s="115"/>
      <c r="J43" s="105"/>
      <c r="K43" s="105"/>
      <c r="L43" s="105"/>
      <c r="M43" s="110"/>
      <c r="N43" s="110"/>
      <c r="O43" s="110"/>
      <c r="P43" s="110"/>
      <c r="Q43" s="110"/>
      <c r="R43" s="111"/>
      <c r="S43" s="111"/>
      <c r="T43" s="112"/>
      <c r="U43" s="112"/>
      <c r="V43" s="112"/>
    </row>
    <row r="44" spans="2:41" x14ac:dyDescent="0.25">
      <c r="B44" s="6"/>
      <c r="C44" s="6"/>
      <c r="D44" s="10"/>
      <c r="E44" s="10"/>
      <c r="F44" s="10"/>
      <c r="G44" s="10"/>
      <c r="H44" s="10"/>
      <c r="I44" s="103"/>
      <c r="J44" s="103"/>
      <c r="K44" s="103"/>
      <c r="L44" s="103"/>
      <c r="M44" s="106"/>
      <c r="N44" s="106"/>
      <c r="O44" s="106"/>
      <c r="P44" s="106"/>
      <c r="Q44" s="107"/>
      <c r="R44" s="108"/>
      <c r="S44" s="108"/>
      <c r="T44" s="109"/>
      <c r="U44" s="109"/>
      <c r="V44" s="109"/>
    </row>
    <row r="45" spans="2:41" x14ac:dyDescent="0.25">
      <c r="I45" s="104"/>
      <c r="J45" s="104"/>
      <c r="K45" s="104"/>
      <c r="L45" s="104"/>
      <c r="M45" s="107"/>
      <c r="N45" s="107"/>
      <c r="O45" s="107"/>
      <c r="P45" s="106"/>
      <c r="Q45" s="107"/>
      <c r="R45" s="108"/>
      <c r="S45" s="108"/>
      <c r="T45" s="109"/>
      <c r="U45" s="109"/>
      <c r="V45" s="109"/>
    </row>
    <row r="46" spans="2:41" x14ac:dyDescent="0.25">
      <c r="I46" s="104"/>
      <c r="J46" s="104"/>
      <c r="K46" s="104"/>
      <c r="L46" s="104"/>
      <c r="M46" s="107"/>
      <c r="N46" s="107"/>
      <c r="O46" s="107"/>
      <c r="P46" s="106"/>
      <c r="Q46" s="107"/>
      <c r="R46" s="108"/>
      <c r="S46" s="108"/>
      <c r="T46" s="109"/>
      <c r="U46" s="109"/>
      <c r="V46" s="109"/>
    </row>
    <row r="47" spans="2:41" x14ac:dyDescent="0.25">
      <c r="I47" s="104"/>
      <c r="J47" s="104"/>
      <c r="K47" s="104"/>
      <c r="L47" s="104"/>
      <c r="M47" s="107"/>
      <c r="N47" s="107"/>
      <c r="O47" s="107"/>
      <c r="P47" s="106"/>
      <c r="Q47" s="107"/>
      <c r="R47" s="108"/>
      <c r="S47" s="108"/>
      <c r="T47" s="109"/>
      <c r="U47" s="109"/>
      <c r="V47" s="109"/>
    </row>
    <row r="48" spans="2:41" x14ac:dyDescent="0.25">
      <c r="I48" s="104"/>
      <c r="J48" s="104"/>
      <c r="K48" s="104"/>
      <c r="L48" s="104"/>
      <c r="M48" s="107"/>
      <c r="N48" s="107"/>
      <c r="O48" s="107"/>
      <c r="P48" s="106"/>
      <c r="Q48" s="107"/>
      <c r="R48" s="108"/>
      <c r="S48" s="108"/>
      <c r="T48" s="109"/>
      <c r="U48" s="109"/>
      <c r="V48" s="109"/>
    </row>
    <row r="49" spans="9:22" x14ac:dyDescent="0.25">
      <c r="I49" s="104"/>
      <c r="J49" s="104"/>
      <c r="K49" s="104"/>
      <c r="L49" s="104"/>
      <c r="M49" s="107"/>
      <c r="N49" s="107"/>
      <c r="O49" s="107"/>
      <c r="P49" s="106"/>
      <c r="Q49" s="107"/>
      <c r="R49" s="108"/>
      <c r="S49" s="108"/>
      <c r="T49" s="109"/>
      <c r="U49" s="109"/>
      <c r="V49" s="109"/>
    </row>
    <row r="50" spans="9:22" x14ac:dyDescent="0.25">
      <c r="I50" s="104"/>
      <c r="J50" s="104"/>
      <c r="K50" s="104"/>
      <c r="L50" s="104"/>
      <c r="M50" s="107"/>
      <c r="N50" s="107"/>
      <c r="O50" s="107"/>
      <c r="P50" s="106"/>
      <c r="Q50" s="107"/>
      <c r="R50" s="108"/>
      <c r="S50" s="108"/>
      <c r="T50" s="109"/>
      <c r="U50" s="109"/>
      <c r="V50" s="109"/>
    </row>
    <row r="51" spans="9:22" x14ac:dyDescent="0.25">
      <c r="M51" s="7"/>
      <c r="N51" s="7"/>
      <c r="O51" s="7"/>
      <c r="P51" s="8"/>
      <c r="Q51" s="7"/>
      <c r="R51" s="109"/>
      <c r="S51" s="109"/>
      <c r="T51" s="109"/>
      <c r="U51" s="109"/>
      <c r="V51" s="109"/>
    </row>
  </sheetData>
  <mergeCells count="9">
    <mergeCell ref="B26:C26"/>
    <mergeCell ref="B22:D22"/>
    <mergeCell ref="F4:H4"/>
    <mergeCell ref="B2:H2"/>
    <mergeCell ref="J2:P2"/>
    <mergeCell ref="B21:H21"/>
    <mergeCell ref="F6:H6"/>
    <mergeCell ref="J21:K21"/>
    <mergeCell ref="J23:K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H11" sqref="H11"/>
    </sheetView>
  </sheetViews>
  <sheetFormatPr defaultRowHeight="15" x14ac:dyDescent="0.25"/>
  <cols>
    <col min="1" max="1" width="27.7109375" customWidth="1"/>
    <col min="2" max="2" width="7.7109375" style="87" customWidth="1"/>
    <col min="3" max="3" width="7.7109375" customWidth="1"/>
    <col min="4" max="4" width="9.5703125" customWidth="1"/>
    <col min="5" max="7" width="15.140625" customWidth="1"/>
    <col min="8" max="8" width="22.140625" customWidth="1"/>
    <col min="9" max="11" width="15.140625" customWidth="1"/>
  </cols>
  <sheetData>
    <row r="1" spans="1:13" ht="15.75" thickBot="1" x14ac:dyDescent="0.3">
      <c r="A1" s="171" t="s">
        <v>47</v>
      </c>
      <c r="B1" s="171"/>
      <c r="C1" s="171"/>
      <c r="D1" s="171"/>
      <c r="E1" s="171"/>
      <c r="F1" s="171"/>
      <c r="G1" s="1"/>
      <c r="H1" s="1"/>
      <c r="I1" s="1"/>
      <c r="J1" s="1"/>
      <c r="K1" s="1"/>
    </row>
    <row r="2" spans="1:13" x14ac:dyDescent="0.25">
      <c r="A2" s="123" t="s">
        <v>48</v>
      </c>
      <c r="B2" s="124">
        <v>1</v>
      </c>
      <c r="C2" s="125">
        <v>4.3</v>
      </c>
      <c r="D2" s="1"/>
      <c r="E2" s="1"/>
      <c r="F2" s="1"/>
      <c r="G2" s="1"/>
      <c r="H2" s="1"/>
      <c r="I2" s="1"/>
      <c r="J2" s="1"/>
      <c r="K2" s="1"/>
    </row>
    <row r="3" spans="1:13" ht="15.75" thickBot="1" x14ac:dyDescent="0.3">
      <c r="A3" s="126" t="s">
        <v>49</v>
      </c>
      <c r="B3" s="122">
        <v>0.53</v>
      </c>
      <c r="C3" s="127"/>
      <c r="D3" s="1"/>
      <c r="E3" s="1"/>
      <c r="F3" s="1"/>
      <c r="G3" s="1"/>
      <c r="H3" s="1"/>
      <c r="I3" s="1"/>
      <c r="J3" s="1"/>
      <c r="K3" s="1"/>
    </row>
    <row r="4" spans="1:13" x14ac:dyDescent="0.25">
      <c r="A4" s="126" t="s">
        <v>50</v>
      </c>
      <c r="B4" s="2">
        <v>1</v>
      </c>
      <c r="C4" s="127"/>
      <c r="D4" s="1"/>
      <c r="E4" s="75" t="s">
        <v>51</v>
      </c>
      <c r="F4" s="76">
        <v>50</v>
      </c>
      <c r="G4" s="88" t="s">
        <v>52</v>
      </c>
      <c r="H4" s="1"/>
      <c r="I4" s="77" t="s">
        <v>53</v>
      </c>
      <c r="J4" s="78" t="s">
        <v>54</v>
      </c>
      <c r="K4" s="79" t="s">
        <v>55</v>
      </c>
    </row>
    <row r="5" spans="1:13" x14ac:dyDescent="0.25">
      <c r="A5" s="126" t="s">
        <v>56</v>
      </c>
      <c r="B5" s="138">
        <f>B3*(1+C2)-1</f>
        <v>1.8090000000000002</v>
      </c>
      <c r="C5" s="127"/>
      <c r="D5" s="1"/>
      <c r="E5" s="80" t="s">
        <v>57</v>
      </c>
      <c r="F5" s="81">
        <f>((F4*B5)/B12)*1000*B14</f>
        <v>84420</v>
      </c>
      <c r="G5" s="90" t="s">
        <v>58</v>
      </c>
      <c r="H5" s="1"/>
      <c r="I5" s="9" t="s">
        <v>57</v>
      </c>
      <c r="J5" s="89">
        <f>E14/B19</f>
        <v>3.9830148619957537</v>
      </c>
      <c r="K5" s="91">
        <f>E19/B23</f>
        <v>3.8592</v>
      </c>
    </row>
    <row r="6" spans="1:13" x14ac:dyDescent="0.25">
      <c r="A6" s="126" t="s">
        <v>59</v>
      </c>
      <c r="B6" s="89">
        <f>C2-B5</f>
        <v>2.4909999999999997</v>
      </c>
      <c r="C6" s="127"/>
      <c r="D6" s="1"/>
      <c r="E6" s="80" t="s">
        <v>60</v>
      </c>
      <c r="F6" s="81">
        <f>((F4*B6)/B13)*1000</f>
        <v>83033.333333333314</v>
      </c>
      <c r="G6" s="90" t="s">
        <v>58</v>
      </c>
      <c r="H6" s="1"/>
      <c r="I6" s="9" t="s">
        <v>60</v>
      </c>
      <c r="J6" s="89">
        <f>E15/B19</f>
        <v>3.9175906267201372</v>
      </c>
      <c r="K6" s="92">
        <f>E20/B23</f>
        <v>3.7958095238095226</v>
      </c>
    </row>
    <row r="7" spans="1:13" ht="15.75" thickBot="1" x14ac:dyDescent="0.3">
      <c r="A7" s="128" t="s">
        <v>61</v>
      </c>
      <c r="B7" s="129">
        <v>0.6</v>
      </c>
      <c r="C7" s="130"/>
      <c r="D7" s="1"/>
      <c r="E7" s="82" t="s">
        <v>62</v>
      </c>
      <c r="F7" s="83">
        <f>F4*B7-F4*B5*B15</f>
        <v>26.382000000000001</v>
      </c>
      <c r="G7" s="93" t="s">
        <v>63</v>
      </c>
      <c r="H7" s="1"/>
      <c r="I7" s="94" t="s">
        <v>64</v>
      </c>
      <c r="J7" s="95">
        <f>F7*1000/(B18*B19)</f>
        <v>1.2447275300778486</v>
      </c>
      <c r="K7" s="84" t="s">
        <v>65</v>
      </c>
    </row>
    <row r="8" spans="1:13" ht="15.75" thickBot="1" x14ac:dyDescent="0.3">
      <c r="A8" s="1"/>
      <c r="B8" s="96"/>
      <c r="C8" s="1"/>
      <c r="D8" s="1"/>
      <c r="E8" s="96"/>
      <c r="F8" s="1"/>
      <c r="G8" s="119"/>
      <c r="H8" s="1"/>
      <c r="I8" s="1"/>
      <c r="J8" s="1"/>
      <c r="K8" s="1"/>
    </row>
    <row r="9" spans="1:13" ht="15.75" thickBot="1" x14ac:dyDescent="0.3">
      <c r="A9" s="1" t="s">
        <v>85</v>
      </c>
      <c r="B9" s="131">
        <v>3.1</v>
      </c>
      <c r="C9" s="1"/>
      <c r="D9" s="1"/>
      <c r="E9" s="1"/>
      <c r="F9" s="96"/>
      <c r="G9" s="1"/>
      <c r="H9" s="1"/>
      <c r="I9" s="1"/>
      <c r="J9" s="1"/>
      <c r="K9" s="1"/>
    </row>
    <row r="10" spans="1:13" x14ac:dyDescent="0.25">
      <c r="A10" s="136" t="s">
        <v>82</v>
      </c>
      <c r="B10" s="122">
        <v>2.63</v>
      </c>
      <c r="C10" s="132" t="s">
        <v>67</v>
      </c>
      <c r="D10" s="1"/>
      <c r="E10" s="1"/>
      <c r="F10" s="96"/>
      <c r="G10" s="1"/>
      <c r="H10" s="1"/>
      <c r="I10" s="1"/>
      <c r="J10" s="1"/>
      <c r="K10" s="1"/>
      <c r="L10" s="1"/>
      <c r="M10" s="1"/>
    </row>
    <row r="11" spans="1:13" ht="15.75" thickBot="1" x14ac:dyDescent="0.3">
      <c r="A11" s="137" t="s">
        <v>83</v>
      </c>
      <c r="B11" s="122">
        <v>2.65</v>
      </c>
      <c r="C11" s="127" t="s">
        <v>67</v>
      </c>
      <c r="D11" s="1"/>
      <c r="E11" s="1"/>
      <c r="F11" s="96"/>
      <c r="G11" s="1"/>
      <c r="H11" s="1" t="s">
        <v>84</v>
      </c>
      <c r="I11" s="96">
        <f>1000/((1/B9)+(B5/B10)+(B6/B11)+B7)</f>
        <v>392.09330599148194</v>
      </c>
      <c r="J11" s="1" t="s">
        <v>86</v>
      </c>
      <c r="K11" s="1"/>
    </row>
    <row r="12" spans="1:13" ht="15.75" thickBot="1" x14ac:dyDescent="0.3">
      <c r="A12" s="123" t="s">
        <v>66</v>
      </c>
      <c r="B12" s="131">
        <v>1.5</v>
      </c>
      <c r="C12" s="132" t="s">
        <v>67</v>
      </c>
      <c r="D12" s="1"/>
      <c r="E12" s="1"/>
      <c r="F12" s="1"/>
      <c r="G12" s="1"/>
      <c r="H12" s="1"/>
      <c r="I12" s="1"/>
      <c r="J12" s="1"/>
      <c r="K12" s="1"/>
    </row>
    <row r="13" spans="1:13" ht="15.75" thickBot="1" x14ac:dyDescent="0.3">
      <c r="A13" s="126" t="s">
        <v>68</v>
      </c>
      <c r="B13" s="122">
        <v>1.5</v>
      </c>
      <c r="C13" s="127" t="s">
        <v>67</v>
      </c>
      <c r="D13" s="1"/>
      <c r="E13" s="172" t="s">
        <v>69</v>
      </c>
      <c r="F13" s="173"/>
      <c r="G13" s="1"/>
      <c r="H13" s="1" t="s">
        <v>87</v>
      </c>
      <c r="I13" s="1">
        <v>5.28</v>
      </c>
      <c r="J13" s="96" t="s">
        <v>90</v>
      </c>
      <c r="K13" s="1"/>
    </row>
    <row r="14" spans="1:13" x14ac:dyDescent="0.25">
      <c r="A14" s="126" t="s">
        <v>70</v>
      </c>
      <c r="B14" s="122">
        <v>1.4</v>
      </c>
      <c r="C14" s="127"/>
      <c r="D14" s="1"/>
      <c r="E14" s="134">
        <f>F5/B18</f>
        <v>119.49044585987261</v>
      </c>
      <c r="F14" s="85" t="s">
        <v>71</v>
      </c>
      <c r="G14" s="1"/>
      <c r="H14" s="1" t="s">
        <v>88</v>
      </c>
      <c r="I14" s="1">
        <v>1.05</v>
      </c>
      <c r="J14" s="96"/>
      <c r="K14" s="1"/>
    </row>
    <row r="15" spans="1:13" ht="15.75" thickBot="1" x14ac:dyDescent="0.3">
      <c r="A15" s="128" t="s">
        <v>72</v>
      </c>
      <c r="B15" s="133">
        <f>(B14-1)/10</f>
        <v>3.9999999999999994E-2</v>
      </c>
      <c r="C15" s="130"/>
      <c r="D15" s="1"/>
      <c r="E15" s="135">
        <f>F6/B18</f>
        <v>117.52771880160412</v>
      </c>
      <c r="F15" s="86" t="s">
        <v>71</v>
      </c>
      <c r="G15" s="1"/>
      <c r="H15" s="1" t="s">
        <v>89</v>
      </c>
      <c r="I15" s="1">
        <f>I13*I14</f>
        <v>5.5440000000000005</v>
      </c>
      <c r="J15" s="96" t="s">
        <v>90</v>
      </c>
      <c r="K15" s="1"/>
    </row>
    <row r="16" spans="1:13" ht="15.75" thickBot="1" x14ac:dyDescent="0.3">
      <c r="A16" s="1"/>
      <c r="B16" s="1"/>
      <c r="C16" s="1"/>
      <c r="D16" s="1"/>
      <c r="E16" s="120"/>
      <c r="F16" s="121"/>
      <c r="G16" s="1"/>
      <c r="H16" s="1"/>
      <c r="I16" s="1"/>
      <c r="J16" s="96"/>
      <c r="K16" s="1"/>
    </row>
    <row r="17" spans="1:11" ht="15.75" thickBot="1" x14ac:dyDescent="0.3">
      <c r="A17" s="123" t="s">
        <v>73</v>
      </c>
      <c r="B17" s="131">
        <v>30</v>
      </c>
      <c r="C17" s="132" t="s">
        <v>71</v>
      </c>
      <c r="D17" s="1"/>
      <c r="E17" s="1"/>
      <c r="F17" s="1"/>
      <c r="G17" s="1"/>
      <c r="H17" s="1" t="s">
        <v>91</v>
      </c>
      <c r="I17" s="96">
        <f>(I15*I11)/50</f>
        <v>43.475305768335517</v>
      </c>
      <c r="J17" s="1" t="s">
        <v>92</v>
      </c>
      <c r="K17" s="1"/>
    </row>
    <row r="18" spans="1:11" ht="15.75" thickBot="1" x14ac:dyDescent="0.3">
      <c r="A18" s="126" t="s">
        <v>74</v>
      </c>
      <c r="B18" s="122">
        <f>(3.14*(B17^2))/4</f>
        <v>706.5</v>
      </c>
      <c r="C18" s="127" t="s">
        <v>75</v>
      </c>
      <c r="D18" s="1"/>
      <c r="E18" s="174" t="s">
        <v>76</v>
      </c>
      <c r="F18" s="173"/>
      <c r="G18" s="1"/>
      <c r="H18" s="1"/>
      <c r="I18" s="1"/>
      <c r="J18" s="1"/>
      <c r="K18" s="1"/>
    </row>
    <row r="19" spans="1:11" x14ac:dyDescent="0.25">
      <c r="A19" s="126" t="s">
        <v>77</v>
      </c>
      <c r="B19" s="122">
        <v>30</v>
      </c>
      <c r="C19" s="127" t="s">
        <v>71</v>
      </c>
      <c r="D19" s="1"/>
      <c r="E19" s="134">
        <f>F5/B22</f>
        <v>135.072</v>
      </c>
      <c r="F19" s="85" t="s">
        <v>71</v>
      </c>
      <c r="G19" s="1"/>
      <c r="H19" s="1" t="s">
        <v>93</v>
      </c>
      <c r="I19" s="1"/>
      <c r="J19" s="1"/>
      <c r="K19" s="1"/>
    </row>
    <row r="20" spans="1:11" ht="15.75" thickBot="1" x14ac:dyDescent="0.3">
      <c r="A20" s="126" t="s">
        <v>78</v>
      </c>
      <c r="B20" s="122">
        <v>25</v>
      </c>
      <c r="C20" s="127" t="s">
        <v>71</v>
      </c>
      <c r="D20" s="1"/>
      <c r="E20" s="97">
        <f>F6/B22</f>
        <v>132.8533333333333</v>
      </c>
      <c r="F20" s="98"/>
      <c r="G20" s="1"/>
      <c r="H20" s="1"/>
      <c r="I20" s="1"/>
      <c r="J20" s="1"/>
      <c r="K20" s="1"/>
    </row>
    <row r="21" spans="1:11" x14ac:dyDescent="0.25">
      <c r="A21" s="126" t="s">
        <v>79</v>
      </c>
      <c r="B21" s="122">
        <v>25</v>
      </c>
      <c r="C21" s="127" t="s">
        <v>71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26" t="s">
        <v>80</v>
      </c>
      <c r="B22" s="122">
        <f>B20*B21</f>
        <v>625</v>
      </c>
      <c r="C22" s="127" t="s">
        <v>75</v>
      </c>
      <c r="D22" s="1"/>
      <c r="E22" s="1"/>
      <c r="F22" s="1"/>
      <c r="G22" s="1"/>
      <c r="H22" s="1"/>
      <c r="I22" s="1"/>
      <c r="J22" s="1"/>
      <c r="K22" s="1"/>
    </row>
    <row r="23" spans="1:11" ht="15.75" thickBot="1" x14ac:dyDescent="0.3">
      <c r="A23" s="128" t="s">
        <v>81</v>
      </c>
      <c r="B23" s="129">
        <v>35</v>
      </c>
      <c r="C23" s="130" t="s">
        <v>71</v>
      </c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</row>
  </sheetData>
  <mergeCells count="3">
    <mergeCell ref="A1:F1"/>
    <mergeCell ref="E13:F13"/>
    <mergeCell ref="E18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Leis de comportamento IPT</vt:lpstr>
      <vt:lpstr>Calculo de padiolas neto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Salgado</dc:creator>
  <cp:lastModifiedBy>Deriks Karlay Dias Costa</cp:lastModifiedBy>
  <cp:lastPrinted>2016-04-04T21:29:28Z</cp:lastPrinted>
  <dcterms:created xsi:type="dcterms:W3CDTF">2016-03-30T00:39:20Z</dcterms:created>
  <dcterms:modified xsi:type="dcterms:W3CDTF">2022-09-11T15:07:01Z</dcterms:modified>
</cp:coreProperties>
</file>