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ramos/Desktop/Capital Fraud/"/>
    </mc:Choice>
  </mc:AlternateContent>
  <xr:revisionPtr revIDLastSave="0" documentId="13_ncr:1_{D8F107C1-DE58-B24F-8E7C-BAF3D81B367A}" xr6:coauthVersionLast="46" xr6:coauthVersionMax="46" xr10:uidLastSave="{00000000-0000-0000-0000-000000000000}"/>
  <bookViews>
    <workbookView xWindow="0" yWindow="0" windowWidth="26880" windowHeight="16800" xr2:uid="{91BB8119-081D-D440-84B6-9C45289D53CF}"/>
  </bookViews>
  <sheets>
    <sheet name="Base" sheetId="1" r:id="rId1"/>
    <sheet name="Bear" sheetId="3" r:id="rId2"/>
    <sheet name="Bu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K7" i="4"/>
  <c r="H21" i="4"/>
  <c r="H14" i="4" s="1"/>
  <c r="H21" i="3"/>
  <c r="H14" i="3" s="1"/>
  <c r="H13" i="3"/>
  <c r="H21" i="1"/>
  <c r="I21" i="1" s="1"/>
  <c r="J21" i="1" s="1"/>
  <c r="K21" i="1" s="1"/>
  <c r="L21" i="1" s="1"/>
  <c r="M21" i="1" s="1"/>
  <c r="B45" i="4"/>
  <c r="G29" i="4"/>
  <c r="F29" i="4"/>
  <c r="H27" i="4"/>
  <c r="I27" i="4" s="1"/>
  <c r="J27" i="4" s="1"/>
  <c r="K27" i="4" s="1"/>
  <c r="L27" i="4" s="1"/>
  <c r="M27" i="4" s="1"/>
  <c r="H26" i="4"/>
  <c r="I26" i="4" s="1"/>
  <c r="J26" i="4" s="1"/>
  <c r="K26" i="4" s="1"/>
  <c r="L26" i="4" s="1"/>
  <c r="M26" i="4" s="1"/>
  <c r="H25" i="4"/>
  <c r="I25" i="4" s="1"/>
  <c r="J25" i="4" s="1"/>
  <c r="K25" i="4" s="1"/>
  <c r="L25" i="4" s="1"/>
  <c r="M25" i="4" s="1"/>
  <c r="H24" i="4"/>
  <c r="G18" i="4"/>
  <c r="F18" i="4"/>
  <c r="G10" i="4"/>
  <c r="G31" i="4" s="1"/>
  <c r="G35" i="4" s="1"/>
  <c r="F10" i="4"/>
  <c r="F19" i="4" s="1"/>
  <c r="H9" i="4"/>
  <c r="I9" i="4" s="1"/>
  <c r="H8" i="4"/>
  <c r="I8" i="4" s="1"/>
  <c r="B45" i="3"/>
  <c r="G29" i="3"/>
  <c r="F29" i="3"/>
  <c r="H27" i="3"/>
  <c r="I27" i="3" s="1"/>
  <c r="J27" i="3" s="1"/>
  <c r="K27" i="3" s="1"/>
  <c r="L27" i="3" s="1"/>
  <c r="M27" i="3" s="1"/>
  <c r="H26" i="3"/>
  <c r="I26" i="3" s="1"/>
  <c r="J26" i="3" s="1"/>
  <c r="K26" i="3" s="1"/>
  <c r="L26" i="3" s="1"/>
  <c r="M26" i="3" s="1"/>
  <c r="H25" i="3"/>
  <c r="I25" i="3" s="1"/>
  <c r="J25" i="3" s="1"/>
  <c r="K25" i="3" s="1"/>
  <c r="L25" i="3" s="1"/>
  <c r="M25" i="3" s="1"/>
  <c r="H24" i="3"/>
  <c r="G18" i="3"/>
  <c r="F18" i="3"/>
  <c r="G10" i="3"/>
  <c r="F10" i="3"/>
  <c r="H9" i="3"/>
  <c r="I9" i="3" s="1"/>
  <c r="H8" i="3"/>
  <c r="I8" i="3" s="1"/>
  <c r="H7" i="3"/>
  <c r="B45" i="1"/>
  <c r="H27" i="1"/>
  <c r="I27" i="1" s="1"/>
  <c r="J27" i="1" s="1"/>
  <c r="K27" i="1" s="1"/>
  <c r="L27" i="1" s="1"/>
  <c r="M27" i="1" s="1"/>
  <c r="H26" i="1"/>
  <c r="I26" i="1" s="1"/>
  <c r="J26" i="1" s="1"/>
  <c r="K26" i="1" s="1"/>
  <c r="L26" i="1" s="1"/>
  <c r="M26" i="1" s="1"/>
  <c r="H25" i="1"/>
  <c r="I25" i="1" s="1"/>
  <c r="J25" i="1" s="1"/>
  <c r="K25" i="1" s="1"/>
  <c r="H24" i="1"/>
  <c r="I24" i="1" s="1"/>
  <c r="J24" i="1" s="1"/>
  <c r="K24" i="1" s="1"/>
  <c r="L24" i="1" s="1"/>
  <c r="M24" i="1" s="1"/>
  <c r="H13" i="1"/>
  <c r="H9" i="1"/>
  <c r="H16" i="1" s="1"/>
  <c r="H8" i="1"/>
  <c r="I8" i="1" s="1"/>
  <c r="G29" i="1"/>
  <c r="F29" i="1"/>
  <c r="G18" i="1"/>
  <c r="F18" i="1"/>
  <c r="G10" i="1"/>
  <c r="F10" i="1"/>
  <c r="H7" i="1" l="1"/>
  <c r="I7" i="1" s="1"/>
  <c r="J7" i="1" s="1"/>
  <c r="K7" i="1" s="1"/>
  <c r="L7" i="1" s="1"/>
  <c r="M7" i="1" s="1"/>
  <c r="H14" i="1"/>
  <c r="I21" i="4"/>
  <c r="J21" i="4" s="1"/>
  <c r="K21" i="4" s="1"/>
  <c r="L21" i="4" s="1"/>
  <c r="M21" i="4" s="1"/>
  <c r="H6" i="4"/>
  <c r="I6" i="4" s="1"/>
  <c r="J6" i="4" s="1"/>
  <c r="H7" i="4"/>
  <c r="I7" i="4" s="1"/>
  <c r="L7" i="4" s="1"/>
  <c r="M7" i="4" s="1"/>
  <c r="H13" i="4"/>
  <c r="I13" i="4" s="1"/>
  <c r="I21" i="3"/>
  <c r="I14" i="3"/>
  <c r="H6" i="3"/>
  <c r="I6" i="3" s="1"/>
  <c r="I14" i="1"/>
  <c r="H6" i="1"/>
  <c r="I6" i="1" s="1"/>
  <c r="J6" i="1" s="1"/>
  <c r="K6" i="1" s="1"/>
  <c r="L6" i="1" s="1"/>
  <c r="M6" i="1" s="1"/>
  <c r="I13" i="1"/>
  <c r="J13" i="1" s="1"/>
  <c r="J14" i="1"/>
  <c r="K14" i="1" s="1"/>
  <c r="L14" i="1" s="1"/>
  <c r="M14" i="1" s="1"/>
  <c r="F19" i="3"/>
  <c r="G19" i="3"/>
  <c r="H29" i="4"/>
  <c r="I16" i="4"/>
  <c r="J9" i="4"/>
  <c r="J8" i="4"/>
  <c r="I15" i="4"/>
  <c r="J13" i="4"/>
  <c r="H15" i="4"/>
  <c r="H18" i="4" s="1"/>
  <c r="I14" i="4"/>
  <c r="J14" i="4" s="1"/>
  <c r="K14" i="4" s="1"/>
  <c r="L14" i="4" s="1"/>
  <c r="M14" i="4" s="1"/>
  <c r="F31" i="4"/>
  <c r="F35" i="4" s="1"/>
  <c r="I24" i="4"/>
  <c r="G19" i="4"/>
  <c r="H16" i="4"/>
  <c r="H29" i="3"/>
  <c r="H10" i="3"/>
  <c r="J8" i="3"/>
  <c r="I15" i="3"/>
  <c r="I16" i="3"/>
  <c r="J9" i="3"/>
  <c r="I7" i="3"/>
  <c r="F31" i="3"/>
  <c r="F35" i="3" s="1"/>
  <c r="G31" i="3"/>
  <c r="G35" i="3" s="1"/>
  <c r="I24" i="3"/>
  <c r="H15" i="3"/>
  <c r="H16" i="3"/>
  <c r="J29" i="1"/>
  <c r="I29" i="1"/>
  <c r="H29" i="1"/>
  <c r="L25" i="1"/>
  <c r="K29" i="1"/>
  <c r="F19" i="1"/>
  <c r="H15" i="1"/>
  <c r="H18" i="1" s="1"/>
  <c r="J8" i="1"/>
  <c r="I15" i="1"/>
  <c r="I9" i="1"/>
  <c r="G31" i="1"/>
  <c r="G35" i="1" s="1"/>
  <c r="F31" i="1"/>
  <c r="F35" i="1" s="1"/>
  <c r="G19" i="1"/>
  <c r="H10" i="4" l="1"/>
  <c r="I10" i="4"/>
  <c r="H10" i="1"/>
  <c r="H31" i="1" s="1"/>
  <c r="H34" i="1" s="1"/>
  <c r="H35" i="1" s="1"/>
  <c r="J21" i="3"/>
  <c r="J6" i="3" s="1"/>
  <c r="I13" i="3"/>
  <c r="I10" i="1"/>
  <c r="I29" i="4"/>
  <c r="J24" i="4"/>
  <c r="H19" i="4"/>
  <c r="H31" i="4"/>
  <c r="K13" i="4"/>
  <c r="K8" i="4"/>
  <c r="J15" i="4"/>
  <c r="K6" i="4"/>
  <c r="J10" i="4"/>
  <c r="J16" i="4"/>
  <c r="K9" i="4"/>
  <c r="I18" i="4"/>
  <c r="H18" i="3"/>
  <c r="H19" i="3" s="1"/>
  <c r="K8" i="3"/>
  <c r="J15" i="3"/>
  <c r="I29" i="3"/>
  <c r="J24" i="3"/>
  <c r="I10" i="3"/>
  <c r="K9" i="3"/>
  <c r="J16" i="3"/>
  <c r="M25" i="1"/>
  <c r="M29" i="1" s="1"/>
  <c r="L29" i="1"/>
  <c r="K13" i="1"/>
  <c r="J9" i="1"/>
  <c r="I16" i="1"/>
  <c r="I18" i="1" s="1"/>
  <c r="K8" i="1"/>
  <c r="J15" i="1"/>
  <c r="H19" i="1" l="1"/>
  <c r="J13" i="3"/>
  <c r="I18" i="3"/>
  <c r="K21" i="3"/>
  <c r="J14" i="3"/>
  <c r="K14" i="3" s="1"/>
  <c r="J7" i="3"/>
  <c r="I19" i="1"/>
  <c r="I31" i="4"/>
  <c r="I34" i="4" s="1"/>
  <c r="I35" i="4" s="1"/>
  <c r="J18" i="4"/>
  <c r="J19" i="4" s="1"/>
  <c r="L9" i="4"/>
  <c r="K16" i="4"/>
  <c r="I19" i="4"/>
  <c r="L13" i="4"/>
  <c r="K10" i="4"/>
  <c r="L6" i="4"/>
  <c r="L8" i="4"/>
  <c r="K15" i="4"/>
  <c r="K24" i="4"/>
  <c r="J29" i="4"/>
  <c r="H34" i="4"/>
  <c r="H35" i="4" s="1"/>
  <c r="H31" i="3"/>
  <c r="H34" i="3" s="1"/>
  <c r="H35" i="3" s="1"/>
  <c r="I19" i="3"/>
  <c r="I31" i="3"/>
  <c r="L8" i="3"/>
  <c r="K15" i="3"/>
  <c r="L9" i="3"/>
  <c r="K16" i="3"/>
  <c r="K24" i="3"/>
  <c r="J29" i="3"/>
  <c r="I31" i="1"/>
  <c r="K9" i="1"/>
  <c r="K10" i="1" s="1"/>
  <c r="J16" i="1"/>
  <c r="J18" i="1" s="1"/>
  <c r="J10" i="1"/>
  <c r="L13" i="1"/>
  <c r="K15" i="1"/>
  <c r="L8" i="1"/>
  <c r="K7" i="3" l="1"/>
  <c r="J10" i="3"/>
  <c r="L21" i="3"/>
  <c r="L14" i="3" s="1"/>
  <c r="K13" i="3"/>
  <c r="K6" i="3"/>
  <c r="J18" i="3"/>
  <c r="J31" i="4"/>
  <c r="J34" i="4" s="1"/>
  <c r="J35" i="4" s="1"/>
  <c r="K18" i="4"/>
  <c r="K19" i="4" s="1"/>
  <c r="M8" i="4"/>
  <c r="M15" i="4" s="1"/>
  <c r="L15" i="4"/>
  <c r="L16" i="4"/>
  <c r="M9" i="4"/>
  <c r="M16" i="4" s="1"/>
  <c r="L24" i="4"/>
  <c r="K29" i="4"/>
  <c r="K31" i="4" s="1"/>
  <c r="L10" i="4"/>
  <c r="M6" i="4"/>
  <c r="L18" i="4"/>
  <c r="M13" i="4"/>
  <c r="J31" i="1"/>
  <c r="J34" i="1" s="1"/>
  <c r="J35" i="1" s="1"/>
  <c r="K29" i="3"/>
  <c r="L24" i="3"/>
  <c r="L16" i="3"/>
  <c r="M9" i="3"/>
  <c r="M16" i="3" s="1"/>
  <c r="I34" i="3"/>
  <c r="I35" i="3" s="1"/>
  <c r="M8" i="3"/>
  <c r="M15" i="3" s="1"/>
  <c r="L15" i="3"/>
  <c r="I34" i="1"/>
  <c r="I35" i="1" s="1"/>
  <c r="M13" i="1"/>
  <c r="L15" i="1"/>
  <c r="M8" i="1"/>
  <c r="J19" i="1"/>
  <c r="L9" i="1"/>
  <c r="K16" i="1"/>
  <c r="K18" i="1" s="1"/>
  <c r="K19" i="1" s="1"/>
  <c r="J31" i="3" l="1"/>
  <c r="J34" i="3" s="1"/>
  <c r="J35" i="3" s="1"/>
  <c r="L13" i="3"/>
  <c r="K10" i="3"/>
  <c r="M21" i="3"/>
  <c r="L6" i="3"/>
  <c r="J19" i="3"/>
  <c r="K18" i="3"/>
  <c r="K19" i="3" s="1"/>
  <c r="L7" i="3"/>
  <c r="M7" i="3" s="1"/>
  <c r="M18" i="4"/>
  <c r="K34" i="4"/>
  <c r="K35" i="4" s="1"/>
  <c r="M24" i="4"/>
  <c r="M29" i="4" s="1"/>
  <c r="L29" i="4"/>
  <c r="L31" i="4" s="1"/>
  <c r="M10" i="4"/>
  <c r="L19" i="4"/>
  <c r="L18" i="3"/>
  <c r="M24" i="3"/>
  <c r="M29" i="3" s="1"/>
  <c r="L29" i="3"/>
  <c r="K31" i="1"/>
  <c r="M9" i="1"/>
  <c r="M16" i="1" s="1"/>
  <c r="L16" i="1"/>
  <c r="L18" i="1" s="1"/>
  <c r="L10" i="1"/>
  <c r="M15" i="1"/>
  <c r="K31" i="3" l="1"/>
  <c r="K34" i="3" s="1"/>
  <c r="K35" i="3" s="1"/>
  <c r="L10" i="3"/>
  <c r="L19" i="3" s="1"/>
  <c r="M6" i="3"/>
  <c r="M10" i="3" s="1"/>
  <c r="M13" i="3"/>
  <c r="M14" i="3"/>
  <c r="L34" i="4"/>
  <c r="L35" i="4" s="1"/>
  <c r="M19" i="4"/>
  <c r="M31" i="4"/>
  <c r="B41" i="4"/>
  <c r="K34" i="1"/>
  <c r="K35" i="1" s="1"/>
  <c r="L19" i="1"/>
  <c r="L31" i="1"/>
  <c r="M10" i="1"/>
  <c r="M18" i="1"/>
  <c r="L31" i="3" l="1"/>
  <c r="L34" i="3" s="1"/>
  <c r="L35" i="3" s="1"/>
  <c r="M18" i="3"/>
  <c r="B38" i="4"/>
  <c r="B40" i="4" s="1"/>
  <c r="B43" i="4" s="1"/>
  <c r="B46" i="4" s="1"/>
  <c r="M34" i="4"/>
  <c r="M35" i="4" s="1"/>
  <c r="L34" i="1"/>
  <c r="L35" i="1" s="1"/>
  <c r="M31" i="1"/>
  <c r="B41" i="1"/>
  <c r="M19" i="1"/>
  <c r="M19" i="3" l="1"/>
  <c r="B41" i="3"/>
  <c r="M31" i="3"/>
  <c r="M34" i="1"/>
  <c r="M35" i="1" s="1"/>
  <c r="B38" i="1"/>
  <c r="B40" i="1" s="1"/>
  <c r="B43" i="1" s="1"/>
  <c r="B46" i="1" s="1"/>
  <c r="B38" i="3" l="1"/>
  <c r="B40" i="3" s="1"/>
  <c r="B43" i="3" s="1"/>
  <c r="B46" i="3" s="1"/>
  <c r="M34" i="3"/>
  <c r="M35" i="3" s="1"/>
</calcChain>
</file>

<file path=xl/sharedStrings.xml><?xml version="1.0" encoding="utf-8"?>
<sst xmlns="http://schemas.openxmlformats.org/spreadsheetml/2006/main" count="189" uniqueCount="75">
  <si>
    <t>Transaction Based Revenue</t>
  </si>
  <si>
    <t>Revenue</t>
  </si>
  <si>
    <t>Services and Subscription Based Revenue</t>
  </si>
  <si>
    <t>Hardware Revenue</t>
  </si>
  <si>
    <t>Bitcoin</t>
  </si>
  <si>
    <t>$ Thousands</t>
  </si>
  <si>
    <t>Cost of Revenue</t>
  </si>
  <si>
    <t>Transaction Based Costs</t>
  </si>
  <si>
    <t>Subscription and Services Based Costs</t>
  </si>
  <si>
    <t>Hardware Costs</t>
  </si>
  <si>
    <t>Bitcoin Costs</t>
  </si>
  <si>
    <t>Total Revenue</t>
  </si>
  <si>
    <t>Amort. of Acquired Technology</t>
  </si>
  <si>
    <t>Total Cost of Revenue</t>
  </si>
  <si>
    <t>Assumptions</t>
  </si>
  <si>
    <t xml:space="preserve">Growth in line with Gross Payment Volume </t>
  </si>
  <si>
    <t>Gross Payment Volume</t>
  </si>
  <si>
    <t>25% growth '21-'24, 20% '25-'26</t>
  </si>
  <si>
    <t>Cash App MAU (millions)</t>
  </si>
  <si>
    <t xml:space="preserve">2021 (E) </t>
  </si>
  <si>
    <t>2022 (E)</t>
  </si>
  <si>
    <t xml:space="preserve">2023 (E) </t>
  </si>
  <si>
    <t xml:space="preserve">2024 (E) </t>
  </si>
  <si>
    <t xml:space="preserve">2025 (E) </t>
  </si>
  <si>
    <t xml:space="preserve">2026 (E) </t>
  </si>
  <si>
    <t>80% growth in '21-'22, 25% in '23-'26</t>
  </si>
  <si>
    <t>Gross Margin</t>
  </si>
  <si>
    <t>Growth in line with GPV</t>
  </si>
  <si>
    <t>50% subsidized</t>
  </si>
  <si>
    <t>Take Rate of 2% in '21, 1% in '22-'23, .75% '24-'26</t>
  </si>
  <si>
    <t>Non-material</t>
  </si>
  <si>
    <t>25% growth post-pandemic ('21-'23), 15% growth ('24-'26)</t>
  </si>
  <si>
    <t>Assuming by 2024 people with FICO scores under 650 near total saturation</t>
  </si>
  <si>
    <t>Product Development (R&amp;D)</t>
  </si>
  <si>
    <t>30% growth '21-'23, 20% growth '24-'26</t>
  </si>
  <si>
    <t>Growth Percentages</t>
  </si>
  <si>
    <t>Sales and Marketing</t>
  </si>
  <si>
    <t>General and Administrative</t>
  </si>
  <si>
    <t>Acq. Amortization of Customer Assets</t>
  </si>
  <si>
    <t>Transaction and Loan Losses</t>
  </si>
  <si>
    <t>25% growth per year</t>
  </si>
  <si>
    <t>Follows 80% of Cash App MAU growth rate/ considering loan losses manageable</t>
  </si>
  <si>
    <t>Total OPEX</t>
  </si>
  <si>
    <t>Operating Income</t>
  </si>
  <si>
    <t>Interest Expense</t>
  </si>
  <si>
    <t>Provison for Income Taxes</t>
  </si>
  <si>
    <t>Net Income</t>
  </si>
  <si>
    <t>Assume a 15% effective Tax Rate</t>
  </si>
  <si>
    <t>Excluded one time sales</t>
  </si>
  <si>
    <t>Hard code of the effective interest rate liability</t>
  </si>
  <si>
    <t xml:space="preserve">FY 2026 Operating Income </t>
  </si>
  <si>
    <t>EV/EBITDA Multiple</t>
  </si>
  <si>
    <t>EV</t>
  </si>
  <si>
    <t>Cash and Cash Equivalents (~50% of Gross Profit)</t>
  </si>
  <si>
    <t>LTD (Constant)</t>
  </si>
  <si>
    <t>Market Capitalization</t>
  </si>
  <si>
    <t>Annual Diluation</t>
  </si>
  <si>
    <t>Shares Outstanding 2026</t>
  </si>
  <si>
    <t>Stock Price</t>
  </si>
  <si>
    <t>20% growth '21-'24, 15% '25-'26</t>
  </si>
  <si>
    <t>50% growth in '21-'22, 25% in '23-'26</t>
  </si>
  <si>
    <t>Take Rate of 1.75% in '21, .75% in '22-'23, .5% '24-'26</t>
  </si>
  <si>
    <t>70% growth '21-'22, 35% '23-'25, 20% '26</t>
  </si>
  <si>
    <t>Follows 90% of Cash App MAU growth rate/ considering loan losses manageable</t>
  </si>
  <si>
    <t>Assume a 21% effective Tax Rate</t>
  </si>
  <si>
    <t>Growth in line with Cash App MAU, .8% of GPV for Square Capital (Loan Origination), 8% growth for consumer lending/tax prep</t>
  </si>
  <si>
    <t>100% growth in '21-'22, 50% in '23-'26</t>
  </si>
  <si>
    <t>25% growth post-pandemic ('21-'23), 10% growth ('24-'26)</t>
  </si>
  <si>
    <t>60% growth '21-'22, 30% '23-'25, 15% '26</t>
  </si>
  <si>
    <t>Follows 60% of Cash App MAU growth rate/ considering loan losses manageable</t>
  </si>
  <si>
    <t>80% growth '21-'22, 50% '23-'25, 25% '26</t>
  </si>
  <si>
    <t>25% growth post-pandemic ('21-'23), 5% growth ('24-'26)</t>
  </si>
  <si>
    <t>Growth in line with Cash App MAU, .7% of GPV for Square Capital (Loan Orgination), 2% growth for consumer lending/tax prep</t>
  </si>
  <si>
    <t>Growth in line with Cash App MAU, .6% of GPV for Square Capital (Loan Origination), 1% growth for consumer lending/tax prep</t>
  </si>
  <si>
    <t>30% growth '21-'23, 19% growth '24-'26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</si>
</sst>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B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6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6" fontId="2" fillId="2" borderId="0" xfId="0" applyNumberFormat="1" applyFont="1" applyFill="1"/>
    <xf numFmtId="0" fontId="0" fillId="2" borderId="0" xfId="0" applyFill="1"/>
    <xf numFmtId="0" fontId="3" fillId="2" borderId="0" xfId="0" applyFont="1" applyFill="1"/>
    <xf numFmtId="0" fontId="2" fillId="0" borderId="0" xfId="0" applyFont="1" applyBorder="1"/>
    <xf numFmtId="0" fontId="2" fillId="0" borderId="0" xfId="0" applyFont="1" applyFill="1" applyBorder="1"/>
    <xf numFmtId="10" fontId="0" fillId="0" borderId="0" xfId="0" applyNumberFormat="1" applyBorder="1"/>
    <xf numFmtId="0" fontId="0" fillId="3" borderId="0" xfId="0" applyFill="1"/>
    <xf numFmtId="0" fontId="2" fillId="0" borderId="1" xfId="0" applyFont="1" applyFill="1" applyBorder="1"/>
    <xf numFmtId="0" fontId="0" fillId="0" borderId="0" xfId="0" applyFill="1"/>
    <xf numFmtId="6" fontId="2" fillId="4" borderId="0" xfId="0" applyNumberFormat="1" applyFont="1" applyFill="1"/>
    <xf numFmtId="6" fontId="0" fillId="4" borderId="0" xfId="0" applyNumberFormat="1" applyFill="1"/>
    <xf numFmtId="0" fontId="3" fillId="4" borderId="0" xfId="0" applyFont="1" applyFill="1"/>
    <xf numFmtId="0" fontId="0" fillId="4" borderId="0" xfId="0" applyFill="1"/>
    <xf numFmtId="9" fontId="0" fillId="4" borderId="0" xfId="2" applyFont="1" applyFill="1"/>
    <xf numFmtId="10" fontId="0" fillId="4" borderId="0" xfId="2" applyNumberFormat="1" applyFont="1" applyFill="1"/>
    <xf numFmtId="0" fontId="0" fillId="3" borderId="0" xfId="0" applyFont="1" applyFill="1"/>
    <xf numFmtId="0" fontId="0" fillId="5" borderId="0" xfId="0" applyFill="1"/>
    <xf numFmtId="9" fontId="0" fillId="5" borderId="0" xfId="2" applyFont="1" applyFill="1"/>
    <xf numFmtId="0" fontId="2" fillId="3" borderId="0" xfId="0" applyFont="1" applyFill="1"/>
    <xf numFmtId="165" fontId="0" fillId="4" borderId="0" xfId="2" applyNumberFormat="1" applyFont="1" applyFill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2EFDB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A610-1549-2B46-9959-860E505A67AF}">
  <dimension ref="A4:N46"/>
  <sheetViews>
    <sheetView tabSelected="1" workbookViewId="0">
      <selection activeCell="D8" sqref="D8"/>
    </sheetView>
  </sheetViews>
  <sheetFormatPr baseColWidth="10" defaultRowHeight="16" x14ac:dyDescent="0.2"/>
  <cols>
    <col min="1" max="1" width="42.5" bestFit="1" customWidth="1"/>
    <col min="2" max="2" width="108" bestFit="1" customWidth="1"/>
    <col min="3" max="5" width="10.83203125" customWidth="1"/>
    <col min="6" max="8" width="16" bestFit="1" customWidth="1"/>
    <col min="9" max="10" width="14.1640625" bestFit="1" customWidth="1"/>
    <col min="11" max="11" width="15" bestFit="1" customWidth="1"/>
    <col min="12" max="13" width="14" bestFit="1" customWidth="1"/>
  </cols>
  <sheetData>
    <row r="4" spans="1:13" x14ac:dyDescent="0.2">
      <c r="A4" s="3" t="s">
        <v>5</v>
      </c>
      <c r="B4" s="12" t="s">
        <v>14</v>
      </c>
      <c r="C4" s="21" t="s">
        <v>35</v>
      </c>
      <c r="D4" s="21"/>
      <c r="E4" s="22"/>
    </row>
    <row r="5" spans="1:13" x14ac:dyDescent="0.2">
      <c r="A5" s="2" t="s">
        <v>1</v>
      </c>
      <c r="B5" s="14"/>
      <c r="C5" s="23"/>
      <c r="D5" s="23"/>
      <c r="E5" s="23"/>
      <c r="F5" s="5">
        <v>2019</v>
      </c>
      <c r="G5" s="5">
        <v>2020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</row>
    <row r="6" spans="1:13" x14ac:dyDescent="0.2">
      <c r="A6" t="s">
        <v>0</v>
      </c>
      <c r="B6" s="13" t="s">
        <v>15</v>
      </c>
      <c r="C6" s="24"/>
      <c r="D6" s="24"/>
      <c r="E6" s="24"/>
      <c r="F6" s="4">
        <v>3081074</v>
      </c>
      <c r="G6" s="4">
        <v>3294978</v>
      </c>
      <c r="H6" s="7">
        <f>(H21/G21)*G6</f>
        <v>4118722.5</v>
      </c>
      <c r="I6" s="7">
        <f>(I21/H21)*H6</f>
        <v>5148403.125</v>
      </c>
      <c r="J6" s="7">
        <f t="shared" ref="J6:M6" si="0">(J21/I21)*I6</f>
        <v>5663243.4375</v>
      </c>
      <c r="K6" s="7">
        <f t="shared" si="0"/>
        <v>6229567.7812500009</v>
      </c>
      <c r="L6" s="7">
        <f t="shared" si="0"/>
        <v>6852524.5593750011</v>
      </c>
      <c r="M6" s="7">
        <f t="shared" si="0"/>
        <v>7537777.0153125022</v>
      </c>
    </row>
    <row r="7" spans="1:13" x14ac:dyDescent="0.2">
      <c r="A7" t="s">
        <v>2</v>
      </c>
      <c r="B7" s="13" t="s">
        <v>72</v>
      </c>
      <c r="C7" s="31">
        <v>7.0000000000000001E-3</v>
      </c>
      <c r="D7" s="25">
        <v>0.02</v>
      </c>
      <c r="E7" s="24"/>
      <c r="F7" s="4">
        <v>1031456</v>
      </c>
      <c r="G7" s="4">
        <v>1539403</v>
      </c>
      <c r="H7" s="7">
        <f>(H22/G22*G7)*(1+$D$7)+H21*$C$7</f>
        <v>3076169.33</v>
      </c>
      <c r="I7" s="7">
        <f t="shared" ref="I7:M7" si="1">(I22/H22*H7)*(1+$D$7)+I21*$C$7</f>
        <v>4758130.868675</v>
      </c>
      <c r="J7" s="7">
        <f t="shared" si="1"/>
        <v>6743597.5365816671</v>
      </c>
      <c r="K7" s="7">
        <f t="shared" si="1"/>
        <v>8823188.2604258545</v>
      </c>
      <c r="L7" s="7">
        <f t="shared" si="1"/>
        <v>12181236.772227779</v>
      </c>
      <c r="M7" s="7">
        <f t="shared" si="1"/>
        <v>15051432.118340077</v>
      </c>
    </row>
    <row r="8" spans="1:13" x14ac:dyDescent="0.2">
      <c r="A8" t="s">
        <v>3</v>
      </c>
      <c r="B8" s="13" t="s">
        <v>17</v>
      </c>
      <c r="C8" s="25">
        <v>0.25</v>
      </c>
      <c r="D8" s="25">
        <v>0.2</v>
      </c>
      <c r="E8" s="24"/>
      <c r="F8" s="4">
        <v>84505</v>
      </c>
      <c r="G8" s="4">
        <v>91654</v>
      </c>
      <c r="H8" s="7">
        <f>G8*(1+$C$8)</f>
        <v>114567.5</v>
      </c>
      <c r="I8" s="7">
        <f t="shared" ref="I8:K8" si="2">H8*(1+$C$8)</f>
        <v>143209.375</v>
      </c>
      <c r="J8" s="7">
        <f t="shared" si="2"/>
        <v>179011.71875</v>
      </c>
      <c r="K8" s="7">
        <f t="shared" si="2"/>
        <v>223764.6484375</v>
      </c>
      <c r="L8" s="7">
        <f>K8*(1+D8)</f>
        <v>268517.578125</v>
      </c>
      <c r="M8" s="7">
        <f>L8*(1+E8)</f>
        <v>268517.578125</v>
      </c>
    </row>
    <row r="9" spans="1:13" x14ac:dyDescent="0.2">
      <c r="A9" t="s">
        <v>4</v>
      </c>
      <c r="B9" s="13" t="s">
        <v>25</v>
      </c>
      <c r="C9" s="25">
        <v>0.8</v>
      </c>
      <c r="D9" s="25">
        <v>0.25</v>
      </c>
      <c r="E9" s="24"/>
      <c r="F9" s="4">
        <v>516465</v>
      </c>
      <c r="G9" s="4">
        <v>4571543</v>
      </c>
      <c r="H9" s="7">
        <f>G9*(1+$C$9)</f>
        <v>8228777.4000000004</v>
      </c>
      <c r="I9" s="7">
        <f>H9*(1+$C$9)</f>
        <v>14811799.32</v>
      </c>
      <c r="J9" s="7">
        <f>I9*(1+$D$9)</f>
        <v>18514749.149999999</v>
      </c>
      <c r="K9" s="7">
        <f t="shared" ref="K9:L9" si="3">J9*(1+$D$9)</f>
        <v>23143436.4375</v>
      </c>
      <c r="L9" s="7">
        <f t="shared" si="3"/>
        <v>28929295.546875</v>
      </c>
      <c r="M9" s="7">
        <f>L9*(1+$D$9)</f>
        <v>36161619.43359375</v>
      </c>
    </row>
    <row r="10" spans="1:13" x14ac:dyDescent="0.2">
      <c r="A10" s="11" t="s">
        <v>11</v>
      </c>
      <c r="B10" s="19"/>
      <c r="C10" s="19"/>
      <c r="D10" s="19"/>
      <c r="E10" s="19"/>
      <c r="F10" s="8">
        <f>SUM(F6:F9)</f>
        <v>4713500</v>
      </c>
      <c r="G10" s="8">
        <f>SUM(G6:G9)</f>
        <v>9497578</v>
      </c>
      <c r="H10" s="8">
        <f t="shared" ref="H10:M10" si="4">SUM(H6:H9)</f>
        <v>15538236.73</v>
      </c>
      <c r="I10" s="8">
        <f t="shared" si="4"/>
        <v>24861542.688675001</v>
      </c>
      <c r="J10" s="8">
        <f t="shared" si="4"/>
        <v>31100601.842831664</v>
      </c>
      <c r="K10" s="8">
        <f t="shared" si="4"/>
        <v>38419957.127613351</v>
      </c>
      <c r="L10" s="8">
        <f t="shared" si="4"/>
        <v>48231574.456602782</v>
      </c>
      <c r="M10" s="8">
        <f t="shared" si="4"/>
        <v>59019346.145371333</v>
      </c>
    </row>
    <row r="11" spans="1:13" x14ac:dyDescent="0.2">
      <c r="B11" s="20"/>
      <c r="C11" s="20"/>
      <c r="D11" s="20"/>
      <c r="E11" s="20"/>
    </row>
    <row r="12" spans="1:13" x14ac:dyDescent="0.2">
      <c r="A12" s="2" t="s">
        <v>6</v>
      </c>
      <c r="B12" s="14"/>
      <c r="C12" s="23"/>
      <c r="D12" s="23"/>
      <c r="E12" s="23"/>
    </row>
    <row r="13" spans="1:13" x14ac:dyDescent="0.2">
      <c r="A13" t="s">
        <v>7</v>
      </c>
      <c r="B13" s="13" t="s">
        <v>27</v>
      </c>
      <c r="C13" s="24"/>
      <c r="D13" s="24"/>
      <c r="E13" s="24"/>
      <c r="F13" s="4">
        <v>1937971</v>
      </c>
      <c r="G13" s="4">
        <v>1911848</v>
      </c>
      <c r="H13" s="7">
        <f>G13*(H21/G21)</f>
        <v>2389810</v>
      </c>
      <c r="I13" s="7">
        <f t="shared" ref="I13:M13" si="5">H13*(I21/H21)</f>
        <v>2987262.5</v>
      </c>
      <c r="J13" s="7">
        <f t="shared" si="5"/>
        <v>3285988.7500000005</v>
      </c>
      <c r="K13" s="7">
        <f t="shared" si="5"/>
        <v>3614587.6250000009</v>
      </c>
      <c r="L13" s="7">
        <f t="shared" si="5"/>
        <v>3976046.3875000011</v>
      </c>
      <c r="M13" s="7">
        <f t="shared" si="5"/>
        <v>4373651.026250002</v>
      </c>
    </row>
    <row r="14" spans="1:13" x14ac:dyDescent="0.2">
      <c r="A14" t="s">
        <v>8</v>
      </c>
      <c r="B14" s="13" t="s">
        <v>27</v>
      </c>
      <c r="C14" s="24"/>
      <c r="D14" s="24"/>
      <c r="E14" s="24"/>
      <c r="F14" s="4">
        <v>234270</v>
      </c>
      <c r="G14" s="6">
        <v>222712</v>
      </c>
      <c r="H14" s="7">
        <f>G14*(H21/G21)</f>
        <v>278390</v>
      </c>
      <c r="I14" s="7">
        <f t="shared" ref="I14:M14" si="6">H14*(I21/H21)</f>
        <v>347987.5</v>
      </c>
      <c r="J14" s="7">
        <f t="shared" si="6"/>
        <v>382786.25000000006</v>
      </c>
      <c r="K14" s="7">
        <f t="shared" si="6"/>
        <v>421064.87500000012</v>
      </c>
      <c r="L14" s="7">
        <f t="shared" si="6"/>
        <v>463171.36250000016</v>
      </c>
      <c r="M14" s="7">
        <f t="shared" si="6"/>
        <v>509488.4987500002</v>
      </c>
    </row>
    <row r="15" spans="1:13" x14ac:dyDescent="0.2">
      <c r="A15" t="s">
        <v>9</v>
      </c>
      <c r="B15" s="13" t="s">
        <v>28</v>
      </c>
      <c r="C15" s="25">
        <v>0.5</v>
      </c>
      <c r="D15" s="24"/>
      <c r="E15" s="24"/>
      <c r="F15" s="4">
        <v>136285</v>
      </c>
      <c r="G15" s="4">
        <v>143901</v>
      </c>
      <c r="H15" s="7">
        <f>H8*1.5</f>
        <v>171851.25</v>
      </c>
      <c r="I15" s="7">
        <f t="shared" ref="I15:M15" si="7">I8*1.5</f>
        <v>214814.0625</v>
      </c>
      <c r="J15" s="7">
        <f t="shared" si="7"/>
        <v>268517.578125</v>
      </c>
      <c r="K15" s="7">
        <f t="shared" si="7"/>
        <v>335646.97265625</v>
      </c>
      <c r="L15" s="7">
        <f t="shared" si="7"/>
        <v>402776.3671875</v>
      </c>
      <c r="M15" s="7">
        <f t="shared" si="7"/>
        <v>402776.3671875</v>
      </c>
    </row>
    <row r="16" spans="1:13" x14ac:dyDescent="0.2">
      <c r="A16" t="s">
        <v>10</v>
      </c>
      <c r="B16" s="13" t="s">
        <v>29</v>
      </c>
      <c r="C16" s="26">
        <v>0.02</v>
      </c>
      <c r="D16" s="26">
        <v>0.01</v>
      </c>
      <c r="E16" s="26">
        <v>7.4999999999999997E-3</v>
      </c>
      <c r="F16" s="4">
        <v>508239</v>
      </c>
      <c r="G16" s="4">
        <v>4474534</v>
      </c>
      <c r="H16" s="7">
        <f>H9*(1-C16)</f>
        <v>8064201.852</v>
      </c>
      <c r="I16" s="7">
        <f>I9*(1-D16)</f>
        <v>14663681.3268</v>
      </c>
      <c r="J16" s="7">
        <f>J9*(1-$E$16)</f>
        <v>18375888.531374998</v>
      </c>
      <c r="K16" s="7">
        <f t="shared" ref="K16:M16" si="8">K9*(1-$E$16)</f>
        <v>22969860.66421875</v>
      </c>
      <c r="L16" s="7">
        <f t="shared" si="8"/>
        <v>28712325.830273438</v>
      </c>
      <c r="M16" s="7">
        <f t="shared" si="8"/>
        <v>35890407.287841797</v>
      </c>
    </row>
    <row r="17" spans="1:14" x14ac:dyDescent="0.2">
      <c r="A17" t="s">
        <v>12</v>
      </c>
      <c r="B17" s="13" t="s">
        <v>30</v>
      </c>
      <c r="C17" s="24"/>
      <c r="D17" s="24"/>
      <c r="E17" s="24"/>
      <c r="F17" s="4">
        <v>6950</v>
      </c>
      <c r="G17" s="4">
        <v>11174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4" x14ac:dyDescent="0.2">
      <c r="A18" s="11" t="s">
        <v>13</v>
      </c>
      <c r="B18" s="19"/>
      <c r="C18" s="19"/>
      <c r="D18" s="19"/>
      <c r="E18" s="19"/>
      <c r="F18" s="10">
        <f>SUM(F13:F17)</f>
        <v>2823715</v>
      </c>
      <c r="G18" s="10">
        <f>SUM(G13:G17)</f>
        <v>6764169</v>
      </c>
      <c r="H18" s="10">
        <f t="shared" ref="H18:M18" si="9">SUM(H13:H17)</f>
        <v>10904253.102</v>
      </c>
      <c r="I18" s="10">
        <f t="shared" si="9"/>
        <v>18213745.3893</v>
      </c>
      <c r="J18" s="10">
        <f t="shared" si="9"/>
        <v>22313181.109499998</v>
      </c>
      <c r="K18" s="10">
        <f t="shared" si="9"/>
        <v>27341160.136875</v>
      </c>
      <c r="L18" s="10">
        <f t="shared" si="9"/>
        <v>33554319.947460938</v>
      </c>
      <c r="M18" s="10">
        <f t="shared" si="9"/>
        <v>41176323.180029303</v>
      </c>
    </row>
    <row r="19" spans="1:14" x14ac:dyDescent="0.2">
      <c r="A19" s="15" t="s">
        <v>26</v>
      </c>
      <c r="B19" s="16"/>
      <c r="C19" s="16"/>
      <c r="D19" s="16"/>
      <c r="E19" s="16"/>
      <c r="F19" s="17">
        <f>(F10-F18)/F10</f>
        <v>0.4009303065662459</v>
      </c>
      <c r="G19" s="17">
        <f>(G10-G18)/G10</f>
        <v>0.28780063717297188</v>
      </c>
      <c r="H19" s="17">
        <f t="shared" ref="H19:M19" si="10">(H10-H18)/H10</f>
        <v>0.29823098389620173</v>
      </c>
      <c r="I19" s="17">
        <f t="shared" si="10"/>
        <v>0.26739279145389577</v>
      </c>
      <c r="J19" s="17">
        <f t="shared" si="10"/>
        <v>0.28254825349487783</v>
      </c>
      <c r="K19" s="17">
        <f t="shared" si="10"/>
        <v>0.28836047249974028</v>
      </c>
      <c r="L19" s="17">
        <f t="shared" si="10"/>
        <v>0.30430801139091912</v>
      </c>
      <c r="M19" s="17">
        <f t="shared" si="10"/>
        <v>0.30232498546142217</v>
      </c>
    </row>
    <row r="20" spans="1:14" x14ac:dyDescent="0.2">
      <c r="A20" s="1"/>
      <c r="B20" s="1"/>
      <c r="C20" s="1"/>
      <c r="D20" s="1"/>
      <c r="E20" s="1"/>
    </row>
    <row r="21" spans="1:14" x14ac:dyDescent="0.2">
      <c r="A21" t="s">
        <v>16</v>
      </c>
      <c r="B21" s="18" t="s">
        <v>67</v>
      </c>
      <c r="C21" s="25">
        <v>0.25</v>
      </c>
      <c r="D21" s="25">
        <v>0.1</v>
      </c>
      <c r="E21" s="24"/>
      <c r="F21" s="4">
        <v>106239000</v>
      </c>
      <c r="G21" s="4">
        <v>112295000</v>
      </c>
      <c r="H21" s="4">
        <f>G21*(1+$C$21)</f>
        <v>140368750</v>
      </c>
      <c r="I21" s="4">
        <f>H21*(1+$C$21)</f>
        <v>175460937.5</v>
      </c>
      <c r="J21" s="4">
        <f>I21*(1+$D$21)</f>
        <v>193007031.25000003</v>
      </c>
      <c r="K21" s="4">
        <f t="shared" ref="K21:M21" si="11">J21*(1+$D$21)</f>
        <v>212307734.37500006</v>
      </c>
      <c r="L21" s="4">
        <f t="shared" si="11"/>
        <v>233538507.81250009</v>
      </c>
      <c r="M21" s="4">
        <f t="shared" si="11"/>
        <v>256892358.59375012</v>
      </c>
    </row>
    <row r="22" spans="1:14" x14ac:dyDescent="0.2">
      <c r="A22" t="s">
        <v>18</v>
      </c>
      <c r="B22" s="18" t="s">
        <v>32</v>
      </c>
      <c r="C22" s="24"/>
      <c r="D22" s="24"/>
      <c r="E22" s="24"/>
      <c r="F22">
        <v>24</v>
      </c>
      <c r="G22">
        <v>36</v>
      </c>
      <c r="H22">
        <v>48</v>
      </c>
      <c r="I22">
        <v>54</v>
      </c>
      <c r="J22">
        <v>60</v>
      </c>
      <c r="K22">
        <v>64</v>
      </c>
      <c r="L22">
        <v>75</v>
      </c>
      <c r="M22">
        <v>80</v>
      </c>
    </row>
    <row r="24" spans="1:14" x14ac:dyDescent="0.2">
      <c r="A24" s="1" t="s">
        <v>33</v>
      </c>
      <c r="B24" s="18" t="s">
        <v>34</v>
      </c>
      <c r="C24" s="25">
        <v>0.3</v>
      </c>
      <c r="D24" s="25">
        <v>0.2</v>
      </c>
      <c r="E24" s="24"/>
      <c r="F24" s="4">
        <v>670606</v>
      </c>
      <c r="G24" s="4">
        <v>881826</v>
      </c>
      <c r="H24" s="7">
        <f>G24*(1+$C$24)</f>
        <v>1146373.8</v>
      </c>
      <c r="I24" s="7">
        <f t="shared" ref="I24:J24" si="12">H24*(1+$C$24)</f>
        <v>1490285.9400000002</v>
      </c>
      <c r="J24" s="7">
        <f t="shared" si="12"/>
        <v>1937371.7220000003</v>
      </c>
      <c r="K24" s="7">
        <f>J24*(1+$D$24)</f>
        <v>2324846.0664000004</v>
      </c>
      <c r="L24" s="7">
        <f>K24*(1+$D$24)</f>
        <v>2789815.2796800002</v>
      </c>
      <c r="M24" s="7">
        <f>L24*(1+$D$24)</f>
        <v>3347778.335616</v>
      </c>
    </row>
    <row r="25" spans="1:14" x14ac:dyDescent="0.2">
      <c r="A25" s="1" t="s">
        <v>36</v>
      </c>
      <c r="B25" s="18" t="s">
        <v>62</v>
      </c>
      <c r="C25" s="25">
        <v>0.7</v>
      </c>
      <c r="D25" s="25">
        <v>0.35</v>
      </c>
      <c r="E25" s="25">
        <v>0.2</v>
      </c>
      <c r="F25" s="4">
        <v>624832</v>
      </c>
      <c r="G25" s="4">
        <v>1109670</v>
      </c>
      <c r="H25" s="7">
        <f>G25*(1+$C$25)</f>
        <v>1886439</v>
      </c>
      <c r="I25" s="7">
        <f>H25*(1+$C$25)</f>
        <v>3206946.3</v>
      </c>
      <c r="J25" s="7">
        <f>I25*(1+$D$25)</f>
        <v>4329377.5049999999</v>
      </c>
      <c r="K25" s="7">
        <f t="shared" ref="K25:L25" si="13">J25*(1+$D$25)</f>
        <v>5844659.6317500006</v>
      </c>
      <c r="L25" s="7">
        <f t="shared" si="13"/>
        <v>7890290.502862501</v>
      </c>
      <c r="M25" s="7">
        <f>L25*(1+E25)</f>
        <v>9468348.6034350004</v>
      </c>
    </row>
    <row r="26" spans="1:14" x14ac:dyDescent="0.2">
      <c r="A26" s="1" t="s">
        <v>37</v>
      </c>
      <c r="B26" s="18" t="s">
        <v>40</v>
      </c>
      <c r="C26" s="25">
        <v>0.25</v>
      </c>
      <c r="D26" s="24"/>
      <c r="E26" s="24"/>
      <c r="F26" s="4">
        <v>436250</v>
      </c>
      <c r="G26" s="4">
        <v>579203</v>
      </c>
      <c r="H26" s="7">
        <f>G26*(1+$C$26)</f>
        <v>724003.75</v>
      </c>
      <c r="I26" s="7">
        <f t="shared" ref="I26:M26" si="14">H26*(1+$C$26)</f>
        <v>905004.6875</v>
      </c>
      <c r="J26" s="7">
        <f t="shared" si="14"/>
        <v>1131255.859375</v>
      </c>
      <c r="K26" s="7">
        <f t="shared" si="14"/>
        <v>1414069.82421875</v>
      </c>
      <c r="L26" s="7">
        <f t="shared" si="14"/>
        <v>1767587.2802734375</v>
      </c>
      <c r="M26" s="7">
        <f t="shared" si="14"/>
        <v>2209484.1003417969</v>
      </c>
    </row>
    <row r="27" spans="1:14" x14ac:dyDescent="0.2">
      <c r="A27" s="1" t="s">
        <v>39</v>
      </c>
      <c r="B27" s="18" t="s">
        <v>41</v>
      </c>
      <c r="C27" s="25">
        <v>0.8</v>
      </c>
      <c r="D27" s="24"/>
      <c r="E27" s="24"/>
      <c r="F27" s="4">
        <v>126959</v>
      </c>
      <c r="G27" s="4">
        <v>177670</v>
      </c>
      <c r="H27" s="7">
        <f>G27*(1+($C$27*((H22/G22)-1)))</f>
        <v>225048.66666666666</v>
      </c>
      <c r="I27" s="7">
        <f t="shared" ref="I27:M27" si="15">H27*(1+($C$27*((I22/H22)-1)))</f>
        <v>247553.53333333335</v>
      </c>
      <c r="J27" s="7">
        <f t="shared" si="15"/>
        <v>269558.29185185191</v>
      </c>
      <c r="K27" s="7">
        <f t="shared" si="15"/>
        <v>283934.73408395064</v>
      </c>
      <c r="L27" s="7">
        <f t="shared" si="15"/>
        <v>322975.76002049382</v>
      </c>
      <c r="M27" s="7">
        <f t="shared" si="15"/>
        <v>340201.13388825348</v>
      </c>
    </row>
    <row r="28" spans="1:14" x14ac:dyDescent="0.2">
      <c r="A28" s="1" t="s">
        <v>38</v>
      </c>
      <c r="B28" s="18" t="s">
        <v>30</v>
      </c>
      <c r="C28" s="24"/>
      <c r="D28" s="24"/>
      <c r="E28" s="24"/>
      <c r="F28" s="4">
        <v>4481</v>
      </c>
      <c r="G28" s="4">
        <v>3855</v>
      </c>
      <c r="H28" s="7">
        <v>0</v>
      </c>
      <c r="I28" s="7"/>
      <c r="J28" s="7">
        <v>0</v>
      </c>
      <c r="K28" s="7">
        <v>0</v>
      </c>
      <c r="L28" s="7">
        <v>0</v>
      </c>
      <c r="M28" s="7">
        <v>0</v>
      </c>
      <c r="N28" s="7"/>
    </row>
    <row r="29" spans="1:14" x14ac:dyDescent="0.2">
      <c r="A29" s="11" t="s">
        <v>42</v>
      </c>
      <c r="B29" s="9"/>
      <c r="C29" s="9"/>
      <c r="D29" s="9"/>
      <c r="E29" s="9"/>
      <c r="F29" s="10">
        <f>SUM(F24:F28)</f>
        <v>1863128</v>
      </c>
      <c r="G29" s="10">
        <f>SUM(G24:G28)</f>
        <v>2752224</v>
      </c>
      <c r="H29" s="10">
        <f t="shared" ref="H29:M29" si="16">SUM(H24:H28)</f>
        <v>3981865.2166666663</v>
      </c>
      <c r="I29" s="10">
        <f t="shared" si="16"/>
        <v>5849790.4608333334</v>
      </c>
      <c r="J29" s="10">
        <f t="shared" si="16"/>
        <v>7667563.378226852</v>
      </c>
      <c r="K29" s="10">
        <f t="shared" si="16"/>
        <v>9867510.256452702</v>
      </c>
      <c r="L29" s="10">
        <f t="shared" si="16"/>
        <v>12770668.822836433</v>
      </c>
      <c r="M29" s="10">
        <f t="shared" si="16"/>
        <v>15365812.173281051</v>
      </c>
    </row>
    <row r="31" spans="1:14" x14ac:dyDescent="0.2">
      <c r="A31" s="19" t="s">
        <v>43</v>
      </c>
      <c r="B31" s="9"/>
      <c r="C31" s="9"/>
      <c r="D31" s="9"/>
      <c r="E31" s="9"/>
      <c r="F31" s="10">
        <f>F10-F18-F29</f>
        <v>26657</v>
      </c>
      <c r="G31" s="10">
        <f>G10-G18-G29</f>
        <v>-18815</v>
      </c>
      <c r="H31" s="10">
        <f t="shared" ref="H31:M31" si="17">H10-H18-H29</f>
        <v>652118.41133333417</v>
      </c>
      <c r="I31" s="10">
        <f t="shared" si="17"/>
        <v>798006.83854166791</v>
      </c>
      <c r="J31" s="10">
        <f t="shared" si="17"/>
        <v>1119857.3551048134</v>
      </c>
      <c r="K31" s="10">
        <f t="shared" si="17"/>
        <v>1211286.7342856489</v>
      </c>
      <c r="L31" s="10">
        <f t="shared" si="17"/>
        <v>1906585.6863054112</v>
      </c>
      <c r="M31" s="10">
        <f t="shared" si="17"/>
        <v>2477210.7920609787</v>
      </c>
    </row>
    <row r="33" spans="1:13" x14ac:dyDescent="0.2">
      <c r="A33" s="16" t="s">
        <v>44</v>
      </c>
      <c r="B33" s="27" t="s">
        <v>49</v>
      </c>
      <c r="C33" s="28"/>
      <c r="D33" s="28"/>
      <c r="E33" s="28"/>
      <c r="F33" s="4">
        <v>21516</v>
      </c>
      <c r="G33" s="4">
        <v>56943</v>
      </c>
      <c r="H33" s="4">
        <v>120000</v>
      </c>
      <c r="I33" s="4">
        <v>90000</v>
      </c>
      <c r="J33" s="4">
        <v>70000</v>
      </c>
      <c r="K33" s="4">
        <v>70000</v>
      </c>
      <c r="L33" s="4">
        <v>50000</v>
      </c>
      <c r="M33" s="4">
        <v>30000</v>
      </c>
    </row>
    <row r="34" spans="1:13" x14ac:dyDescent="0.2">
      <c r="A34" s="1" t="s">
        <v>45</v>
      </c>
      <c r="B34" s="27" t="s">
        <v>47</v>
      </c>
      <c r="C34" s="29">
        <v>0.15</v>
      </c>
      <c r="D34" s="28"/>
      <c r="E34" s="28"/>
      <c r="F34">
        <v>2767</v>
      </c>
      <c r="G34">
        <v>2862</v>
      </c>
      <c r="H34" s="4">
        <f>IF(H31-H33&lt;0,0,(H31-H33)*$C$34)</f>
        <v>79817.761700000119</v>
      </c>
      <c r="I34" s="4">
        <f t="shared" ref="I34:M34" si="18">IF(I31-I33&lt;0,0,(I31-I33)*$C$34)</f>
        <v>106201.02578125018</v>
      </c>
      <c r="J34" s="4">
        <f t="shared" si="18"/>
        <v>157478.60326572199</v>
      </c>
      <c r="K34" s="4">
        <f t="shared" si="18"/>
        <v>171193.01014284734</v>
      </c>
      <c r="L34" s="4">
        <f t="shared" si="18"/>
        <v>278487.85294581164</v>
      </c>
      <c r="M34" s="4">
        <f t="shared" si="18"/>
        <v>367081.61880914681</v>
      </c>
    </row>
    <row r="35" spans="1:13" x14ac:dyDescent="0.2">
      <c r="A35" s="16" t="s">
        <v>46</v>
      </c>
      <c r="B35" s="30" t="s">
        <v>48</v>
      </c>
      <c r="C35" s="28"/>
      <c r="D35" s="28"/>
      <c r="E35" s="28"/>
      <c r="F35" s="7">
        <f>F31-F33-F34</f>
        <v>2374</v>
      </c>
      <c r="G35" s="7">
        <f>G31-G33-G34</f>
        <v>-78620</v>
      </c>
      <c r="H35" s="7">
        <f>H31-H33-H34</f>
        <v>452300.64963333402</v>
      </c>
      <c r="I35" s="7">
        <f t="shared" ref="I35:M35" si="19">I31-I33-I34</f>
        <v>601805.8127604177</v>
      </c>
      <c r="J35" s="7">
        <f t="shared" si="19"/>
        <v>892378.7518390913</v>
      </c>
      <c r="K35" s="7">
        <f t="shared" si="19"/>
        <v>970093.7241428016</v>
      </c>
      <c r="L35" s="7">
        <f t="shared" si="19"/>
        <v>1578097.8333595996</v>
      </c>
      <c r="M35" s="7">
        <f t="shared" si="19"/>
        <v>2080129.1732518319</v>
      </c>
    </row>
    <row r="38" spans="1:13" x14ac:dyDescent="0.2">
      <c r="A38" s="16" t="s">
        <v>50</v>
      </c>
      <c r="B38" s="32">
        <f>M31</f>
        <v>2477210.7920609787</v>
      </c>
    </row>
    <row r="39" spans="1:13" x14ac:dyDescent="0.2">
      <c r="A39" s="16" t="s">
        <v>51</v>
      </c>
      <c r="B39" s="33">
        <v>20</v>
      </c>
    </row>
    <row r="40" spans="1:13" x14ac:dyDescent="0.2">
      <c r="A40" s="16" t="s">
        <v>52</v>
      </c>
      <c r="B40" s="32">
        <f>B38*B39</f>
        <v>49544215.841219574</v>
      </c>
    </row>
    <row r="41" spans="1:13" x14ac:dyDescent="0.2">
      <c r="A41" s="16" t="s">
        <v>53</v>
      </c>
      <c r="B41" s="34">
        <f>(M10-M18)*0.5</f>
        <v>8921511.482671015</v>
      </c>
    </row>
    <row r="42" spans="1:13" x14ac:dyDescent="0.2">
      <c r="A42" s="16" t="s">
        <v>54</v>
      </c>
      <c r="B42" s="35">
        <v>2586000</v>
      </c>
    </row>
    <row r="43" spans="1:13" x14ac:dyDescent="0.2">
      <c r="A43" s="16" t="s">
        <v>55</v>
      </c>
      <c r="B43" s="32">
        <f>B40+B41-B42</f>
        <v>55879727.323890589</v>
      </c>
    </row>
    <row r="44" spans="1:13" x14ac:dyDescent="0.2">
      <c r="A44" s="16" t="s">
        <v>56</v>
      </c>
      <c r="B44" s="36">
        <v>0.01</v>
      </c>
    </row>
    <row r="45" spans="1:13" x14ac:dyDescent="0.2">
      <c r="A45" s="16" t="s">
        <v>57</v>
      </c>
      <c r="B45" s="37">
        <f>454600*POWER(1+B44,6)</f>
        <v>482567.06046321464</v>
      </c>
    </row>
    <row r="46" spans="1:13" x14ac:dyDescent="0.2">
      <c r="A46" s="16" t="s">
        <v>58</v>
      </c>
      <c r="B46" s="38">
        <f>B43/B45</f>
        <v>115.79681230262963</v>
      </c>
    </row>
  </sheetData>
  <phoneticPr fontId="4" type="noConversion"/>
  <pageMargins left="0.7" right="0.7" top="0.75" bottom="0.75" header="0.3" footer="0.3"/>
  <ignoredErrors>
    <ignoredError sqref="F10:G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9AB5-0646-924E-81BF-588F6F64941F}">
  <dimension ref="A4:N46"/>
  <sheetViews>
    <sheetView topLeftCell="A19" workbookViewId="0">
      <selection activeCell="B8" sqref="B8"/>
    </sheetView>
  </sheetViews>
  <sheetFormatPr baseColWidth="10" defaultRowHeight="16" x14ac:dyDescent="0.2"/>
  <cols>
    <col min="1" max="1" width="42.5" bestFit="1" customWidth="1"/>
    <col min="2" max="2" width="108" bestFit="1" customWidth="1"/>
    <col min="3" max="5" width="10.83203125" customWidth="1"/>
    <col min="6" max="8" width="16" bestFit="1" customWidth="1"/>
    <col min="9" max="10" width="14.1640625" bestFit="1" customWidth="1"/>
    <col min="11" max="11" width="15" bestFit="1" customWidth="1"/>
    <col min="12" max="13" width="14" bestFit="1" customWidth="1"/>
  </cols>
  <sheetData>
    <row r="4" spans="1:13" x14ac:dyDescent="0.2">
      <c r="A4" s="3" t="s">
        <v>5</v>
      </c>
      <c r="B4" s="12" t="s">
        <v>14</v>
      </c>
      <c r="C4" s="21" t="s">
        <v>35</v>
      </c>
      <c r="D4" s="21"/>
      <c r="E4" s="22"/>
    </row>
    <row r="5" spans="1:13" x14ac:dyDescent="0.2">
      <c r="A5" s="2" t="s">
        <v>1</v>
      </c>
      <c r="B5" s="14"/>
      <c r="C5" s="23"/>
      <c r="D5" s="23"/>
      <c r="E5" s="23"/>
      <c r="F5" s="5">
        <v>2019</v>
      </c>
      <c r="G5" s="5">
        <v>2020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</row>
    <row r="6" spans="1:13" x14ac:dyDescent="0.2">
      <c r="A6" t="s">
        <v>0</v>
      </c>
      <c r="B6" s="13" t="s">
        <v>15</v>
      </c>
      <c r="C6" s="24"/>
      <c r="D6" s="24"/>
      <c r="E6" s="24"/>
      <c r="F6" s="4">
        <v>3081074</v>
      </c>
      <c r="G6" s="4">
        <v>3294978</v>
      </c>
      <c r="H6" s="7">
        <f>(H21/G21)*G6</f>
        <v>4118722.5</v>
      </c>
      <c r="I6" s="7">
        <f>(I21/H21)*H6</f>
        <v>5148403.125</v>
      </c>
      <c r="J6" s="7">
        <f t="shared" ref="J6:M6" si="0">(J21/I21)*I6</f>
        <v>5405823.28125</v>
      </c>
      <c r="K6" s="7">
        <f t="shared" si="0"/>
        <v>5676114.4453125</v>
      </c>
      <c r="L6" s="7">
        <f t="shared" si="0"/>
        <v>5959920.1675781254</v>
      </c>
      <c r="M6" s="7">
        <f t="shared" si="0"/>
        <v>6257916.1759570315</v>
      </c>
    </row>
    <row r="7" spans="1:13" x14ac:dyDescent="0.2">
      <c r="A7" t="s">
        <v>2</v>
      </c>
      <c r="B7" s="13" t="s">
        <v>73</v>
      </c>
      <c r="C7" s="31">
        <v>6.0000000000000001E-3</v>
      </c>
      <c r="D7" s="25">
        <v>0.01</v>
      </c>
      <c r="E7" s="24"/>
      <c r="F7" s="4">
        <v>1031456</v>
      </c>
      <c r="G7" s="4">
        <v>1539403</v>
      </c>
      <c r="H7" s="7">
        <f>(H22/G22*G7)*(1+$D$7)+H21*$C$7</f>
        <v>2742519.9811111111</v>
      </c>
      <c r="I7" s="7">
        <f t="shared" ref="I7:M7" si="1">(I22/H22*H7)*(1+$D$7)+I21*$C$7</f>
        <v>4200430.6033207066</v>
      </c>
      <c r="J7" s="7">
        <f t="shared" si="1"/>
        <v>5856931.0047263838</v>
      </c>
      <c r="K7" s="7">
        <f t="shared" si="1"/>
        <v>7709978.0214904677</v>
      </c>
      <c r="L7" s="7">
        <f t="shared" si="1"/>
        <v>9759373.7827045824</v>
      </c>
      <c r="M7" s="7">
        <f t="shared" si="1"/>
        <v>12006343.145786487</v>
      </c>
    </row>
    <row r="8" spans="1:13" x14ac:dyDescent="0.2">
      <c r="A8" t="s">
        <v>3</v>
      </c>
      <c r="B8" s="13" t="s">
        <v>59</v>
      </c>
      <c r="C8" s="25">
        <v>0.2</v>
      </c>
      <c r="D8" s="25">
        <v>0.15</v>
      </c>
      <c r="E8" s="24"/>
      <c r="F8" s="4">
        <v>84505</v>
      </c>
      <c r="G8" s="4">
        <v>91654</v>
      </c>
      <c r="H8" s="7">
        <f>G8*(1+$C$8)</f>
        <v>109984.8</v>
      </c>
      <c r="I8" s="7">
        <f t="shared" ref="I8:K8" si="2">H8*(1+$C$8)</f>
        <v>131981.76000000001</v>
      </c>
      <c r="J8" s="7">
        <f t="shared" si="2"/>
        <v>158378.11199999999</v>
      </c>
      <c r="K8" s="7">
        <f t="shared" si="2"/>
        <v>190053.73439999999</v>
      </c>
      <c r="L8" s="7">
        <f>K8*(1+D8)</f>
        <v>218561.79455999998</v>
      </c>
      <c r="M8" s="7">
        <f>L8*(1+E8)</f>
        <v>218561.79455999998</v>
      </c>
    </row>
    <row r="9" spans="1:13" x14ac:dyDescent="0.2">
      <c r="A9" t="s">
        <v>4</v>
      </c>
      <c r="B9" s="13" t="s">
        <v>60</v>
      </c>
      <c r="C9" s="25">
        <v>0.5</v>
      </c>
      <c r="D9" s="25">
        <v>0.2</v>
      </c>
      <c r="E9" s="24"/>
      <c r="F9" s="4">
        <v>516465</v>
      </c>
      <c r="G9" s="4">
        <v>4571543</v>
      </c>
      <c r="H9" s="7">
        <f>G9*(1+$C$9)</f>
        <v>6857314.5</v>
      </c>
      <c r="I9" s="7">
        <f>H9*(1+$C$9)</f>
        <v>10285971.75</v>
      </c>
      <c r="J9" s="7">
        <f>I9*(1+$D$9)</f>
        <v>12343166.1</v>
      </c>
      <c r="K9" s="7">
        <f t="shared" ref="K9:L9" si="3">J9*(1+$D$9)</f>
        <v>14811799.319999998</v>
      </c>
      <c r="L9" s="7">
        <f t="shared" si="3"/>
        <v>17774159.183999997</v>
      </c>
      <c r="M9" s="7">
        <f>L9*(1+$D$9)</f>
        <v>21328991.020799994</v>
      </c>
    </row>
    <row r="10" spans="1:13" x14ac:dyDescent="0.2">
      <c r="A10" s="11" t="s">
        <v>11</v>
      </c>
      <c r="B10" s="19"/>
      <c r="C10" s="19"/>
      <c r="D10" s="19"/>
      <c r="E10" s="19"/>
      <c r="F10" s="8">
        <f>SUM(F6:F9)</f>
        <v>4713500</v>
      </c>
      <c r="G10" s="8">
        <f>SUM(G6:G9)</f>
        <v>9497578</v>
      </c>
      <c r="H10" s="8">
        <f t="shared" ref="H10:M10" si="4">SUM(H6:H9)</f>
        <v>13828541.78111111</v>
      </c>
      <c r="I10" s="8">
        <f t="shared" si="4"/>
        <v>19766787.238320708</v>
      </c>
      <c r="J10" s="8">
        <f t="shared" si="4"/>
        <v>23764298.497976385</v>
      </c>
      <c r="K10" s="8">
        <f t="shared" si="4"/>
        <v>28387945.521202967</v>
      </c>
      <c r="L10" s="8">
        <f t="shared" si="4"/>
        <v>33712014.928842708</v>
      </c>
      <c r="M10" s="8">
        <f t="shared" si="4"/>
        <v>39811812.137103513</v>
      </c>
    </row>
    <row r="11" spans="1:13" x14ac:dyDescent="0.2">
      <c r="B11" s="20"/>
      <c r="C11" s="20"/>
      <c r="D11" s="20"/>
      <c r="E11" s="20"/>
    </row>
    <row r="12" spans="1:13" x14ac:dyDescent="0.2">
      <c r="A12" s="2" t="s">
        <v>6</v>
      </c>
      <c r="B12" s="14"/>
      <c r="C12" s="23"/>
      <c r="D12" s="23"/>
      <c r="E12" s="23"/>
    </row>
    <row r="13" spans="1:13" x14ac:dyDescent="0.2">
      <c r="A13" t="s">
        <v>7</v>
      </c>
      <c r="B13" s="13" t="s">
        <v>27</v>
      </c>
      <c r="C13" s="24"/>
      <c r="D13" s="24"/>
      <c r="E13" s="24"/>
      <c r="F13" s="4">
        <v>1937971</v>
      </c>
      <c r="G13" s="4">
        <v>1911848</v>
      </c>
      <c r="H13" s="7">
        <f>G13*(H21/G21)</f>
        <v>2389810</v>
      </c>
      <c r="I13" s="7">
        <f t="shared" ref="I13:M13" si="5">H13*(I21/H21)</f>
        <v>2987262.5</v>
      </c>
      <c r="J13" s="7">
        <f t="shared" si="5"/>
        <v>3136625.625</v>
      </c>
      <c r="K13" s="7">
        <f t="shared" si="5"/>
        <v>3293456.90625</v>
      </c>
      <c r="L13" s="7">
        <f t="shared" si="5"/>
        <v>3458129.7515625004</v>
      </c>
      <c r="M13" s="7">
        <f t="shared" si="5"/>
        <v>3631036.2391406256</v>
      </c>
    </row>
    <row r="14" spans="1:13" x14ac:dyDescent="0.2">
      <c r="A14" t="s">
        <v>8</v>
      </c>
      <c r="B14" s="13" t="s">
        <v>27</v>
      </c>
      <c r="C14" s="24"/>
      <c r="D14" s="24"/>
      <c r="E14" s="24"/>
      <c r="F14" s="4">
        <v>234270</v>
      </c>
      <c r="G14" s="6">
        <v>222712</v>
      </c>
      <c r="H14" s="7">
        <f>G14*(H21/G21)</f>
        <v>278390</v>
      </c>
      <c r="I14" s="7">
        <f t="shared" ref="I14:M14" si="6">H14*(I21/H21)</f>
        <v>347987.5</v>
      </c>
      <c r="J14" s="7">
        <f t="shared" si="6"/>
        <v>365386.875</v>
      </c>
      <c r="K14" s="7">
        <f t="shared" si="6"/>
        <v>383656.21875</v>
      </c>
      <c r="L14" s="7">
        <f t="shared" si="6"/>
        <v>402839.02968750003</v>
      </c>
      <c r="M14" s="7">
        <f t="shared" si="6"/>
        <v>422980.98117187503</v>
      </c>
    </row>
    <row r="15" spans="1:13" x14ac:dyDescent="0.2">
      <c r="A15" t="s">
        <v>9</v>
      </c>
      <c r="B15" s="13" t="s">
        <v>28</v>
      </c>
      <c r="C15" s="25">
        <v>0.5</v>
      </c>
      <c r="D15" s="24"/>
      <c r="E15" s="24"/>
      <c r="F15" s="4">
        <v>136285</v>
      </c>
      <c r="G15" s="4">
        <v>143901</v>
      </c>
      <c r="H15" s="7">
        <f>H8*1.5</f>
        <v>164977.20000000001</v>
      </c>
      <c r="I15" s="7">
        <f t="shared" ref="I15:M15" si="7">I8*1.5</f>
        <v>197972.64</v>
      </c>
      <c r="J15" s="7">
        <f t="shared" si="7"/>
        <v>237567.16800000001</v>
      </c>
      <c r="K15" s="7">
        <f t="shared" si="7"/>
        <v>285080.60159999999</v>
      </c>
      <c r="L15" s="7">
        <f t="shared" si="7"/>
        <v>327842.69183999998</v>
      </c>
      <c r="M15" s="7">
        <f t="shared" si="7"/>
        <v>327842.69183999998</v>
      </c>
    </row>
    <row r="16" spans="1:13" x14ac:dyDescent="0.2">
      <c r="A16" t="s">
        <v>10</v>
      </c>
      <c r="B16" s="13" t="s">
        <v>61</v>
      </c>
      <c r="C16" s="26">
        <v>1.7500000000000002E-2</v>
      </c>
      <c r="D16" s="26">
        <v>7.4999999999999997E-3</v>
      </c>
      <c r="E16" s="26">
        <v>5.0000000000000001E-3</v>
      </c>
      <c r="F16" s="4">
        <v>508239</v>
      </c>
      <c r="G16" s="4">
        <v>4474534</v>
      </c>
      <c r="H16" s="7">
        <f>H9*(1-C16)</f>
        <v>6737311.4962499999</v>
      </c>
      <c r="I16" s="7">
        <f>I9*(1-D16)</f>
        <v>10208826.961875001</v>
      </c>
      <c r="J16" s="7">
        <f>J9*(1-$E$16)</f>
        <v>12281450.2695</v>
      </c>
      <c r="K16" s="7">
        <f>K9*(1-$E$16)</f>
        <v>14737740.323399998</v>
      </c>
      <c r="L16" s="7">
        <f>L9*(1-$E$16)</f>
        <v>17685288.388079997</v>
      </c>
      <c r="M16" s="7">
        <f>M9*(1-$E$16)</f>
        <v>21222346.065695994</v>
      </c>
    </row>
    <row r="17" spans="1:14" x14ac:dyDescent="0.2">
      <c r="A17" t="s">
        <v>12</v>
      </c>
      <c r="B17" s="13" t="s">
        <v>30</v>
      </c>
      <c r="C17" s="24"/>
      <c r="D17" s="24"/>
      <c r="E17" s="24"/>
      <c r="F17" s="4">
        <v>6950</v>
      </c>
      <c r="G17" s="4">
        <v>11174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4" x14ac:dyDescent="0.2">
      <c r="A18" s="11" t="s">
        <v>13</v>
      </c>
      <c r="B18" s="19"/>
      <c r="C18" s="19"/>
      <c r="D18" s="19"/>
      <c r="E18" s="19"/>
      <c r="F18" s="10">
        <f>SUM(F13:F17)</f>
        <v>2823715</v>
      </c>
      <c r="G18" s="10">
        <f>SUM(G13:G17)</f>
        <v>6764169</v>
      </c>
      <c r="H18" s="10">
        <f t="shared" ref="H18:M18" si="8">SUM(H13:H17)</f>
        <v>9570488.6962499991</v>
      </c>
      <c r="I18" s="10">
        <f t="shared" si="8"/>
        <v>13742049.601875002</v>
      </c>
      <c r="J18" s="10">
        <f t="shared" si="8"/>
        <v>16021029.9375</v>
      </c>
      <c r="K18" s="10">
        <f t="shared" si="8"/>
        <v>18699934.049999997</v>
      </c>
      <c r="L18" s="10">
        <f t="shared" si="8"/>
        <v>21874099.861169998</v>
      </c>
      <c r="M18" s="10">
        <f t="shared" si="8"/>
        <v>25604205.977848493</v>
      </c>
    </row>
    <row r="19" spans="1:14" x14ac:dyDescent="0.2">
      <c r="A19" s="15" t="s">
        <v>26</v>
      </c>
      <c r="B19" s="16"/>
      <c r="C19" s="16"/>
      <c r="D19" s="16"/>
      <c r="E19" s="16"/>
      <c r="F19" s="17">
        <f>(F10-F18)/F10</f>
        <v>0.4009303065662459</v>
      </c>
      <c r="G19" s="17">
        <f>(G10-G18)/G10</f>
        <v>0.28780063717297188</v>
      </c>
      <c r="H19" s="17">
        <f t="shared" ref="H19:M19" si="9">(H10-H18)/H10</f>
        <v>0.30791772207517459</v>
      </c>
      <c r="I19" s="17">
        <f t="shared" si="9"/>
        <v>0.30479093864914486</v>
      </c>
      <c r="J19" s="17">
        <f t="shared" si="9"/>
        <v>0.32583619336105174</v>
      </c>
      <c r="K19" s="17">
        <f t="shared" si="9"/>
        <v>0.34127201857446821</v>
      </c>
      <c r="L19" s="17">
        <f t="shared" si="9"/>
        <v>0.35114825063584804</v>
      </c>
      <c r="M19" s="17">
        <f t="shared" si="9"/>
        <v>0.35686911488296519</v>
      </c>
    </row>
    <row r="20" spans="1:14" x14ac:dyDescent="0.2">
      <c r="A20" s="1"/>
      <c r="B20" s="1"/>
      <c r="C20" s="1"/>
      <c r="D20" s="1"/>
      <c r="E20" s="1"/>
    </row>
    <row r="21" spans="1:14" x14ac:dyDescent="0.2">
      <c r="A21" t="s">
        <v>16</v>
      </c>
      <c r="B21" s="18" t="s">
        <v>71</v>
      </c>
      <c r="C21" s="25">
        <v>0.25</v>
      </c>
      <c r="D21" s="25">
        <v>0.05</v>
      </c>
      <c r="E21" s="24"/>
      <c r="F21" s="4">
        <v>106239000</v>
      </c>
      <c r="G21" s="4">
        <v>112295000</v>
      </c>
      <c r="H21" s="4">
        <f>G21*(1+$C$21)</f>
        <v>140368750</v>
      </c>
      <c r="I21" s="4">
        <f>H21*(1+$C$21)</f>
        <v>175460937.5</v>
      </c>
      <c r="J21" s="4">
        <f>I21*(1+$D$21)</f>
        <v>184233984.375</v>
      </c>
      <c r="K21" s="4">
        <f t="shared" ref="K21:L21" si="10">J21*(1+$D$21)</f>
        <v>193445683.59375</v>
      </c>
      <c r="L21" s="4">
        <f t="shared" si="10"/>
        <v>203117967.7734375</v>
      </c>
      <c r="M21" s="4">
        <f>L21*(1+$D$21)</f>
        <v>213273866.16210938</v>
      </c>
    </row>
    <row r="22" spans="1:14" x14ac:dyDescent="0.2">
      <c r="A22" t="s">
        <v>18</v>
      </c>
      <c r="B22" s="18" t="s">
        <v>32</v>
      </c>
      <c r="C22" s="24"/>
      <c r="D22" s="24"/>
      <c r="E22" s="24"/>
      <c r="F22">
        <v>24</v>
      </c>
      <c r="G22">
        <v>36</v>
      </c>
      <c r="H22">
        <v>44</v>
      </c>
      <c r="I22">
        <v>50</v>
      </c>
      <c r="J22">
        <v>56</v>
      </c>
      <c r="K22">
        <v>62</v>
      </c>
      <c r="L22">
        <v>68</v>
      </c>
      <c r="M22">
        <v>74</v>
      </c>
    </row>
    <row r="24" spans="1:14" x14ac:dyDescent="0.2">
      <c r="A24" s="1" t="s">
        <v>33</v>
      </c>
      <c r="B24" s="18" t="s">
        <v>34</v>
      </c>
      <c r="C24" s="25">
        <v>0.3</v>
      </c>
      <c r="D24" s="25">
        <v>0.2</v>
      </c>
      <c r="E24" s="24"/>
      <c r="F24" s="4">
        <v>670606</v>
      </c>
      <c r="G24" s="4">
        <v>881826</v>
      </c>
      <c r="H24" s="7">
        <f>G24*(1+$C$24)</f>
        <v>1146373.8</v>
      </c>
      <c r="I24" s="7">
        <f t="shared" ref="I24:J24" si="11">H24*(1+$C$24)</f>
        <v>1490285.9400000002</v>
      </c>
      <c r="J24" s="7">
        <f t="shared" si="11"/>
        <v>1937371.7220000003</v>
      </c>
      <c r="K24" s="7">
        <f>J24*(1+$D$24)</f>
        <v>2324846.0664000004</v>
      </c>
      <c r="L24" s="7">
        <f>K24*(1+$D$24)</f>
        <v>2789815.2796800002</v>
      </c>
      <c r="M24" s="7">
        <f>L24*(1+$D$24)</f>
        <v>3347778.335616</v>
      </c>
    </row>
    <row r="25" spans="1:14" x14ac:dyDescent="0.2">
      <c r="A25" s="1" t="s">
        <v>36</v>
      </c>
      <c r="B25" s="18" t="s">
        <v>68</v>
      </c>
      <c r="C25" s="25">
        <v>0.6</v>
      </c>
      <c r="D25" s="25">
        <v>0.3</v>
      </c>
      <c r="E25" s="25">
        <v>0.15</v>
      </c>
      <c r="F25" s="4">
        <v>624832</v>
      </c>
      <c r="G25" s="4">
        <v>1109670</v>
      </c>
      <c r="H25" s="7">
        <f>G25*(1+$C$25)</f>
        <v>1775472</v>
      </c>
      <c r="I25" s="7">
        <f>H25*(1+$C$25)</f>
        <v>2840755.2</v>
      </c>
      <c r="J25" s="7">
        <f>I25*(1+$D$25)</f>
        <v>3692981.7600000002</v>
      </c>
      <c r="K25" s="7">
        <f t="shared" ref="K25:L25" si="12">J25*(1+$D$25)</f>
        <v>4800876.2880000006</v>
      </c>
      <c r="L25" s="7">
        <f t="shared" si="12"/>
        <v>6241139.1744000008</v>
      </c>
      <c r="M25" s="7">
        <f>L25*(1+E25)</f>
        <v>7177310.0505600004</v>
      </c>
    </row>
    <row r="26" spans="1:14" x14ac:dyDescent="0.2">
      <c r="A26" s="1" t="s">
        <v>37</v>
      </c>
      <c r="B26" s="18" t="s">
        <v>40</v>
      </c>
      <c r="C26" s="25">
        <v>0.25</v>
      </c>
      <c r="D26" s="24"/>
      <c r="E26" s="24"/>
      <c r="F26" s="4">
        <v>436250</v>
      </c>
      <c r="G26" s="4">
        <v>579203</v>
      </c>
      <c r="H26" s="7">
        <f>G26*(1+$C$26)</f>
        <v>724003.75</v>
      </c>
      <c r="I26" s="7">
        <f t="shared" ref="I26:M26" si="13">H26*(1+$C$26)</f>
        <v>905004.6875</v>
      </c>
      <c r="J26" s="7">
        <f t="shared" si="13"/>
        <v>1131255.859375</v>
      </c>
      <c r="K26" s="7">
        <f t="shared" si="13"/>
        <v>1414069.82421875</v>
      </c>
      <c r="L26" s="7">
        <f t="shared" si="13"/>
        <v>1767587.2802734375</v>
      </c>
      <c r="M26" s="7">
        <f t="shared" si="13"/>
        <v>2209484.1003417969</v>
      </c>
    </row>
    <row r="27" spans="1:14" x14ac:dyDescent="0.2">
      <c r="A27" s="1" t="s">
        <v>39</v>
      </c>
      <c r="B27" s="18" t="s">
        <v>63</v>
      </c>
      <c r="C27" s="25">
        <v>0.9</v>
      </c>
      <c r="D27" s="24"/>
      <c r="E27" s="24"/>
      <c r="F27" s="4">
        <v>126959</v>
      </c>
      <c r="G27" s="4">
        <v>177670</v>
      </c>
      <c r="H27" s="7">
        <f>G27*(1+($C$27*((H22/G22)-1)))</f>
        <v>213204.00000000003</v>
      </c>
      <c r="I27" s="7">
        <f t="shared" ref="I27:M27" si="14">H27*(1+($C$27*((I22/H22)-1)))</f>
        <v>239369.94545454549</v>
      </c>
      <c r="J27" s="7">
        <f t="shared" si="14"/>
        <v>265221.89956363646</v>
      </c>
      <c r="K27" s="7">
        <f t="shared" si="14"/>
        <v>290796.86845012999</v>
      </c>
      <c r="L27" s="7">
        <f t="shared" si="14"/>
        <v>316124.33763772191</v>
      </c>
      <c r="M27" s="7">
        <f t="shared" si="14"/>
        <v>341228.32915601158</v>
      </c>
    </row>
    <row r="28" spans="1:14" x14ac:dyDescent="0.2">
      <c r="A28" s="1" t="s">
        <v>38</v>
      </c>
      <c r="B28" s="18" t="s">
        <v>30</v>
      </c>
      <c r="C28" s="24"/>
      <c r="D28" s="24"/>
      <c r="E28" s="24"/>
      <c r="F28" s="4">
        <v>4481</v>
      </c>
      <c r="G28" s="4">
        <v>3855</v>
      </c>
      <c r="H28" s="7">
        <v>0</v>
      </c>
      <c r="I28" s="7"/>
      <c r="J28" s="7">
        <v>0</v>
      </c>
      <c r="K28" s="7">
        <v>0</v>
      </c>
      <c r="L28" s="7">
        <v>0</v>
      </c>
      <c r="M28" s="7">
        <v>0</v>
      </c>
      <c r="N28" s="7"/>
    </row>
    <row r="29" spans="1:14" x14ac:dyDescent="0.2">
      <c r="A29" s="11" t="s">
        <v>42</v>
      </c>
      <c r="B29" s="9"/>
      <c r="C29" s="9"/>
      <c r="D29" s="9"/>
      <c r="E29" s="9"/>
      <c r="F29" s="10">
        <f>SUM(F24:F28)</f>
        <v>1863128</v>
      </c>
      <c r="G29" s="10">
        <f>SUM(G24:G28)</f>
        <v>2752224</v>
      </c>
      <c r="H29" s="10">
        <f t="shared" ref="H29:M29" si="15">SUM(H24:H28)</f>
        <v>3859053.55</v>
      </c>
      <c r="I29" s="10">
        <f t="shared" si="15"/>
        <v>5475415.7729545459</v>
      </c>
      <c r="J29" s="10">
        <f t="shared" si="15"/>
        <v>7026831.2409386374</v>
      </c>
      <c r="K29" s="10">
        <f t="shared" si="15"/>
        <v>8830589.0470688809</v>
      </c>
      <c r="L29" s="10">
        <f t="shared" si="15"/>
        <v>11114666.071991161</v>
      </c>
      <c r="M29" s="10">
        <f t="shared" si="15"/>
        <v>13075800.815673809</v>
      </c>
    </row>
    <row r="31" spans="1:14" x14ac:dyDescent="0.2">
      <c r="A31" s="19" t="s">
        <v>43</v>
      </c>
      <c r="B31" s="9"/>
      <c r="C31" s="9"/>
      <c r="D31" s="9"/>
      <c r="E31" s="9"/>
      <c r="F31" s="10">
        <f>F10-F18-F29</f>
        <v>26657</v>
      </c>
      <c r="G31" s="10">
        <f>G10-G18-G29</f>
        <v>-18815</v>
      </c>
      <c r="H31" s="10">
        <f t="shared" ref="H31:M31" si="16">H10-H18-H29</f>
        <v>398999.53486111108</v>
      </c>
      <c r="I31" s="10">
        <f t="shared" si="16"/>
        <v>549321.8634911608</v>
      </c>
      <c r="J31" s="10">
        <f t="shared" si="16"/>
        <v>716437.31953774765</v>
      </c>
      <c r="K31" s="10">
        <f t="shared" si="16"/>
        <v>857422.42413408868</v>
      </c>
      <c r="L31" s="10">
        <f t="shared" si="16"/>
        <v>723248.99568155035</v>
      </c>
      <c r="M31" s="10">
        <f t="shared" si="16"/>
        <v>1131805.3435812108</v>
      </c>
    </row>
    <row r="33" spans="1:13" x14ac:dyDescent="0.2">
      <c r="A33" s="16" t="s">
        <v>44</v>
      </c>
      <c r="B33" s="27" t="s">
        <v>49</v>
      </c>
      <c r="C33" s="28"/>
      <c r="D33" s="28"/>
      <c r="E33" s="28"/>
      <c r="F33" s="4">
        <v>21516</v>
      </c>
      <c r="G33" s="4">
        <v>56943</v>
      </c>
      <c r="H33" s="4">
        <v>120000</v>
      </c>
      <c r="I33" s="4">
        <v>90000</v>
      </c>
      <c r="J33" s="4">
        <v>70000</v>
      </c>
      <c r="K33" s="4">
        <v>70000</v>
      </c>
      <c r="L33" s="4">
        <v>50000</v>
      </c>
      <c r="M33" s="4">
        <v>30000</v>
      </c>
    </row>
    <row r="34" spans="1:13" x14ac:dyDescent="0.2">
      <c r="A34" s="1" t="s">
        <v>45</v>
      </c>
      <c r="B34" s="27" t="s">
        <v>64</v>
      </c>
      <c r="C34" s="29">
        <v>0.21</v>
      </c>
      <c r="D34" s="28"/>
      <c r="E34" s="28"/>
      <c r="F34">
        <v>2767</v>
      </c>
      <c r="G34">
        <v>2862</v>
      </c>
      <c r="H34" s="4">
        <f>IF(H31-H33&lt;0,0,(H31-H33)*$C$34)</f>
        <v>58589.902320833324</v>
      </c>
      <c r="I34" s="4">
        <f t="shared" ref="I34:M34" si="17">IF(I31-I33&lt;0,0,(I31-I33)*$C$34)</f>
        <v>96457.591333143762</v>
      </c>
      <c r="J34" s="4">
        <f t="shared" si="17"/>
        <v>135751.83710292701</v>
      </c>
      <c r="K34" s="4">
        <f t="shared" si="17"/>
        <v>165358.70906815861</v>
      </c>
      <c r="L34" s="4">
        <f t="shared" si="17"/>
        <v>141382.28909312558</v>
      </c>
      <c r="M34" s="4">
        <f t="shared" si="17"/>
        <v>231379.12215205427</v>
      </c>
    </row>
    <row r="35" spans="1:13" x14ac:dyDescent="0.2">
      <c r="A35" s="16" t="s">
        <v>46</v>
      </c>
      <c r="B35" s="30" t="s">
        <v>48</v>
      </c>
      <c r="C35" s="28"/>
      <c r="D35" s="28"/>
      <c r="E35" s="28"/>
      <c r="F35" s="7">
        <f>F31-F33-F34</f>
        <v>2374</v>
      </c>
      <c r="G35" s="7">
        <f>G31-G33-G34</f>
        <v>-78620</v>
      </c>
      <c r="H35" s="7">
        <f>H31-H33-H34</f>
        <v>220409.63254027776</v>
      </c>
      <c r="I35" s="7">
        <f t="shared" ref="I35:M35" si="18">I31-I33-I34</f>
        <v>362864.27215801703</v>
      </c>
      <c r="J35" s="7">
        <f t="shared" si="18"/>
        <v>510685.48243482062</v>
      </c>
      <c r="K35" s="7">
        <f t="shared" si="18"/>
        <v>622063.71506593004</v>
      </c>
      <c r="L35" s="7">
        <f t="shared" si="18"/>
        <v>531866.70658842474</v>
      </c>
      <c r="M35" s="7">
        <f t="shared" si="18"/>
        <v>870426.22142915661</v>
      </c>
    </row>
    <row r="38" spans="1:13" x14ac:dyDescent="0.2">
      <c r="A38" s="16" t="s">
        <v>50</v>
      </c>
      <c r="B38" s="32">
        <f>M31</f>
        <v>1131805.3435812108</v>
      </c>
    </row>
    <row r="39" spans="1:13" x14ac:dyDescent="0.2">
      <c r="A39" s="16" t="s">
        <v>51</v>
      </c>
      <c r="B39" s="33">
        <v>15</v>
      </c>
    </row>
    <row r="40" spans="1:13" x14ac:dyDescent="0.2">
      <c r="A40" s="16" t="s">
        <v>52</v>
      </c>
      <c r="B40" s="32">
        <f>B38*B39</f>
        <v>16977080.153718162</v>
      </c>
    </row>
    <row r="41" spans="1:13" x14ac:dyDescent="0.2">
      <c r="A41" s="16" t="s">
        <v>53</v>
      </c>
      <c r="B41" s="34">
        <f>(M10-M18)*0.5</f>
        <v>7103803.0796275102</v>
      </c>
    </row>
    <row r="42" spans="1:13" x14ac:dyDescent="0.2">
      <c r="A42" s="16" t="s">
        <v>54</v>
      </c>
      <c r="B42" s="35">
        <v>2586000</v>
      </c>
    </row>
    <row r="43" spans="1:13" x14ac:dyDescent="0.2">
      <c r="A43" s="16" t="s">
        <v>55</v>
      </c>
      <c r="B43" s="32">
        <f>B40+B41-B42</f>
        <v>21494883.233345672</v>
      </c>
    </row>
    <row r="44" spans="1:13" x14ac:dyDescent="0.2">
      <c r="A44" s="16" t="s">
        <v>56</v>
      </c>
      <c r="B44" s="36">
        <v>0.02</v>
      </c>
    </row>
    <row r="45" spans="1:13" x14ac:dyDescent="0.2">
      <c r="A45" s="16" t="s">
        <v>57</v>
      </c>
      <c r="B45" s="37">
        <f>454600*POWER(1+B44,6)</f>
        <v>511953.43579741445</v>
      </c>
    </row>
    <row r="46" spans="1:13" x14ac:dyDescent="0.2">
      <c r="A46" s="16" t="s">
        <v>58</v>
      </c>
      <c r="B46" s="38">
        <f>B43/B45</f>
        <v>41.986012262746939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9DB3-C70B-6146-BD7D-A9A29FD028CF}">
  <dimension ref="A4:N46"/>
  <sheetViews>
    <sheetView workbookViewId="0">
      <selection activeCell="B19" sqref="B19"/>
    </sheetView>
  </sheetViews>
  <sheetFormatPr baseColWidth="10" defaultRowHeight="16" x14ac:dyDescent="0.2"/>
  <cols>
    <col min="1" max="1" width="42.5" bestFit="1" customWidth="1"/>
    <col min="2" max="2" width="108" bestFit="1" customWidth="1"/>
    <col min="3" max="5" width="10.83203125" customWidth="1"/>
    <col min="6" max="8" width="16" bestFit="1" customWidth="1"/>
    <col min="9" max="10" width="14.1640625" bestFit="1" customWidth="1"/>
    <col min="11" max="11" width="15" bestFit="1" customWidth="1"/>
    <col min="12" max="13" width="14" bestFit="1" customWidth="1"/>
  </cols>
  <sheetData>
    <row r="4" spans="1:13" x14ac:dyDescent="0.2">
      <c r="A4" s="3" t="s">
        <v>5</v>
      </c>
      <c r="B4" s="12" t="s">
        <v>14</v>
      </c>
      <c r="C4" s="21" t="s">
        <v>35</v>
      </c>
      <c r="D4" s="21"/>
      <c r="E4" s="22"/>
    </row>
    <row r="5" spans="1:13" x14ac:dyDescent="0.2">
      <c r="A5" s="2" t="s">
        <v>1</v>
      </c>
      <c r="B5" s="14"/>
      <c r="C5" s="23"/>
      <c r="D5" s="23"/>
      <c r="E5" s="23"/>
      <c r="F5" s="5">
        <v>2019</v>
      </c>
      <c r="G5" s="5">
        <v>2020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</row>
    <row r="6" spans="1:13" x14ac:dyDescent="0.2">
      <c r="A6" t="s">
        <v>0</v>
      </c>
      <c r="B6" s="13" t="s">
        <v>15</v>
      </c>
      <c r="C6" s="24"/>
      <c r="D6" s="24"/>
      <c r="E6" s="24"/>
      <c r="F6" s="4">
        <v>3081074</v>
      </c>
      <c r="G6" s="4">
        <v>3294978</v>
      </c>
      <c r="H6" s="7">
        <f>(H21/G21)*G6</f>
        <v>4283471.4000000004</v>
      </c>
      <c r="I6" s="7">
        <f>(I21/H21)*H6</f>
        <v>5568512.8200000003</v>
      </c>
      <c r="J6" s="7">
        <f t="shared" ref="J6:M6" si="0">(J21/I21)*I6</f>
        <v>6682215.3840000005</v>
      </c>
      <c r="K6" s="7">
        <f t="shared" si="0"/>
        <v>8018658.4608000005</v>
      </c>
      <c r="L6" s="7">
        <f t="shared" si="0"/>
        <v>9622390.1529600006</v>
      </c>
      <c r="M6" s="7">
        <f t="shared" si="0"/>
        <v>11546868.183552001</v>
      </c>
    </row>
    <row r="7" spans="1:13" x14ac:dyDescent="0.2">
      <c r="A7" t="s">
        <v>2</v>
      </c>
      <c r="B7" s="13" t="s">
        <v>65</v>
      </c>
      <c r="C7" s="31">
        <v>8.0000000000000002E-3</v>
      </c>
      <c r="D7" s="25">
        <v>0.08</v>
      </c>
      <c r="E7" s="24"/>
      <c r="F7" s="4">
        <v>1031456</v>
      </c>
      <c r="G7" s="4">
        <v>1539403</v>
      </c>
      <c r="H7" s="7">
        <f>(H22/G22*G7)*(1+$D$7)+H21*$C$7</f>
        <v>3476972.5</v>
      </c>
      <c r="I7" s="7">
        <f t="shared" ref="I7:M7" si="1">(I22/H22*H7)*(1+$D$7)+I21*$C$7</f>
        <v>6024384.7600000007</v>
      </c>
      <c r="J7" s="7">
        <f>(J22/I22*I7)*(1+$D$7)+J21*$C$7</f>
        <v>9195721.0262400024</v>
      </c>
      <c r="K7" s="7">
        <f>(K22/J22*J7)*(1+$D$7)+K21*$C$7</f>
        <v>13139975.412550591</v>
      </c>
      <c r="L7" s="7">
        <f t="shared" si="1"/>
        <v>18328397.288280468</v>
      </c>
      <c r="M7" s="7">
        <f t="shared" si="1"/>
        <v>26997197.291376032</v>
      </c>
    </row>
    <row r="8" spans="1:13" x14ac:dyDescent="0.2">
      <c r="A8" t="s">
        <v>3</v>
      </c>
      <c r="B8" s="13" t="s">
        <v>17</v>
      </c>
      <c r="C8" s="25">
        <v>0.25</v>
      </c>
      <c r="D8" s="25">
        <v>0.2</v>
      </c>
      <c r="E8" s="24"/>
      <c r="F8" s="4">
        <v>84505</v>
      </c>
      <c r="G8" s="4">
        <v>91654</v>
      </c>
      <c r="H8" s="7">
        <f>G8*(1+$C$8)</f>
        <v>114567.5</v>
      </c>
      <c r="I8" s="7">
        <f t="shared" ref="I8:K8" si="2">H8*(1+$C$8)</f>
        <v>143209.375</v>
      </c>
      <c r="J8" s="7">
        <f t="shared" si="2"/>
        <v>179011.71875</v>
      </c>
      <c r="K8" s="7">
        <f t="shared" si="2"/>
        <v>223764.6484375</v>
      </c>
      <c r="L8" s="7">
        <f>K8*(1+D8)</f>
        <v>268517.578125</v>
      </c>
      <c r="M8" s="7">
        <f>L8*(1+E8)</f>
        <v>268517.578125</v>
      </c>
    </row>
    <row r="9" spans="1:13" x14ac:dyDescent="0.2">
      <c r="A9" t="s">
        <v>4</v>
      </c>
      <c r="B9" s="13" t="s">
        <v>66</v>
      </c>
      <c r="C9" s="25">
        <v>1</v>
      </c>
      <c r="D9" s="25">
        <v>0.5</v>
      </c>
      <c r="E9" s="24"/>
      <c r="F9" s="4">
        <v>516465</v>
      </c>
      <c r="G9" s="4">
        <v>4571543</v>
      </c>
      <c r="H9" s="7">
        <f>G9*(1+$C$9)</f>
        <v>9143086</v>
      </c>
      <c r="I9" s="7">
        <f>H9*(1+$C$9)</f>
        <v>18286172</v>
      </c>
      <c r="J9" s="7">
        <f>I9*(1+$D$9)</f>
        <v>27429258</v>
      </c>
      <c r="K9" s="7">
        <f t="shared" ref="K9:L9" si="3">J9*(1+$D$9)</f>
        <v>41143887</v>
      </c>
      <c r="L9" s="7">
        <f t="shared" si="3"/>
        <v>61715830.5</v>
      </c>
      <c r="M9" s="7">
        <f>L9*(1+$D$9)</f>
        <v>92573745.75</v>
      </c>
    </row>
    <row r="10" spans="1:13" x14ac:dyDescent="0.2">
      <c r="A10" s="11" t="s">
        <v>11</v>
      </c>
      <c r="B10" s="19"/>
      <c r="C10" s="19"/>
      <c r="D10" s="19"/>
      <c r="E10" s="19"/>
      <c r="F10" s="8">
        <f>SUM(F6:F9)</f>
        <v>4713500</v>
      </c>
      <c r="G10" s="8">
        <f>SUM(G6:G9)</f>
        <v>9497578</v>
      </c>
      <c r="H10" s="8">
        <f t="shared" ref="H10:M10" si="4">SUM(H6:H9)</f>
        <v>17018097.399999999</v>
      </c>
      <c r="I10" s="8">
        <f t="shared" si="4"/>
        <v>30022278.955000002</v>
      </c>
      <c r="J10" s="8">
        <f t="shared" si="4"/>
        <v>43486206.128990002</v>
      </c>
      <c r="K10" s="8">
        <f t="shared" si="4"/>
        <v>62526285.52178809</v>
      </c>
      <c r="L10" s="8">
        <f t="shared" si="4"/>
        <v>89935135.51936546</v>
      </c>
      <c r="M10" s="8">
        <f t="shared" si="4"/>
        <v>131386328.80305304</v>
      </c>
    </row>
    <row r="11" spans="1:13" x14ac:dyDescent="0.2">
      <c r="B11" s="20"/>
      <c r="C11" s="20"/>
      <c r="D11" s="20"/>
      <c r="E11" s="20"/>
    </row>
    <row r="12" spans="1:13" x14ac:dyDescent="0.2">
      <c r="A12" s="2" t="s">
        <v>6</v>
      </c>
      <c r="B12" s="14"/>
      <c r="C12" s="23"/>
      <c r="D12" s="23"/>
      <c r="E12" s="23"/>
    </row>
    <row r="13" spans="1:13" x14ac:dyDescent="0.2">
      <c r="A13" t="s">
        <v>7</v>
      </c>
      <c r="B13" s="13" t="s">
        <v>27</v>
      </c>
      <c r="C13" s="24"/>
      <c r="D13" s="24"/>
      <c r="E13" s="24"/>
      <c r="F13" s="4">
        <v>1937971</v>
      </c>
      <c r="G13" s="4">
        <v>1911848</v>
      </c>
      <c r="H13" s="7">
        <f>G13*(H21/G21)</f>
        <v>2485402.4</v>
      </c>
      <c r="I13" s="7">
        <f t="shared" ref="I13:M13" si="5">H13*(I21/H21)</f>
        <v>3231023.12</v>
      </c>
      <c r="J13" s="7">
        <f t="shared" si="5"/>
        <v>3877227.7439999999</v>
      </c>
      <c r="K13" s="7">
        <f t="shared" si="5"/>
        <v>4652673.2927999999</v>
      </c>
      <c r="L13" s="7">
        <f t="shared" si="5"/>
        <v>5583207.9513599994</v>
      </c>
      <c r="M13" s="7">
        <f t="shared" si="5"/>
        <v>6699849.5416319994</v>
      </c>
    </row>
    <row r="14" spans="1:13" x14ac:dyDescent="0.2">
      <c r="A14" t="s">
        <v>8</v>
      </c>
      <c r="B14" s="13" t="s">
        <v>27</v>
      </c>
      <c r="C14" s="24"/>
      <c r="D14" s="24"/>
      <c r="E14" s="24"/>
      <c r="F14" s="4">
        <v>234270</v>
      </c>
      <c r="G14" s="6">
        <v>222712</v>
      </c>
      <c r="H14" s="7">
        <f>G14*(H21/G21)</f>
        <v>289525.60000000003</v>
      </c>
      <c r="I14" s="7">
        <f t="shared" ref="I14:M14" si="6">H14*(I21/H21)</f>
        <v>376383.28000000009</v>
      </c>
      <c r="J14" s="7">
        <f t="shared" si="6"/>
        <v>451659.9360000001</v>
      </c>
      <c r="K14" s="7">
        <f t="shared" si="6"/>
        <v>541991.92320000008</v>
      </c>
      <c r="L14" s="7">
        <f t="shared" si="6"/>
        <v>650390.30784000002</v>
      </c>
      <c r="M14" s="7">
        <f t="shared" si="6"/>
        <v>780468.36940800003</v>
      </c>
    </row>
    <row r="15" spans="1:13" x14ac:dyDescent="0.2">
      <c r="A15" t="s">
        <v>9</v>
      </c>
      <c r="B15" s="13" t="s">
        <v>28</v>
      </c>
      <c r="C15" s="25">
        <v>0.5</v>
      </c>
      <c r="D15" s="24"/>
      <c r="E15" s="24"/>
      <c r="F15" s="4">
        <v>136285</v>
      </c>
      <c r="G15" s="4">
        <v>143901</v>
      </c>
      <c r="H15" s="7">
        <f>H8*1.5</f>
        <v>171851.25</v>
      </c>
      <c r="I15" s="7">
        <f t="shared" ref="I15:M15" si="7">I8*1.5</f>
        <v>214814.0625</v>
      </c>
      <c r="J15" s="7">
        <f t="shared" si="7"/>
        <v>268517.578125</v>
      </c>
      <c r="K15" s="7">
        <f t="shared" si="7"/>
        <v>335646.97265625</v>
      </c>
      <c r="L15" s="7">
        <f t="shared" si="7"/>
        <v>402776.3671875</v>
      </c>
      <c r="M15" s="7">
        <f t="shared" si="7"/>
        <v>402776.3671875</v>
      </c>
    </row>
    <row r="16" spans="1:13" x14ac:dyDescent="0.2">
      <c r="A16" t="s">
        <v>10</v>
      </c>
      <c r="B16" s="13" t="s">
        <v>29</v>
      </c>
      <c r="C16" s="26">
        <v>0.02</v>
      </c>
      <c r="D16" s="26">
        <v>0.01</v>
      </c>
      <c r="E16" s="26">
        <v>7.4999999999999997E-3</v>
      </c>
      <c r="F16" s="4">
        <v>508239</v>
      </c>
      <c r="G16" s="4">
        <v>4474534</v>
      </c>
      <c r="H16" s="7">
        <f>H9*(1-C16)</f>
        <v>8960224.2799999993</v>
      </c>
      <c r="I16" s="7">
        <f>I9*(1-D16)</f>
        <v>18103310.280000001</v>
      </c>
      <c r="J16" s="7">
        <f>J9*(1-$E$16)</f>
        <v>27223538.565000001</v>
      </c>
      <c r="K16" s="7">
        <f t="shared" ref="K16:M16" si="8">K9*(1-$E$16)</f>
        <v>40835307.847500004</v>
      </c>
      <c r="L16" s="7">
        <f t="shared" si="8"/>
        <v>61252961.771250002</v>
      </c>
      <c r="M16" s="7">
        <f t="shared" si="8"/>
        <v>91879442.656874999</v>
      </c>
    </row>
    <row r="17" spans="1:14" x14ac:dyDescent="0.2">
      <c r="A17" t="s">
        <v>12</v>
      </c>
      <c r="B17" s="13" t="s">
        <v>30</v>
      </c>
      <c r="C17" s="24"/>
      <c r="D17" s="24"/>
      <c r="E17" s="24"/>
      <c r="F17" s="4">
        <v>6950</v>
      </c>
      <c r="G17" s="4">
        <v>11174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4" x14ac:dyDescent="0.2">
      <c r="A18" s="11" t="s">
        <v>13</v>
      </c>
      <c r="B18" s="19"/>
      <c r="C18" s="19"/>
      <c r="D18" s="19"/>
      <c r="E18" s="19"/>
      <c r="F18" s="10">
        <f>SUM(F13:F17)</f>
        <v>2823715</v>
      </c>
      <c r="G18" s="10">
        <f>SUM(G13:G17)</f>
        <v>6764169</v>
      </c>
      <c r="H18" s="10">
        <f t="shared" ref="H18:M18" si="9">SUM(H13:H17)</f>
        <v>11907003.529999999</v>
      </c>
      <c r="I18" s="10">
        <f t="shared" si="9"/>
        <v>21925530.7425</v>
      </c>
      <c r="J18" s="10">
        <f t="shared" si="9"/>
        <v>31820943.823125001</v>
      </c>
      <c r="K18" s="10">
        <f t="shared" si="9"/>
        <v>46365620.036156252</v>
      </c>
      <c r="L18" s="10">
        <f t="shared" si="9"/>
        <v>67889336.397637501</v>
      </c>
      <c r="M18" s="10">
        <f t="shared" si="9"/>
        <v>99762536.935102493</v>
      </c>
    </row>
    <row r="19" spans="1:14" x14ac:dyDescent="0.2">
      <c r="A19" s="15" t="s">
        <v>26</v>
      </c>
      <c r="B19" s="16"/>
      <c r="C19" s="16"/>
      <c r="D19" s="16"/>
      <c r="E19" s="16"/>
      <c r="F19" s="17">
        <f>(F10-F18)/F10</f>
        <v>0.4009303065662459</v>
      </c>
      <c r="G19" s="17">
        <f>(G10-G18)/G10</f>
        <v>0.28780063717297188</v>
      </c>
      <c r="H19" s="17">
        <f t="shared" ref="H19:M19" si="10">(H10-H18)/H10</f>
        <v>0.30033286035840878</v>
      </c>
      <c r="I19" s="17">
        <f t="shared" si="10"/>
        <v>0.26969132571968008</v>
      </c>
      <c r="J19" s="17">
        <f t="shared" si="10"/>
        <v>0.26825201240281055</v>
      </c>
      <c r="K19" s="17">
        <f t="shared" si="10"/>
        <v>0.25846194685594182</v>
      </c>
      <c r="L19" s="17">
        <f t="shared" si="10"/>
        <v>0.24512999279331607</v>
      </c>
      <c r="M19" s="17">
        <f t="shared" si="10"/>
        <v>0.24069316919079406</v>
      </c>
    </row>
    <row r="20" spans="1:14" x14ac:dyDescent="0.2">
      <c r="A20" s="1"/>
      <c r="B20" s="1"/>
      <c r="C20" s="1"/>
      <c r="D20" s="1"/>
      <c r="E20" s="1"/>
    </row>
    <row r="21" spans="1:14" x14ac:dyDescent="0.2">
      <c r="A21" t="s">
        <v>16</v>
      </c>
      <c r="B21" s="18" t="s">
        <v>31</v>
      </c>
      <c r="C21" s="25">
        <v>0.3</v>
      </c>
      <c r="D21" s="25">
        <v>0.2</v>
      </c>
      <c r="E21" s="24"/>
      <c r="F21" s="4">
        <v>106239000</v>
      </c>
      <c r="G21" s="4">
        <v>112295000</v>
      </c>
      <c r="H21" s="4">
        <f>G21*(1+C21)</f>
        <v>145983500</v>
      </c>
      <c r="I21" s="4">
        <f>H21*(1+C21)</f>
        <v>189778550</v>
      </c>
      <c r="J21" s="4">
        <f>I21*(1+$D$21)</f>
        <v>227734260</v>
      </c>
      <c r="K21" s="4">
        <f t="shared" ref="K21:M21" si="11">J21*(1+$D$21)</f>
        <v>273281112</v>
      </c>
      <c r="L21" s="4">
        <f t="shared" si="11"/>
        <v>327937334.39999998</v>
      </c>
      <c r="M21" s="4">
        <f t="shared" si="11"/>
        <v>393524801.27999997</v>
      </c>
    </row>
    <row r="22" spans="1:14" x14ac:dyDescent="0.2">
      <c r="A22" t="s">
        <v>18</v>
      </c>
      <c r="B22" s="18" t="s">
        <v>32</v>
      </c>
      <c r="C22" s="24"/>
      <c r="D22" s="24"/>
      <c r="E22" s="24"/>
      <c r="F22">
        <v>24</v>
      </c>
      <c r="G22">
        <v>36</v>
      </c>
      <c r="H22">
        <v>50</v>
      </c>
      <c r="I22">
        <v>60</v>
      </c>
      <c r="J22">
        <v>68</v>
      </c>
      <c r="K22">
        <v>75</v>
      </c>
      <c r="L22">
        <v>83</v>
      </c>
      <c r="M22">
        <v>100</v>
      </c>
    </row>
    <row r="24" spans="1:14" x14ac:dyDescent="0.2">
      <c r="A24" s="1" t="s">
        <v>33</v>
      </c>
      <c r="B24" s="18" t="s">
        <v>74</v>
      </c>
      <c r="C24" s="25">
        <v>0.3</v>
      </c>
      <c r="D24" s="25">
        <v>0.19</v>
      </c>
      <c r="E24" s="24"/>
      <c r="F24" s="4">
        <v>670606</v>
      </c>
      <c r="G24" s="4">
        <v>881826</v>
      </c>
      <c r="H24" s="7">
        <f>G24*(1+$C$24)</f>
        <v>1146373.8</v>
      </c>
      <c r="I24" s="7">
        <f t="shared" ref="I24:J24" si="12">H24*(1+$C$24)</f>
        <v>1490285.9400000002</v>
      </c>
      <c r="J24" s="7">
        <f t="shared" si="12"/>
        <v>1937371.7220000003</v>
      </c>
      <c r="K24" s="7">
        <f>J24*(1+$D$24)</f>
        <v>2305472.3491800004</v>
      </c>
      <c r="L24" s="7">
        <f>K24*(1+$D$24)</f>
        <v>2743512.0955242002</v>
      </c>
      <c r="M24" s="7">
        <f>L24*(1+$D$24)</f>
        <v>3264779.3936737981</v>
      </c>
    </row>
    <row r="25" spans="1:14" x14ac:dyDescent="0.2">
      <c r="A25" s="1" t="s">
        <v>36</v>
      </c>
      <c r="B25" s="18" t="s">
        <v>70</v>
      </c>
      <c r="C25" s="25">
        <v>0.8</v>
      </c>
      <c r="D25" s="25">
        <v>0.5</v>
      </c>
      <c r="E25" s="25">
        <v>0.25</v>
      </c>
      <c r="F25" s="4">
        <v>624832</v>
      </c>
      <c r="G25" s="4">
        <v>1109670</v>
      </c>
      <c r="H25" s="7">
        <f>G25*(1+$C$25)</f>
        <v>1997406</v>
      </c>
      <c r="I25" s="7">
        <f>H25*(1+$C$25)</f>
        <v>3595330.8000000003</v>
      </c>
      <c r="J25" s="7">
        <f>I25*(1+$D$25)</f>
        <v>5392996.2000000002</v>
      </c>
      <c r="K25" s="7">
        <f t="shared" ref="K25:L25" si="13">J25*(1+$D$25)</f>
        <v>8089494.3000000007</v>
      </c>
      <c r="L25" s="7">
        <f t="shared" si="13"/>
        <v>12134241.450000001</v>
      </c>
      <c r="M25" s="7">
        <f>L25*(1+E25)</f>
        <v>15167801.812500002</v>
      </c>
    </row>
    <row r="26" spans="1:14" x14ac:dyDescent="0.2">
      <c r="A26" s="1" t="s">
        <v>37</v>
      </c>
      <c r="B26" s="18" t="s">
        <v>40</v>
      </c>
      <c r="C26" s="25">
        <v>0.25</v>
      </c>
      <c r="D26" s="24"/>
      <c r="E26" s="24"/>
      <c r="F26" s="4">
        <v>436250</v>
      </c>
      <c r="G26" s="4">
        <v>579203</v>
      </c>
      <c r="H26" s="7">
        <f>G26*(1+$C$26)</f>
        <v>724003.75</v>
      </c>
      <c r="I26" s="7">
        <f t="shared" ref="I26:M26" si="14">H26*(1+$C$26)</f>
        <v>905004.6875</v>
      </c>
      <c r="J26" s="7">
        <f t="shared" si="14"/>
        <v>1131255.859375</v>
      </c>
      <c r="K26" s="7">
        <f t="shared" si="14"/>
        <v>1414069.82421875</v>
      </c>
      <c r="L26" s="7">
        <f t="shared" si="14"/>
        <v>1767587.2802734375</v>
      </c>
      <c r="M26" s="7">
        <f t="shared" si="14"/>
        <v>2209484.1003417969</v>
      </c>
    </row>
    <row r="27" spans="1:14" x14ac:dyDescent="0.2">
      <c r="A27" s="1" t="s">
        <v>39</v>
      </c>
      <c r="B27" s="18" t="s">
        <v>69</v>
      </c>
      <c r="C27" s="25">
        <v>0.6</v>
      </c>
      <c r="D27" s="24"/>
      <c r="E27" s="24"/>
      <c r="F27" s="4">
        <v>126959</v>
      </c>
      <c r="G27" s="4">
        <v>177670</v>
      </c>
      <c r="H27" s="7">
        <f>G27*(1+($C$27*((H22/G22)-1)))</f>
        <v>219126.33333333334</v>
      </c>
      <c r="I27" s="7">
        <f t="shared" ref="I27:M27" si="15">H27*(1+($C$27*((I22/H22)-1)))</f>
        <v>245421.49333333332</v>
      </c>
      <c r="J27" s="7">
        <f t="shared" si="15"/>
        <v>265055.21279999998</v>
      </c>
      <c r="K27" s="7">
        <f t="shared" si="15"/>
        <v>281426.27006117644</v>
      </c>
      <c r="L27" s="7">
        <f t="shared" si="15"/>
        <v>299437.55134509178</v>
      </c>
      <c r="M27" s="7">
        <f t="shared" si="15"/>
        <v>336235.90102846449</v>
      </c>
    </row>
    <row r="28" spans="1:14" x14ac:dyDescent="0.2">
      <c r="A28" s="1" t="s">
        <v>38</v>
      </c>
      <c r="B28" s="18" t="s">
        <v>30</v>
      </c>
      <c r="C28" s="24"/>
      <c r="D28" s="24"/>
      <c r="E28" s="24"/>
      <c r="F28" s="4">
        <v>4481</v>
      </c>
      <c r="G28" s="4">
        <v>3855</v>
      </c>
      <c r="H28" s="7">
        <v>0</v>
      </c>
      <c r="I28" s="7"/>
      <c r="J28" s="7">
        <v>0</v>
      </c>
      <c r="K28" s="7">
        <v>0</v>
      </c>
      <c r="L28" s="7">
        <v>0</v>
      </c>
      <c r="M28" s="7">
        <v>0</v>
      </c>
      <c r="N28" s="7"/>
    </row>
    <row r="29" spans="1:14" x14ac:dyDescent="0.2">
      <c r="A29" s="11" t="s">
        <v>42</v>
      </c>
      <c r="B29" s="9"/>
      <c r="C29" s="9"/>
      <c r="D29" s="9"/>
      <c r="E29" s="9"/>
      <c r="F29" s="10">
        <f>SUM(F24:F28)</f>
        <v>1863128</v>
      </c>
      <c r="G29" s="10">
        <f>SUM(G24:G28)</f>
        <v>2752224</v>
      </c>
      <c r="H29" s="10">
        <f t="shared" ref="H29:M29" si="16">SUM(H24:H28)</f>
        <v>4086909.8833333333</v>
      </c>
      <c r="I29" s="10">
        <f t="shared" si="16"/>
        <v>6236042.9208333334</v>
      </c>
      <c r="J29" s="10">
        <f t="shared" si="16"/>
        <v>8726678.9941750001</v>
      </c>
      <c r="K29" s="10">
        <f t="shared" si="16"/>
        <v>12090462.743459927</v>
      </c>
      <c r="L29" s="10">
        <f t="shared" si="16"/>
        <v>16944778.377142731</v>
      </c>
      <c r="M29" s="10">
        <f t="shared" si="16"/>
        <v>20978301.207544062</v>
      </c>
    </row>
    <row r="31" spans="1:14" x14ac:dyDescent="0.2">
      <c r="A31" s="19" t="s">
        <v>43</v>
      </c>
      <c r="B31" s="9"/>
      <c r="C31" s="9"/>
      <c r="D31" s="9"/>
      <c r="E31" s="9"/>
      <c r="F31" s="10">
        <f>F10-F18-F29</f>
        <v>26657</v>
      </c>
      <c r="G31" s="10">
        <f>G10-G18-G29</f>
        <v>-18815</v>
      </c>
      <c r="H31" s="10">
        <f t="shared" ref="H31:M31" si="17">H10-H18-H29</f>
        <v>1024183.9866666659</v>
      </c>
      <c r="I31" s="10">
        <f t="shared" si="17"/>
        <v>1860705.2916666688</v>
      </c>
      <c r="J31" s="10">
        <f t="shared" si="17"/>
        <v>2938583.3116900008</v>
      </c>
      <c r="K31" s="10">
        <f t="shared" si="17"/>
        <v>4070202.7421719115</v>
      </c>
      <c r="L31" s="10">
        <f t="shared" si="17"/>
        <v>5101020.7445852272</v>
      </c>
      <c r="M31" s="10">
        <f t="shared" si="17"/>
        <v>10645490.660406481</v>
      </c>
    </row>
    <row r="33" spans="1:13" x14ac:dyDescent="0.2">
      <c r="A33" s="16" t="s">
        <v>44</v>
      </c>
      <c r="B33" s="27" t="s">
        <v>49</v>
      </c>
      <c r="C33" s="28"/>
      <c r="D33" s="28"/>
      <c r="E33" s="28"/>
      <c r="F33" s="4">
        <v>21516</v>
      </c>
      <c r="G33" s="4">
        <v>56943</v>
      </c>
      <c r="H33" s="4">
        <v>120000</v>
      </c>
      <c r="I33" s="4">
        <v>90000</v>
      </c>
      <c r="J33" s="4">
        <v>70000</v>
      </c>
      <c r="K33" s="4">
        <v>70000</v>
      </c>
      <c r="L33" s="4">
        <v>50000</v>
      </c>
      <c r="M33" s="4">
        <v>30000</v>
      </c>
    </row>
    <row r="34" spans="1:13" x14ac:dyDescent="0.2">
      <c r="A34" s="1" t="s">
        <v>45</v>
      </c>
      <c r="B34" s="27" t="s">
        <v>47</v>
      </c>
      <c r="C34" s="29">
        <v>0.15</v>
      </c>
      <c r="D34" s="28"/>
      <c r="E34" s="28"/>
      <c r="F34">
        <v>2767</v>
      </c>
      <c r="G34">
        <v>2862</v>
      </c>
      <c r="H34" s="4">
        <f>IF(H31-H33&lt;0,0,(H31-H33)*$C$34)</f>
        <v>135627.59799999988</v>
      </c>
      <c r="I34" s="4">
        <f t="shared" ref="I34:M34" si="18">IF(I31-I33&lt;0,0,(I31-I33)*$C$34)</f>
        <v>265605.7937500003</v>
      </c>
      <c r="J34" s="4">
        <f t="shared" si="18"/>
        <v>430287.49675350013</v>
      </c>
      <c r="K34" s="4">
        <f t="shared" si="18"/>
        <v>600030.41132578673</v>
      </c>
      <c r="L34" s="4">
        <f t="shared" si="18"/>
        <v>757653.11168778408</v>
      </c>
      <c r="M34" s="4">
        <f t="shared" si="18"/>
        <v>1592323.5990609722</v>
      </c>
    </row>
    <row r="35" spans="1:13" x14ac:dyDescent="0.2">
      <c r="A35" s="16" t="s">
        <v>46</v>
      </c>
      <c r="B35" s="30" t="s">
        <v>48</v>
      </c>
      <c r="C35" s="28"/>
      <c r="D35" s="28"/>
      <c r="E35" s="28"/>
      <c r="F35" s="7">
        <f>F31-F33-F34</f>
        <v>2374</v>
      </c>
      <c r="G35" s="7">
        <f>G31-G33-G34</f>
        <v>-78620</v>
      </c>
      <c r="H35" s="7">
        <f>H31-H33-H34</f>
        <v>768556.388666666</v>
      </c>
      <c r="I35" s="7">
        <f t="shared" ref="I35:M35" si="19">I31-I33-I34</f>
        <v>1505099.4979166687</v>
      </c>
      <c r="J35" s="7">
        <f t="shared" si="19"/>
        <v>2438295.8149365005</v>
      </c>
      <c r="K35" s="7">
        <f t="shared" si="19"/>
        <v>3400172.3308461248</v>
      </c>
      <c r="L35" s="7">
        <f t="shared" si="19"/>
        <v>4293367.6328974431</v>
      </c>
      <c r="M35" s="7">
        <f t="shared" si="19"/>
        <v>9023167.0613455102</v>
      </c>
    </row>
    <row r="38" spans="1:13" x14ac:dyDescent="0.2">
      <c r="A38" s="16" t="s">
        <v>50</v>
      </c>
      <c r="B38" s="32">
        <f>M31</f>
        <v>10645490.660406481</v>
      </c>
    </row>
    <row r="39" spans="1:13" x14ac:dyDescent="0.2">
      <c r="A39" s="16" t="s">
        <v>51</v>
      </c>
      <c r="B39" s="33">
        <v>20</v>
      </c>
    </row>
    <row r="40" spans="1:13" x14ac:dyDescent="0.2">
      <c r="A40" s="16" t="s">
        <v>52</v>
      </c>
      <c r="B40" s="32">
        <f>B38*B39</f>
        <v>212909813.20812964</v>
      </c>
    </row>
    <row r="41" spans="1:13" x14ac:dyDescent="0.2">
      <c r="A41" s="16" t="s">
        <v>53</v>
      </c>
      <c r="B41" s="34">
        <f>(M10-M18)*0.5</f>
        <v>15811895.933975272</v>
      </c>
    </row>
    <row r="42" spans="1:13" x14ac:dyDescent="0.2">
      <c r="A42" s="16" t="s">
        <v>54</v>
      </c>
      <c r="B42" s="35">
        <v>2586000</v>
      </c>
    </row>
    <row r="43" spans="1:13" x14ac:dyDescent="0.2">
      <c r="A43" s="16" t="s">
        <v>55</v>
      </c>
      <c r="B43" s="32">
        <f>B40+B41-B42</f>
        <v>226135709.14210492</v>
      </c>
    </row>
    <row r="44" spans="1:13" x14ac:dyDescent="0.2">
      <c r="A44" s="16" t="s">
        <v>56</v>
      </c>
      <c r="B44" s="36">
        <v>0.01</v>
      </c>
    </row>
    <row r="45" spans="1:13" x14ac:dyDescent="0.2">
      <c r="A45" s="16" t="s">
        <v>57</v>
      </c>
      <c r="B45" s="37">
        <f>454600*POWER(1+B44,6)</f>
        <v>482567.06046321464</v>
      </c>
    </row>
    <row r="46" spans="1:13" x14ac:dyDescent="0.2">
      <c r="A46" s="16" t="s">
        <v>58</v>
      </c>
      <c r="B46" s="38">
        <f>B43/B45</f>
        <v>468.60991491014317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Bear</vt:lpstr>
      <vt:lpstr>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2021-04-27T10:51:17Z</dcterms:created>
  <dcterms:modified xsi:type="dcterms:W3CDTF">2021-04-27T16:23:10Z</dcterms:modified>
</cp:coreProperties>
</file>