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1.xml" ContentType="application/vnd.openxmlformats-officedocument.drawingml.chart+xml"/>
  <Override PartName="/xl/charts/chart80.xml" ContentType="application/vnd.openxmlformats-officedocument.drawingml.chart+xml"/>
  <Override PartName="/xl/charts/chart79.xml" ContentType="application/vnd.openxmlformats-officedocument.drawingml.chart+xml"/>
  <Override PartName="/xl/charts/chart84.xml" ContentType="application/vnd.openxmlformats-officedocument.drawingml.chart+xml"/>
  <Override PartName="/xl/charts/chart78.xml" ContentType="application/vnd.openxmlformats-officedocument.drawingml.chart+xml"/>
  <Override PartName="/xl/charts/chart83.xml" ContentType="application/vnd.openxmlformats-officedocument.drawingml.chart+xml"/>
  <Override PartName="/xl/charts/chart77.xml" ContentType="application/vnd.openxmlformats-officedocument.drawingml.chart+xml"/>
  <Override PartName="/xl/charts/chart82.xml" ContentType="application/vnd.openxmlformats-officedocument.drawingml.chart+xml"/>
  <Override PartName="/xl/charts/chart76.xml" ContentType="application/vnd.openxmlformats-officedocument.drawingml.char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39" windowHeight="8192" windowWidth="16384" xWindow="0" yWindow="0"/>
  </bookViews>
  <sheets>
    <sheet name="tareas" sheetId="1" state="visible" r:id="rId2"/>
    <sheet name="recursos" sheetId="2" state="visible" r:id="rId3"/>
    <sheet name="tareas-ciclo2" sheetId="3" state="visible" r:id="rId4"/>
    <sheet name="recursos-ciclo2" sheetId="4" state="visible" r:id="rId5"/>
    <sheet name="tiempo-ciclo2" sheetId="5" state="visible" r:id="rId6"/>
    <sheet name="tareas-ciclo1" sheetId="6" state="visible" r:id="rId7"/>
    <sheet name="recursos-ciclo1" sheetId="7" state="visible" r:id="rId8"/>
    <sheet name="tiempo-ciclo1" sheetId="8" state="visible" r:id="rId9"/>
  </sheets>
  <definedNames>
    <definedName function="false" hidden="false" name="_1dmtdhe" vbProcedure="false">'tareas-ciclo1'!$G$4:$G$26</definedName>
    <definedName function="false" hidden="false" name="_1dmtdht" vbProcedure="false">'tareas-ciclo1'!$Q$4:$Q$26</definedName>
    <definedName function="false" hidden="false" name="_1pidge" vbProcedure="false">'tareas-ciclo1'!$C$4:$C$26</definedName>
    <definedName function="false" hidden="false" name="_1pidgo" vbProcedure="false">'tareas-ciclo1'!$M$4:$M$26</definedName>
    <definedName function="false" hidden="false" name="_1pmtdhe" vbProcedure="false">'tareas-ciclo1'!$I$4:$I$26</definedName>
    <definedName function="false" hidden="false" name="_1pmtdht" vbProcedure="false">'tareas-ciclo1'!$S$4:$S$26</definedName>
    <definedName function="false" hidden="false" name="_1pqmtdhe" vbProcedure="false">'tareas-ciclo1'!$H$4:$H$26</definedName>
    <definedName function="false" hidden="false" name="_1pqmtdht" vbProcedure="false">'tareas-ciclo1'!$R$4:$R$26</definedName>
    <definedName function="false" hidden="false" name="_1se" vbProcedure="false">'tareas-ciclo1'!$D$4:$D$26</definedName>
    <definedName function="false" hidden="false" name="_1smtdhe" vbProcedure="false">'tareas-ciclo1'!$J$4:$J$26</definedName>
    <definedName function="false" hidden="false" name="_1smtdht" vbProcedure="false">'tareas-ciclo1'!$T$4:$T$26</definedName>
    <definedName function="false" hidden="false" name="_1sr" vbProcedure="false">'tareas-ciclo1'!$N$4:$N$26</definedName>
    <definedName function="false" hidden="false" name="_1tdhe" vbProcedure="false">'tareas-ciclo1'!$B$4:$B$26</definedName>
    <definedName function="false" hidden="false" name="_1tdht" vbProcedure="false">'tareas-ciclo1'!$L$4:$L$26</definedName>
    <definedName function="false" hidden="false" name="_1tid" vbProcedure="false">'tareas-ciclo1'!$A$4:$A$26</definedName>
    <definedName function="false" hidden="false" name="_1tltdhe" vbProcedure="false">'tareas-ciclo1'!$F$4:$F$26</definedName>
    <definedName function="false" hidden="false" name="_1tltdht" vbProcedure="false">'tareas-ciclo1'!$P$4:$P$26</definedName>
    <definedName function="false" hidden="false" name="_2dmtdhe" vbProcedure="false">'tareas-ciclo2'!$G$4:$G$25</definedName>
    <definedName function="false" hidden="false" name="_2dmtdht" vbProcedure="false">'tareas-ciclo2'!$Q$4:$Q$25</definedName>
    <definedName function="false" hidden="false" name="_2pidge" vbProcedure="false">'tareas-ciclo2'!$C$4:$C$25</definedName>
    <definedName function="false" hidden="false" name="_2pidgo" vbProcedure="false">'tareas-ciclo2'!$M$4:$M$25</definedName>
    <definedName function="false" hidden="false" name="_2pmtdhe" vbProcedure="false">'tareas-ciclo2'!$I$4:$I$25</definedName>
    <definedName function="false" hidden="false" name="_2pmtdht" vbProcedure="false">'tareas-ciclo2'!$S$4:$S$25</definedName>
    <definedName function="false" hidden="false" name="_2pqmtdhe" vbProcedure="false">'tareas-ciclo2'!$H$4:$H$25</definedName>
    <definedName function="false" hidden="false" name="_2pqmtdht" vbProcedure="false">'tareas-ciclo2'!$R$4:$R$25</definedName>
    <definedName function="false" hidden="false" name="_2se" vbProcedure="false">'tareas-ciclo2'!$D$4:$D$25</definedName>
    <definedName function="false" hidden="false" name="_2smtdhe" vbProcedure="false">'tareas-ciclo2'!$J$4:$J$25</definedName>
    <definedName function="false" hidden="false" name="_2smtdht" vbProcedure="false">'tareas-ciclo2'!$T$4:$T$25</definedName>
    <definedName function="false" hidden="false" name="_2sr" vbProcedure="false">'tareas-ciclo2'!$N$4:$N$25</definedName>
    <definedName function="false" hidden="false" name="_2tdhe" vbProcedure="false">'tareas-ciclo2'!$B$4:$B$25</definedName>
    <definedName function="false" hidden="false" name="_2tdht" vbProcedure="false">'tareas-ciclo2'!$L$4:$L$25</definedName>
    <definedName function="false" hidden="false" name="_2tid" vbProcedure="false">'tareas-ciclo2'!$A$4:$A$25</definedName>
    <definedName function="false" hidden="false" name="_2tltdhe" vbProcedure="false">'tareas-ciclo2'!$F$4:$F$25</definedName>
    <definedName function="false" hidden="false" name="_2tltdht" vbProcedure="false">'tareas-ciclo2'!$P$4:$P$25</definedName>
    <definedName function="false" hidden="false" name="_gpidge" vbProcedure="false">tareas!$F$3:$F$48</definedName>
    <definedName function="false" hidden="false" name="_gpidgo" vbProcedure="false">tareas!$J$3:$J$48</definedName>
    <definedName function="false" hidden="false" name="_grs" vbProcedure="false">recursos!$A$2:$A$12</definedName>
    <definedName function="false" hidden="false" name="_grtdhd" vbProcedure="false">recursos!$C$2:$C$12</definedName>
    <definedName function="false" hidden="false" name="_grtdhe" vbProcedure="false">recursos!$D$2:$D$12</definedName>
    <definedName function="false" hidden="false" name="_gse" vbProcedure="false">tareas!$G$3:$G$48</definedName>
    <definedName function="false" hidden="false" name="_gsr" vbProcedure="false">tareas!$K$3:$K$48</definedName>
    <definedName function="false" hidden="false" name="_gtdhe" vbProcedure="false">tareas!$E$3:$E$48</definedName>
    <definedName function="false" hidden="false" name="_gtdht" vbProcedure="false">tareas!$I$3:$I$48</definedName>
    <definedName function="false" hidden="false" name="_gtid" vbProcedure="false">tareas!$A$3:$A$48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<sst xmlns="http://schemas.openxmlformats.org/spreadsheetml/2006/main" count="201" uniqueCount="123">
  <si>
    <t>Id</t>
  </si>
  <si>
    <t>Nombre</t>
  </si>
  <si>
    <t>Criterio de entrada</t>
  </si>
  <si>
    <t>Criterio de salida</t>
  </si>
  <si>
    <t>Total de horas estimadas</t>
  </si>
  <si>
    <t>Porcentaje individual de ganancias estimadas</t>
  </si>
  <si>
    <t>Semana</t>
  </si>
  <si>
    <t>Total de horas trabajadas</t>
  </si>
  <si>
    <t>Porcentaje individual de ganancias obtenidas</t>
  </si>
  <si>
    <t>Ver video tutorial de GitHub.</t>
  </si>
  <si>
    <t>Cada integrante del equipo conoce las funcionalidades básicas de GitHub.</t>
  </si>
  <si>
    <t>Realizar el lanzamiento del ciclo #1 de TSPi.</t>
  </si>
  <si>
    <t>Todos los integrantes del equipo han leído los capítulos 1, 2, 3 y el apéndice A del libro Introducción a TSP.</t>
  </si>
  <si>
    <t>Cada integrante del equipo completo la forma INFO; Los roles fueron asignados; Se acordó que días se entregarían los reportes semanales.</t>
  </si>
  <si>
    <t>Definir la estrategía de desarrollo del ciclo #1 de TSPi.</t>
  </si>
  <si>
    <t>Todos los integrantes del equipo han leído el capítulo 4 del libro Introducción a TSP.</t>
  </si>
  <si>
    <t>La estrategía de desarrollo fue documentada.</t>
  </si>
  <si>
    <t>Elaborar el plan del ciclo #1 de TSPi.</t>
  </si>
  <si>
    <t>El equipo ha definido la estrategía de desarrollo y cada integrante del equipo ha leído el capítulo 5 del libro Introducción a TSP.</t>
  </si>
  <si>
    <t>Las formas TASK y SCHEDULE para el equipo y cada integrante fueron completadas; Se completaron las formas SUMP, SUMQ y SUMS.</t>
  </si>
  <si>
    <t>Crear la plantilla para las agendas de las reuniones con los clientes.</t>
  </si>
  <si>
    <t>La plantilla para las agendas de las reuniones con los fue creada.</t>
  </si>
  <si>
    <t>Crear la plantilla para las minutas de las reuniones con los clientes.</t>
  </si>
  <si>
    <t>La plantilla para las minutdas de las reuniones con los clientes fue creada.</t>
  </si>
  <si>
    <t>Crear la agenda para la reunión #1 con el cliente.</t>
  </si>
  <si>
    <t>La plantilla para al agenda de los clientes ha sido creada.</t>
  </si>
  <si>
    <t>La agenda para la reunión #1 con el cliente fue creada.</t>
  </si>
  <si>
    <t>Reunión #1 con el cliente.</t>
  </si>
  <si>
    <t>La agenda para la reunión #1 con el cliente ha sido creada y envíada al cliente.</t>
  </si>
  <si>
    <t>La minuta de la reunión #1 con el cliente fue creada.</t>
  </si>
  <si>
    <t>Crear el esquema del documento de requerimientos.</t>
  </si>
  <si>
    <t>El esquema del documento de requerimientos fue creado.</t>
  </si>
  <si>
    <t>Instalar y configurar RedMine.</t>
  </si>
  <si>
    <t>Cada integrante del equipo ha instalado y configurador RedMine.</t>
  </si>
  <si>
    <t>Instalar y configurar Ruby on Rails.</t>
  </si>
  <si>
    <t>Cada integrante del equipo ha instalado y configurado Ruby on Rails.</t>
  </si>
  <si>
    <t>Reunión de equipo para analizar la minuta de la reunión #1 con el cliente.</t>
  </si>
  <si>
    <t>La minuta de la reunión #1 del cliente ha sido creada.</t>
  </si>
  <si>
    <t>Crear el borrador #1 del diagrama de casos de uso.</t>
  </si>
  <si>
    <t>La reunión de equipo para analizar la minuta de la reunión #1 con el cliente ha sido completada.</t>
  </si>
  <si>
    <t>El borrador #1 del diagrama de casos de uso fue creado.</t>
  </si>
  <si>
    <t>Crear el borrador #1 del documento de los escenarios.</t>
  </si>
  <si>
    <t>El borrador #1 del documento de los escenarios fue creado.</t>
  </si>
  <si>
    <t>Crear el borrador #1 del documento de requerimientos.</t>
  </si>
  <si>
    <t>El borrador #1 del diagrama de casos de uso ha sido creado; El borrador #1 del documento de escenarios ha sido creado.</t>
  </si>
  <si>
    <t>El borrador #1 del documento de requerimientos fue creado.</t>
  </si>
  <si>
    <t>Crear la agenda para la reunión #2 con el cliente.</t>
  </si>
  <si>
    <t>La agenda para la reunión #2 con el cliente fue creada.</t>
  </si>
  <si>
    <t>Reunión #2 con el cliente.</t>
  </si>
  <si>
    <t>La agenda para la reunión #2 con el cliente ha sido creada y envíada al cliente.</t>
  </si>
  <si>
    <t>La minuta de la reunión #2 con el cliente fue creada.</t>
  </si>
  <si>
    <t>Reunión de equipo para analizar la minuta de la reunión #2 con el cliente.</t>
  </si>
  <si>
    <t>La minuta de la reunión #2 del cliente ha sido creada.</t>
  </si>
  <si>
    <t>Crear la versión final del diagrama de casos de uso.</t>
  </si>
  <si>
    <t>El borrador #1 del diagrama de casos de uso ha sido creado; La reunión de equipo para analizar la minuta de la reunión #2 con el cliente ha sido completada.</t>
  </si>
  <si>
    <t>La versión final del diagrama de casos de uso fue creado.</t>
  </si>
  <si>
    <t>Extender los casos de uso.</t>
  </si>
  <si>
    <t>La versión final del diagrama de casos de uso ha sido creada.</t>
  </si>
  <si>
    <t>Los casos de uso fueron extendidos.</t>
  </si>
  <si>
    <t>Crear la versión final del documento de los escenarios.</t>
  </si>
  <si>
    <t>El borrador #1 del documento de escenarios ha sido creado; La reunión de equipo para analizar la  minuta de la reunión #2 con el cliente ha sido completada.</t>
  </si>
  <si>
    <t>La versión final del documento de los escenarios fue creada.</t>
  </si>
  <si>
    <t>Crear la versión final del documento de requerimientos.</t>
  </si>
  <si>
    <t>Los casos de uso han sido extendidos; La versión final del documento de escenarios ha sido creado.</t>
  </si>
  <si>
    <t>La versión final del documento de requerimientos fue creada.</t>
  </si>
  <si>
    <t>Elaborar el reporte de cierre del ciclo #1 de TSPi.</t>
  </si>
  <si>
    <t>Todos los integrantes del equipo han leído los capítulos 10, 16, 17 y 18 del libro Introducción a TSP.</t>
  </si>
  <si>
    <t>Cada integrante del equipo completo la forma PEER; El reporte del ciclo #1 fue creado.</t>
  </si>
  <si>
    <t>Realizar el lanzamiento del ciclo #2 de TSPi.</t>
  </si>
  <si>
    <t>Definir la estrategía de desarrolo del ciclo #2 de TSPi.</t>
  </si>
  <si>
    <t>Elaborar el plan del ciclo #2 de TSPi.</t>
  </si>
  <si>
    <t>Crear el esquema del documento de arquitectura.</t>
  </si>
  <si>
    <t>El esquema del documento de arquitectura fue creado.</t>
  </si>
  <si>
    <t>Reunión de equipo para analizar la versión final del documento de requerimientos.</t>
  </si>
  <si>
    <t>Crear la agenda para la reunión #3 con el cliente.</t>
  </si>
  <si>
    <t>La agenda para la reunión #3 con el cliente fue creada.</t>
  </si>
  <si>
    <t>Reunión #3 con el cliente.</t>
  </si>
  <si>
    <t>La agenda para la reunión #3 con el cliente ha sido creada y envíada al cliente.</t>
  </si>
  <si>
    <t>La minuta de la reunión #3 con el cliente fue creada.</t>
  </si>
  <si>
    <t>Prepararse para presentar al equipo la herramienta RedMine.</t>
  </si>
  <si>
    <t>Presentar al equipo de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</si>
  <si>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</si>
  <si>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</si>
  <si>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</si>
  <si>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</si>
  <si>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de data físico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</si>
  <si>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</si>
  <si>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</si>
  <si>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</si>
  <si>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</si>
  <si>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</si>
  <si>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Presentar al equipo el framework Rails.</t>
  </si>
  <si>
    <t>Mockup de la vista de la calendarización.</t>
  </si>
  <si>
    <t>Elaborar el reporte de cierre del ciclo #2 de TSPi.</t>
  </si>
  <si>
    <t>Fecha de Inicio</t>
  </si>
  <si>
    <t>Horas Disponibles</t>
  </si>
  <si>
    <t>Horas Estimadas</t>
  </si>
  <si>
    <t>Porcentaje Individual de Ganacias Estimadas</t>
  </si>
  <si>
    <t>Porcentaje Acumulado de Ganacias Estimadas</t>
  </si>
  <si>
    <t>Horas Trabajadas</t>
  </si>
  <si>
    <t>Porcentaje Individual de Ganancias Obtenidas</t>
  </si>
  <si>
    <t>Porcentaje Acumulado de Ganancias Obtenidas</t>
  </si>
  <si>
    <t>Totales</t>
  </si>
  <si>
    <t>Plan</t>
  </si>
  <si>
    <t>Realidad</t>
  </si>
  <si>
    <t>Team Leader</t>
  </si>
  <si>
    <t>Developer Manager</t>
  </si>
  <si>
    <t>Quality/Process Manager</t>
  </si>
  <si>
    <t>Planning Manager</t>
  </si>
  <si>
    <t>Support Manager</t>
  </si>
  <si>
    <t>Porcentaje individual de ganacias obtenidas</t>
  </si>
  <si>
    <t>Horas Estimadas Team Leader</t>
  </si>
  <si>
    <t>Horas Estimadas Development Manager</t>
  </si>
  <si>
    <t>Horas Estimadas Process/Quality Manager</t>
  </si>
  <si>
    <t>Horas Estimadas Planning Manager</t>
  </si>
  <si>
    <t>Horas Estimadas Support Manager</t>
  </si>
  <si>
    <t>Total de Horas Estimadas</t>
  </si>
  <si>
    <t>Horas Trabajadas Team Leader</t>
  </si>
  <si>
    <t>Horas Trabajadas Development Manager</t>
  </si>
  <si>
    <t>Horas Trabajadas Process/Quality Manager</t>
  </si>
  <si>
    <t>Horas Trabajadas Planning Manager</t>
  </si>
  <si>
    <t>Horas Trabajadas Support Manager</t>
  </si>
  <si>
    <t>Total de Horas Trabajadas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</si>
</sst>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MM/DD/YYYY" numFmtId="166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  <font>
      <name val="Arial"/>
      <family val="2"/>
      <b val="true"/>
      <sz val="13"/>
    </font>
    <font>
      <name val="Arial"/>
      <family val="2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999999"/>
        <bgColor rgb="00808080"/>
      </patternFill>
    </fill>
    <fill>
      <patternFill patternType="solid">
        <fgColor rgb="00E6E6E6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5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true"/>
    </xf>
    <xf applyAlignment="true" applyBorder="true" applyFont="true" applyProtection="false" borderId="0" fillId="0" fontId="4" numFmtId="165" xfId="0">
      <alignment horizontal="right" indent="0" shrinkToFit="false" textRotation="0" vertical="top" wrapText="true"/>
    </xf>
    <xf applyAlignment="true" applyBorder="true" applyFont="true" applyProtection="false" borderId="0" fillId="0" fontId="5" numFmtId="164" xfId="0">
      <alignment horizontal="right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true" applyFont="true" applyProtection="false" borderId="0" fillId="3" fontId="4" numFmtId="164" xfId="0">
      <alignment horizontal="right" indent="0" shrinkToFit="false" textRotation="0" vertical="top" wrapText="false"/>
    </xf>
    <xf applyAlignment="true" applyBorder="false" applyFont="true" applyProtection="false" borderId="0" fillId="3" fontId="6" numFmtId="164" xfId="0">
      <alignment horizontal="left" indent="0" shrinkToFit="false" textRotation="0" vertical="top" wrapText="true"/>
    </xf>
    <xf applyAlignment="true" applyBorder="false" applyFont="true" applyProtection="false" borderId="0" fillId="3" fontId="4" numFmtId="164" xfId="0">
      <alignment horizontal="left" indent="0" shrinkToFit="false" textRotation="0" vertical="top" wrapText="true"/>
    </xf>
    <xf applyAlignment="true" applyBorder="false" applyFont="true" applyProtection="false" borderId="0" fillId="3" fontId="4" numFmtId="164" xfId="0">
      <alignment horizontal="right" indent="0" shrinkToFit="false" textRotation="0" vertical="top" wrapText="false"/>
    </xf>
    <xf applyAlignment="true" applyBorder="true" applyFont="true" applyProtection="false" borderId="0" fillId="3" fontId="4" numFmtId="165" xfId="0">
      <alignment horizontal="right" indent="0" shrinkToFit="false" textRotation="0" vertical="top" wrapText="true"/>
    </xf>
    <xf applyAlignment="true" applyBorder="false" applyFont="true" applyProtection="false" borderId="0" fillId="3" fontId="4" numFmtId="164" xfId="0">
      <alignment horizontal="left" indent="0" shrinkToFit="false" textRotation="0" vertical="top" wrapText="false"/>
    </xf>
    <xf applyAlignment="true" applyBorder="false" applyFont="true" applyProtection="false" borderId="0" fillId="3" fontId="4" numFmtId="165" xfId="0">
      <alignment horizontal="right" indent="0" shrinkToFit="false" textRotation="0" vertical="top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4" numFmtId="166" xfId="0"/>
    <xf applyAlignment="false" applyBorder="true" applyFont="true" applyProtection="false" borderId="1" fillId="0" fontId="4" numFmtId="165" xfId="0"/>
    <xf applyAlignment="true" applyBorder="true" applyFont="true" applyProtection="false" borderId="0" fillId="0" fontId="4" numFmtId="164" xfId="0">
      <alignment horizontal="general" indent="0" shrinkToFit="false" textRotation="0" vertical="top" wrapText="true"/>
    </xf>
    <xf applyAlignment="true" applyBorder="false" applyFont="true" applyProtection="false" borderId="0" fillId="0" fontId="4" numFmtId="165" xfId="0">
      <alignment horizontal="righ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4" fontId="4" numFmtId="164" xfId="0">
      <alignment horizontal="right" indent="0" shrinkToFit="false" textRotation="0" vertical="top" wrapText="false"/>
    </xf>
    <xf applyAlignment="true" applyBorder="false" applyFont="true" applyProtection="false" borderId="0" fillId="4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5" xfId="0">
      <alignment horizontal="right" indent="0" shrinkToFit="false" textRotation="0" vertical="top" wrapText="false"/>
    </xf>
    <xf applyAlignment="true" applyBorder="true" applyFont="true" applyProtection="false" borderId="0" fillId="0" fontId="6" numFmtId="165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99999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recursos!$F$1:$F$1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recursos!$F$2:$F$12</c:f>
              <c:numCache>
                <c:formatCode>General</c:formatCode>
                <c:ptCount val="11"/>
                <c:pt idx="0">
                  <c:v>0.215568862275449</c:v>
                </c:pt>
                <c:pt idx="1">
                  <c:v>0.416167664670659</c:v>
                </c:pt>
                <c:pt idx="2">
                  <c:v>0.583832335329342</c:v>
                </c:pt>
                <c:pt idx="3">
                  <c:v>0.793413173652695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recursos!$I$1:$I$1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recursos!$I$2:$I$12</c:f>
              <c:numCache>
                <c:formatCode>General</c:formatCode>
                <c:ptCount val="11"/>
                <c:pt idx="0">
                  <c:v>0.137724550898204</c:v>
                </c:pt>
                <c:pt idx="1">
                  <c:v>0.218562874251497</c:v>
                </c:pt>
                <c:pt idx="2">
                  <c:v>0.434131736526946</c:v>
                </c:pt>
                <c:pt idx="3">
                  <c:v>0.61377245508982</c:v>
                </c:pt>
                <c:pt idx="4">
                  <c:v>0.643712574850299</c:v>
                </c:pt>
                <c:pt idx="5">
                  <c:v>0.643712574850299</c:v>
                </c:pt>
                <c:pt idx="6">
                  <c:v>0.643712574850299</c:v>
                </c:pt>
                <c:pt idx="7">
                  <c:v>0.643712574850299</c:v>
                </c:pt>
                <c:pt idx="8">
                  <c:v>0.643712574850299</c:v>
                </c:pt>
                <c:pt idx="9">
                  <c:v>0.643712574850299</c:v>
                </c:pt>
                <c:pt idx="10">
                  <c:v>0.643712574850299</c:v>
                </c:pt>
              </c:numCache>
            </c:numRef>
          </c:val>
        </c:ser>
        <c:marker val="1"/>
        <c:axId val="80968279"/>
        <c:axId val="61650744"/>
      </c:lineChart>
      <c:catAx>
        <c:axId val="80968279"/>
        <c:scaling>
          <c:orientation val="minMax"/>
        </c:scaling>
        <c:axPos val="b"/>
        <c:majorTickMark val="out"/>
        <c:minorTickMark val="none"/>
        <c:tickLblPos val="nextTo"/>
        <c:crossAx val="6165074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165074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096827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Ganacias Estimadas vs Ganacias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'recursos-ciclo2'!$F$1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'recursos-ciclo2'!$F$2:$F$3</c:f>
              <c:numCache>
                <c:formatCode>General</c:formatCode>
                <c:ptCount val="2"/>
                <c:pt idx="0">
                  <c:v>0.503597122302158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'recursos-ciclo2'!$I$1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'recursos-ciclo2'!$I$2:$I$3</c:f>
              <c:numCache>
                <c:formatCode>General</c:formatCode>
                <c:ptCount val="2"/>
                <c:pt idx="0">
                  <c:v>0.431654676258993</c:v>
                </c:pt>
                <c:pt idx="1">
                  <c:v>0.503597122302158</c:v>
                </c:pt>
              </c:numCache>
            </c:numRef>
          </c:val>
        </c:ser>
        <c:marker val="1"/>
        <c:axId val="24916625"/>
        <c:axId val="13863536"/>
      </c:lineChart>
      <c:catAx>
        <c:axId val="24916625"/>
        <c:scaling>
          <c:orientation val="minMax"/>
        </c:scaling>
        <c:axPos val="b"/>
        <c:majorTickMark val="out"/>
        <c:minorTickMark val="none"/>
        <c:tickLblPos val="nextTo"/>
        <c:crossAx val="1386353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386353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491662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'recursos-ciclo2'!$E$1</c:f>
              <c:strCache>
                <c:ptCount val="1"/>
                <c:pt idx="0">
                  <c:v>Porcentaje Individual de Ganacias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'recursos-ciclo2'!$A$2:$A$4</c:f>
              <c:strCache>
                <c:ptCount val="3"/>
                <c:pt idx="0">
                  <c:v>4</c:v>
                </c:pt>
                <c:pt idx="1">
                  <c:v>5</c:v>
                </c:pt>
                <c:pt idx="2">
                  <c:v/>
                </c:pt>
              </c:strCache>
            </c:strRef>
          </c:cat>
          <c:val>
            <c:numRef>
              <c:f>'recursos-ciclo2'!$E$2:$E$3</c:f>
              <c:numCache>
                <c:formatCode>General</c:formatCode>
                <c:ptCount val="2"/>
                <c:pt idx="0">
                  <c:v>0.503597122302158</c:v>
                </c:pt>
                <c:pt idx="1">
                  <c:v>0.496402877697842</c:v>
                </c:pt>
              </c:numCache>
            </c:numRef>
          </c:val>
        </c:ser>
        <c:ser>
          <c:idx val="1"/>
          <c:order val="1"/>
          <c:tx>
            <c:strRef>
              <c:f>'recursos-ciclo2'!$H$1</c:f>
              <c:strCache>
                <c:ptCount val="1"/>
                <c:pt idx="0">
                  <c:v>Porcentaje Individual de Ganancias Obtenidas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'recursos-ciclo2'!$A$2:$A$4</c:f>
              <c:strCache>
                <c:ptCount val="3"/>
                <c:pt idx="0">
                  <c:v>4</c:v>
                </c:pt>
                <c:pt idx="1">
                  <c:v>5</c:v>
                </c:pt>
                <c:pt idx="2">
                  <c:v/>
                </c:pt>
              </c:strCache>
            </c:strRef>
          </c:cat>
          <c:val>
            <c:numRef>
              <c:f>'recursos-ciclo2'!$H$2:$H$3</c:f>
              <c:numCache>
                <c:formatCode>General</c:formatCode>
                <c:ptCount val="2"/>
                <c:pt idx="0">
                  <c:v>0.431654676258993</c:v>
                </c:pt>
                <c:pt idx="1">
                  <c:v>0.0719424460431655</c:v>
                </c:pt>
              </c:numCache>
            </c:numRef>
          </c:val>
        </c:ser>
        <c:gapWidth val="100"/>
        <c:axId val="76152909"/>
        <c:axId val="81105647"/>
      </c:barChart>
      <c:catAx>
        <c:axId val="76152909"/>
        <c:scaling>
          <c:orientation val="minMax"/>
        </c:scaling>
        <c:axPos val="b"/>
        <c:majorTickMark val="out"/>
        <c:minorTickMark val="none"/>
        <c:tickLblPos val="nextTo"/>
        <c:crossAx val="8110564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110564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615290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'tiempo-ciclo2'!$G$1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'tiempo-ciclo2'!$G$2:$G$3</c:f>
              <c:numCache>
                <c:formatCode>General</c:formatCode>
                <c:ptCount val="2"/>
                <c:pt idx="0">
                  <c:v>35</c:v>
                </c:pt>
                <c:pt idx="1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'tiempo-ciclo2'!$N$1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'tiempo-ciclo2'!$N$2:$N$3</c:f>
              <c:numCache>
                <c:formatCode>General</c:formatCode>
                <c:ptCount val="2"/>
                <c:pt idx="0">
                  <c:v>37.46</c:v>
                </c:pt>
                <c:pt idx="1">
                  <c:v>12.51</c:v>
                </c:pt>
              </c:numCache>
            </c:numRef>
          </c:val>
        </c:ser>
        <c:gapWidth val="100"/>
        <c:axId val="84198343"/>
        <c:axId val="20769794"/>
      </c:barChart>
      <c:catAx>
        <c:axId val="84198343"/>
        <c:scaling>
          <c:orientation val="minMax"/>
        </c:scaling>
        <c:axPos val="b"/>
        <c:majorTickMark val="out"/>
        <c:minorTickMark val="none"/>
        <c:tickLblPos val="nextTo"/>
        <c:crossAx val="2076979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076979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419834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Trabajadas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'tiempo-ciclo2'!$I$1</c:f>
              <c:strCache>
                <c:ptCount val="1"/>
                <c:pt idx="0">
                  <c:v>Horas Trabajadas Team Leader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'tiempo-ciclo2'!$I$2:$I$3</c:f>
              <c:numCache>
                <c:formatCode>General</c:formatCode>
                <c:ptCount val="2"/>
                <c:pt idx="0">
                  <c:v>10.33</c:v>
                </c:pt>
                <c:pt idx="1">
                  <c:v>1.25</c:v>
                </c:pt>
              </c:numCache>
            </c:numRef>
          </c:val>
        </c:ser>
        <c:ser>
          <c:idx val="1"/>
          <c:order val="1"/>
          <c:tx>
            <c:strRef>
              <c:f>'tiempo-ciclo2'!$J$1</c:f>
              <c:strCache>
                <c:ptCount val="1"/>
                <c:pt idx="0">
                  <c:v>Horas Trabajadas Development Manager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'tiempo-ciclo2'!$J$2:$J$3</c:f>
              <c:numCache>
                <c:formatCode>General</c:formatCode>
                <c:ptCount val="2"/>
                <c:pt idx="0">
                  <c:v>3.47</c:v>
                </c:pt>
                <c:pt idx="1">
                  <c:v>2.37</c:v>
                </c:pt>
              </c:numCache>
            </c:numRef>
          </c:val>
        </c:ser>
        <c:ser>
          <c:idx val="2"/>
          <c:order val="2"/>
          <c:tx>
            <c:strRef>
              <c:f>'tiempo-ciclo2'!$K$1</c:f>
              <c:strCache>
                <c:ptCount val="1"/>
                <c:pt idx="0">
                  <c:v>Horas Trabajadas Process/Quality Manager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'tiempo-ciclo2'!$K$2:$K$3</c:f>
              <c:numCache>
                <c:formatCode>General</c:formatCode>
                <c:ptCount val="2"/>
                <c:pt idx="0">
                  <c:v>3.43</c:v>
                </c:pt>
                <c:pt idx="1">
                  <c:v>3.12</c:v>
                </c:pt>
              </c:numCache>
            </c:numRef>
          </c:val>
        </c:ser>
        <c:ser>
          <c:idx val="3"/>
          <c:order val="3"/>
          <c:tx>
            <c:strRef>
              <c:f>'tiempo-ciclo2'!$L$1</c:f>
              <c:strCache>
                <c:ptCount val="1"/>
                <c:pt idx="0">
                  <c:v>Horas Trabajadas Planning Manager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'tiempo-ciclo2'!$L$2:$L$3</c:f>
              <c:numCache>
                <c:formatCode>General</c:formatCode>
                <c:ptCount val="2"/>
                <c:pt idx="0">
                  <c:v>6.13</c:v>
                </c:pt>
                <c:pt idx="1">
                  <c:v>0.6</c:v>
                </c:pt>
              </c:numCache>
            </c:numRef>
          </c:val>
        </c:ser>
        <c:ser>
          <c:idx val="4"/>
          <c:order val="4"/>
          <c:tx>
            <c:strRef>
              <c:f>'tiempo-ciclo2'!$M$1</c:f>
              <c:strCache>
                <c:ptCount val="1"/>
                <c:pt idx="0">
                  <c:v>Horas Trabajadas Support Manager</c:v>
                </c:pt>
              </c:strCache>
            </c:strRef>
          </c:tx>
          <c:spPr>
            <a:solidFill>
              <a:srgbClr val="00b8ff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'tiempo-ciclo2'!$M$2:$M$3</c:f>
              <c:numCache>
                <c:formatCode>General</c:formatCode>
                <c:ptCount val="2"/>
                <c:pt idx="0">
                  <c:v>14.1</c:v>
                </c:pt>
                <c:pt idx="1">
                  <c:v>5.17</c:v>
                </c:pt>
              </c:numCache>
            </c:numRef>
          </c:val>
        </c:ser>
        <c:gapWidth val="100"/>
        <c:axId val="87497437"/>
        <c:axId val="74435909"/>
      </c:barChart>
      <c:catAx>
        <c:axId val="87497437"/>
        <c:scaling>
          <c:orientation val="minMax"/>
        </c:scaling>
        <c:axPos val="b"/>
        <c:majorTickMark val="out"/>
        <c:minorTickMark val="none"/>
        <c:tickLblPos val="nextTo"/>
        <c:crossAx val="7443590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443590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749743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Ganacias Estimadas vs Ganacias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'recursos-ciclo1'!$F$1:$F$1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'recursos-ciclo1'!$F$2:$F$4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0.712820512820513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'recursos-ciclo1'!$I$1:$I$1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'recursos-ciclo1'!$I$2:$I$4</c:f>
              <c:numCache>
                <c:formatCode>General</c:formatCode>
                <c:ptCount val="3"/>
                <c:pt idx="0">
                  <c:v>0.235897435897436</c:v>
                </c:pt>
                <c:pt idx="1">
                  <c:v>0.374358974358975</c:v>
                </c:pt>
                <c:pt idx="2">
                  <c:v>0.743589743589745</c:v>
                </c:pt>
              </c:numCache>
            </c:numRef>
          </c:val>
        </c:ser>
        <c:marker val="1"/>
        <c:axId val="26857355"/>
        <c:axId val="40713872"/>
      </c:lineChart>
      <c:catAx>
        <c:axId val="26857355"/>
        <c:scaling>
          <c:orientation val="minMax"/>
        </c:scaling>
        <c:axPos val="b"/>
        <c:majorTickMark val="out"/>
        <c:minorTickMark val="none"/>
        <c:tickLblPos val="nextTo"/>
        <c:crossAx val="4071387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071387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685735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'recursos-ciclo1'!$E$1:$E$1</c:f>
              <c:strCache>
                <c:ptCount val="1"/>
                <c:pt idx="0">
                  <c:v>Porcentaje Individual de Ganacias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'recursos-ciclo1'!$E$2:$E$4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0.343589743589744</c:v>
                </c:pt>
                <c:pt idx="2">
                  <c:v>0.287179487179487</c:v>
                </c:pt>
              </c:numCache>
            </c:numRef>
          </c:val>
        </c:ser>
        <c:ser>
          <c:idx val="1"/>
          <c:order val="1"/>
          <c:tx>
            <c:strRef>
              <c:f>'recursos-ciclo1'!$H$1:$H$1</c:f>
              <c:strCache>
                <c:ptCount val="1"/>
                <c:pt idx="0">
                  <c:v>Porcentaje Individual de Ganancias Obtenidas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'recursos-ciclo1'!$H$2:$H$4</c:f>
              <c:numCache>
                <c:formatCode>General</c:formatCode>
                <c:ptCount val="3"/>
                <c:pt idx="0">
                  <c:v>0.235897435897436</c:v>
                </c:pt>
                <c:pt idx="1">
                  <c:v>0.138461538461539</c:v>
                </c:pt>
                <c:pt idx="2">
                  <c:v>0.36923076923077</c:v>
                </c:pt>
              </c:numCache>
            </c:numRef>
          </c:val>
        </c:ser>
        <c:gapWidth val="100"/>
        <c:axId val="66923963"/>
        <c:axId val="66846092"/>
      </c:barChart>
      <c:catAx>
        <c:axId val="66923963"/>
        <c:scaling>
          <c:orientation val="minMax"/>
        </c:scaling>
        <c:axPos val="b"/>
        <c:majorTickMark val="out"/>
        <c:minorTickMark val="none"/>
        <c:tickLblPos val="nextTo"/>
        <c:crossAx val="6684609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684609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692396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'tiempo-ciclo1'!$G$1:$G$1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'tiempo-ciclo1'!$G$2:$G$4</c:f>
              <c:numCache>
                <c:formatCode>General</c:formatCode>
                <c:ptCount val="3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'tiempo-ciclo1'!$N$1:$N$1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'tiempo-ciclo1'!$N$2:$N$4</c:f>
              <c:numCache>
                <c:formatCode>General</c:formatCode>
                <c:ptCount val="3"/>
                <c:pt idx="0">
                  <c:v>21.07</c:v>
                </c:pt>
                <c:pt idx="1">
                  <c:v>29.03</c:v>
                </c:pt>
                <c:pt idx="2">
                  <c:v>40.64</c:v>
                </c:pt>
              </c:numCache>
            </c:numRef>
          </c:val>
        </c:ser>
        <c:gapWidth val="100"/>
        <c:axId val="1572561"/>
        <c:axId val="74769617"/>
      </c:barChart>
      <c:catAx>
        <c:axId val="1572561"/>
        <c:scaling>
          <c:orientation val="minMax"/>
        </c:scaling>
        <c:axPos val="b"/>
        <c:majorTickMark val="out"/>
        <c:minorTickMark val="none"/>
        <c:tickLblPos val="nextTo"/>
        <c:crossAx val="7476961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476961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57256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'tiempo-ciclo1'!$I$1:$I$1</c:f>
              <c:strCache>
                <c:ptCount val="1"/>
                <c:pt idx="0">
                  <c:v>Horas Trabajadas Team Leader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'tiempo-ciclo1'!$I$2:$I$4</c:f>
              <c:numCache>
                <c:formatCode>General</c:formatCode>
                <c:ptCount val="3"/>
                <c:pt idx="0">
                  <c:v>2.35</c:v>
                </c:pt>
                <c:pt idx="1">
                  <c:v>7.33</c:v>
                </c:pt>
                <c:pt idx="2">
                  <c:v>5.43</c:v>
                </c:pt>
              </c:numCache>
            </c:numRef>
          </c:val>
        </c:ser>
        <c:ser>
          <c:idx val="1"/>
          <c:order val="1"/>
          <c:tx>
            <c:strRef>
              <c:f>'tiempo-ciclo1'!$J$1:$J$1</c:f>
              <c:strCache>
                <c:ptCount val="1"/>
                <c:pt idx="0">
                  <c:v>Horas Trabajadas Development Manager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'tiempo-ciclo1'!$J$2:$J$4</c:f>
              <c:numCache>
                <c:formatCode>General</c:formatCode>
                <c:ptCount val="3"/>
                <c:pt idx="0">
                  <c:v>2.1</c:v>
                </c:pt>
                <c:pt idx="1">
                  <c:v>7.28</c:v>
                </c:pt>
                <c:pt idx="2">
                  <c:v>8.72</c:v>
                </c:pt>
              </c:numCache>
            </c:numRef>
          </c:val>
        </c:ser>
        <c:ser>
          <c:idx val="2"/>
          <c:order val="2"/>
          <c:tx>
            <c:strRef>
              <c:f>'tiempo-ciclo1'!$K$1:$K$1</c:f>
              <c:strCache>
                <c:ptCount val="1"/>
                <c:pt idx="0">
                  <c:v>Horas Trabajadas Process/Quality Manager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'tiempo-ciclo1'!$K$2:$K$4</c:f>
              <c:numCache>
                <c:formatCode>General</c:formatCode>
                <c:ptCount val="3"/>
                <c:pt idx="0">
                  <c:v>3.93</c:v>
                </c:pt>
                <c:pt idx="1">
                  <c:v>5.33</c:v>
                </c:pt>
                <c:pt idx="2">
                  <c:v>10.12</c:v>
                </c:pt>
              </c:numCache>
            </c:numRef>
          </c:val>
        </c:ser>
        <c:ser>
          <c:idx val="3"/>
          <c:order val="3"/>
          <c:tx>
            <c:strRef>
              <c:f>'tiempo-ciclo1'!$L$1:$L$1</c:f>
              <c:strCache>
                <c:ptCount val="1"/>
                <c:pt idx="0">
                  <c:v>Horas Trabajadas Planning Manager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'tiempo-ciclo1'!$L$2:$L$4</c:f>
              <c:numCache>
                <c:formatCode>General</c:formatCode>
                <c:ptCount val="3"/>
                <c:pt idx="0">
                  <c:v>7.42</c:v>
                </c:pt>
                <c:pt idx="1">
                  <c:v>4.42</c:v>
                </c:pt>
                <c:pt idx="2">
                  <c:v>10.5</c:v>
                </c:pt>
              </c:numCache>
            </c:numRef>
          </c:val>
        </c:ser>
        <c:ser>
          <c:idx val="4"/>
          <c:order val="4"/>
          <c:tx>
            <c:strRef>
              <c:f>'tiempo-ciclo1'!$M$1:$M$1</c:f>
              <c:strCache>
                <c:ptCount val="1"/>
                <c:pt idx="0">
                  <c:v>Horas Trabajadas Support Manager</c:v>
                </c:pt>
              </c:strCache>
            </c:strRef>
          </c:tx>
          <c:spPr>
            <a:solidFill>
              <a:srgbClr val="00b8ff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'tiempo-ciclo1'!$M$2:$M$4</c:f>
              <c:numCache>
                <c:formatCode>General</c:formatCode>
                <c:ptCount val="3"/>
                <c:pt idx="0">
                  <c:v>5.27</c:v>
                </c:pt>
                <c:pt idx="1">
                  <c:v>4.67</c:v>
                </c:pt>
                <c:pt idx="2">
                  <c:v>5.87</c:v>
                </c:pt>
              </c:numCache>
            </c:numRef>
          </c:val>
        </c:ser>
        <c:gapWidth val="100"/>
        <c:axId val="32819813"/>
        <c:axId val="57433423"/>
      </c:barChart>
      <c:catAx>
        <c:axId val="32819813"/>
        <c:scaling>
          <c:orientation val="minMax"/>
        </c:scaling>
        <c:axPos val="b"/>
        <c:majorTickMark val="out"/>
        <c:minorTickMark val="none"/>
        <c:tickLblPos val="nextTo"/>
        <c:crossAx val="5743342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743342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81981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294840</xdr:colOff>
      <xdr:row>17</xdr:row>
      <xdr:rowOff>55080</xdr:rowOff>
    </xdr:from>
    <xdr:to>
      <xdr:col>10</xdr:col>
      <xdr:colOff>689760</xdr:colOff>
      <xdr:row>37</xdr:row>
      <xdr:rowOff>65160</xdr:rowOff>
    </xdr:to>
    <xdr:graphicFrame>
      <xdr:nvGraphicFramePr>
        <xdr:cNvPr id="0" name=""/>
        <xdr:cNvGraphicFramePr/>
      </xdr:nvGraphicFramePr>
      <xdr:xfrm>
        <a:off x="294840" y="3361320"/>
        <a:ext cx="11114280" cy="350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801720</xdr:colOff>
      <xdr:row>9</xdr:row>
      <xdr:rowOff>125640</xdr:rowOff>
    </xdr:from>
    <xdr:to>
      <xdr:col>8</xdr:col>
      <xdr:colOff>838440</xdr:colOff>
      <xdr:row>29</xdr:row>
      <xdr:rowOff>21960</xdr:rowOff>
    </xdr:to>
    <xdr:graphicFrame>
      <xdr:nvGraphicFramePr>
        <xdr:cNvPr id="1" name=""/>
        <xdr:cNvGraphicFramePr/>
      </xdr:nvGraphicFramePr>
      <xdr:xfrm>
        <a:off x="801720" y="2035080"/>
        <a:ext cx="8282160" cy="338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786960</xdr:colOff>
      <xdr:row>34</xdr:row>
      <xdr:rowOff>164520</xdr:rowOff>
    </xdr:from>
    <xdr:to>
      <xdr:col>8</xdr:col>
      <xdr:colOff>751320</xdr:colOff>
      <xdr:row>52</xdr:row>
      <xdr:rowOff>55440</xdr:rowOff>
    </xdr:to>
    <xdr:graphicFrame>
      <xdr:nvGraphicFramePr>
        <xdr:cNvPr id="2" name=""/>
        <xdr:cNvGraphicFramePr/>
      </xdr:nvGraphicFramePr>
      <xdr:xfrm>
        <a:off x="786960" y="6439320"/>
        <a:ext cx="8209800" cy="303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378720</xdr:colOff>
      <xdr:row>9</xdr:row>
      <xdr:rowOff>57240</xdr:rowOff>
    </xdr:from>
    <xdr:to>
      <xdr:col>5</xdr:col>
      <xdr:colOff>941040</xdr:colOff>
      <xdr:row>28</xdr:row>
      <xdr:rowOff>107280</xdr:rowOff>
    </xdr:to>
    <xdr:graphicFrame>
      <xdr:nvGraphicFramePr>
        <xdr:cNvPr id="3" name=""/>
        <xdr:cNvGraphicFramePr/>
      </xdr:nvGraphicFramePr>
      <xdr:xfrm>
        <a:off x="378720" y="2125080"/>
        <a:ext cx="5952600" cy="33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817920</xdr:colOff>
      <xdr:row>9</xdr:row>
      <xdr:rowOff>4320</xdr:rowOff>
    </xdr:from>
    <xdr:to>
      <xdr:col>12</xdr:col>
      <xdr:colOff>874440</xdr:colOff>
      <xdr:row>29</xdr:row>
      <xdr:rowOff>74160</xdr:rowOff>
    </xdr:to>
    <xdr:graphicFrame>
      <xdr:nvGraphicFramePr>
        <xdr:cNvPr id="4" name=""/>
        <xdr:cNvGraphicFramePr/>
      </xdr:nvGraphicFramePr>
      <xdr:xfrm>
        <a:off x="7345440" y="2072160"/>
        <a:ext cx="5933520" cy="356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284760</xdr:colOff>
      <xdr:row>1</xdr:row>
      <xdr:rowOff>15480</xdr:rowOff>
    </xdr:from>
    <xdr:to>
      <xdr:col>6</xdr:col>
      <xdr:colOff>532800</xdr:colOff>
      <xdr:row>14</xdr:row>
      <xdr:rowOff>130680</xdr:rowOff>
    </xdr:to>
    <xdr:graphicFrame>
      <xdr:nvGraphicFramePr>
        <xdr:cNvPr id="5" name=""/>
        <xdr:cNvGraphicFramePr/>
      </xdr:nvGraphicFramePr>
      <xdr:xfrm>
        <a:off x="284760" y="512640"/>
        <a:ext cx="8278200" cy="24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417960</xdr:colOff>
      <xdr:row>17</xdr:row>
      <xdr:rowOff>11520</xdr:rowOff>
    </xdr:from>
    <xdr:to>
      <xdr:col>6</xdr:col>
      <xdr:colOff>597600</xdr:colOff>
      <xdr:row>34</xdr:row>
      <xdr:rowOff>64800</xdr:rowOff>
    </xdr:to>
    <xdr:graphicFrame>
      <xdr:nvGraphicFramePr>
        <xdr:cNvPr id="6" name=""/>
        <xdr:cNvGraphicFramePr/>
      </xdr:nvGraphicFramePr>
      <xdr:xfrm>
        <a:off x="417960" y="3317760"/>
        <a:ext cx="8209800" cy="302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494280</xdr:colOff>
      <xdr:row>0</xdr:row>
      <xdr:rowOff>511920</xdr:rowOff>
    </xdr:from>
    <xdr:to>
      <xdr:col>5</xdr:col>
      <xdr:colOff>1056600</xdr:colOff>
      <xdr:row>8</xdr:row>
      <xdr:rowOff>61560</xdr:rowOff>
    </xdr:to>
    <xdr:graphicFrame>
      <xdr:nvGraphicFramePr>
        <xdr:cNvPr id="7" name=""/>
        <xdr:cNvGraphicFramePr/>
      </xdr:nvGraphicFramePr>
      <xdr:xfrm>
        <a:off x="494280" y="511920"/>
        <a:ext cx="5952600" cy="14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870840</xdr:colOff>
      <xdr:row>0</xdr:row>
      <xdr:rowOff>480960</xdr:rowOff>
    </xdr:from>
    <xdr:to>
      <xdr:col>12</xdr:col>
      <xdr:colOff>927360</xdr:colOff>
      <xdr:row>9</xdr:row>
      <xdr:rowOff>12960</xdr:rowOff>
    </xdr:to>
    <xdr:graphicFrame>
      <xdr:nvGraphicFramePr>
        <xdr:cNvPr id="8" name=""/>
        <xdr:cNvGraphicFramePr/>
      </xdr:nvGraphicFramePr>
      <xdr:xfrm>
        <a:off x="7398360" y="480960"/>
        <a:ext cx="5933520" cy="15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"/>
  <sheetViews>
    <sheetView colorId="64" defaultGridColor="true" rightToLeft="false" showFormulas="false" showGridLines="true" showOutlineSymbols="true" showRowColHeaders="true" showZeros="true" tabSelected="false" topLeftCell="F23" view="normal" windowProtection="false" workbookViewId="0" zoomScale="100" zoomScaleNormal="100" zoomScalePageLayoutView="100">
      <selection activeCell="J34" activeCellId="2" pane="topLeft" sqref="D:D G:G J34"/>
    </sheetView>
  </sheetViews>
  <cols>
    <col collapsed="false" hidden="false" max="1" min="1" style="1" width="3.69019607843137"/>
    <col collapsed="false" hidden="false" max="4" min="2" style="2" width="41.9019607843137"/>
    <col collapsed="false" hidden="false" max="5" min="5" style="1" width="22.3411764705882"/>
    <col collapsed="false" hidden="false" max="6" min="6" style="3" width="22.3411764705882"/>
    <col collapsed="false" hidden="false" max="7" min="7" style="1" width="12.4196078431373"/>
    <col collapsed="false" hidden="false" max="8" min="8" style="4" width="2.71372549019608"/>
    <col collapsed="false" hidden="false" max="9" min="9" style="1" width="22.3764705882353"/>
    <col collapsed="false" hidden="false" max="10" min="10" style="3" width="22.3764705882353"/>
    <col collapsed="false" hidden="false" max="11" min="11" style="1" width="12.4196078431373"/>
    <col collapsed="false" hidden="false" max="1023" min="12" style="4" width="12.4196078431373"/>
    <col collapsed="false" hidden="false" max="1025" min="1024" style="0" width="8.77254901960784"/>
  </cols>
  <sheetData>
    <row collapsed="false" customFormat="false" customHeight="false" hidden="false" ht="14.95" outlineLevel="0" r="1">
      <c r="A1" s="5"/>
      <c r="B1" s="6"/>
      <c r="C1" s="7"/>
      <c r="D1" s="7"/>
      <c r="E1" s="8" t="n">
        <f aca="false">SUM(_gtdhe)</f>
        <v>167</v>
      </c>
      <c r="F1" s="9" t="inlineStr">
        <f aca="false">SUM(_gpidge)</f>
        <is>
          <t/>
        </is>
      </c>
      <c r="G1" s="10"/>
      <c r="I1" s="1" t="n">
        <f aca="false">SUM(_gtdht)</f>
        <v>101.616666666667</v>
      </c>
      <c r="J1" s="3" t="inlineStr">
        <f aca="false">SUM(_gpidgo)</f>
        <is>
          <t/>
        </is>
      </c>
    </row>
    <row collapsed="false" customFormat="false" customHeight="false" hidden="false" ht="26.65" outlineLevel="0" r="2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3" t="s">
        <v>5</v>
      </c>
      <c r="G2" s="11" t="s">
        <v>6</v>
      </c>
      <c r="I2" s="12" t="s">
        <v>7</v>
      </c>
      <c r="J2" s="13" t="s">
        <v>8</v>
      </c>
      <c r="K2" s="12" t="s">
        <v>6</v>
      </c>
    </row>
    <row collapsed="false" customFormat="false" customHeight="false" hidden="false" ht="26.65" outlineLevel="0" r="3">
      <c r="A3" s="14" t="n">
        <v>1</v>
      </c>
      <c r="B3" s="15" t="s">
        <v>9</v>
      </c>
      <c r="C3" s="15"/>
      <c r="D3" s="15" t="s">
        <v>10</v>
      </c>
      <c r="E3" s="8" t="n">
        <f aca="false">7.5</f>
        <v>7.5</v>
      </c>
      <c r="F3" s="9" t="n">
        <f aca="false">E3/E1</f>
        <v>0.0449101796407186</v>
      </c>
      <c r="G3" s="14" t="n">
        <v>1</v>
      </c>
      <c r="I3" s="1" t="n">
        <f aca="false">LOOKUP(A3,_1tid,_1tdht)</f>
        <v>4.46666666666666</v>
      </c>
      <c r="J3" s="3" t="inlineStr">
        <f aca="false">IF(ISBLANK(LOOKUP(A3,_1tid,_1pidgo)),0,F3)</f>
        <is>
          <t/>
        </is>
      </c>
      <c r="K3" s="1" t="n">
        <f aca="false">LOOKUP(A3,_1tid,_1sr)</f>
        <v>1</v>
      </c>
    </row>
    <row collapsed="false" customFormat="false" customHeight="false" hidden="false" ht="39.15" outlineLevel="0" r="4">
      <c r="A4" s="14" t="n">
        <v>2</v>
      </c>
      <c r="B4" s="15" t="s">
        <v>11</v>
      </c>
      <c r="C4" s="15" t="s">
        <v>12</v>
      </c>
      <c r="D4" s="15" t="s">
        <v>13</v>
      </c>
      <c r="E4" s="8" t="n">
        <v>5</v>
      </c>
      <c r="F4" s="9" t="n">
        <f aca="false">E4/E1</f>
        <v>0.029940119760479</v>
      </c>
      <c r="G4" s="14" t="n">
        <v>1</v>
      </c>
      <c r="I4" s="1" t="n">
        <f aca="false">LOOKUP(A4,_1tid,_1tdht)</f>
        <v>5.08333333333335</v>
      </c>
      <c r="J4" s="3" t="inlineStr">
        <f aca="false">IF(ISBLANK(LOOKUP(A4,_1tid,_1pidgo)),0,F4)</f>
        <is>
          <t/>
        </is>
      </c>
      <c r="K4" s="1" t="n">
        <f aca="false">LOOKUP(A4,_1tid,_1sr)</f>
        <v>1</v>
      </c>
    </row>
    <row collapsed="false" customFormat="false" customHeight="false" hidden="false" ht="26.65" outlineLevel="0" r="5">
      <c r="A5" s="14" t="n">
        <v>3</v>
      </c>
      <c r="B5" s="15" t="s">
        <v>14</v>
      </c>
      <c r="C5" s="15" t="s">
        <v>15</v>
      </c>
      <c r="D5" s="15" t="s">
        <v>16</v>
      </c>
      <c r="E5" s="8" t="n">
        <v>5</v>
      </c>
      <c r="F5" s="9" t="n">
        <f aca="false">E5/E1</f>
        <v>0.029940119760479</v>
      </c>
      <c r="G5" s="14" t="n">
        <v>1</v>
      </c>
      <c r="I5" s="1" t="n">
        <f aca="false">LOOKUP(A5,_1tid,_1tdht)</f>
        <v>3.75</v>
      </c>
      <c r="J5" s="3" t="inlineStr">
        <f aca="false">IF(ISBLANK(LOOKUP(A5,_1tid,_1pidgo)),0,F5)</f>
        <is>
          <t/>
        </is>
      </c>
      <c r="K5" s="1" t="n">
        <f aca="false">LOOKUP(A5,_1tid,_1sr)</f>
        <v>1</v>
      </c>
    </row>
    <row collapsed="false" customFormat="false" customHeight="false" hidden="false" ht="39.15" outlineLevel="0" r="6">
      <c r="A6" s="14" t="n">
        <v>4</v>
      </c>
      <c r="B6" s="15" t="s">
        <v>17</v>
      </c>
      <c r="C6" s="15" t="s">
        <v>18</v>
      </c>
      <c r="D6" s="15" t="s">
        <v>19</v>
      </c>
      <c r="E6" s="8" t="n">
        <v>2</v>
      </c>
      <c r="F6" s="9" t="n">
        <f aca="false">E6/E1</f>
        <v>0.0119760479041916</v>
      </c>
      <c r="G6" s="14" t="n">
        <v>1</v>
      </c>
      <c r="I6" s="1" t="n">
        <f aca="false">LOOKUP(A6,_1tid,_1tdht)</f>
        <v>1.85</v>
      </c>
      <c r="J6" s="3" t="inlineStr">
        <f aca="false">IF(ISBLANK(LOOKUP(A6,_1tid,_1pidgo)),0,F6)</f>
        <is>
          <t/>
        </is>
      </c>
      <c r="K6" s="1" t="n">
        <f aca="false">LOOKUP(A6,_1tid,_1sr)</f>
        <v>1</v>
      </c>
    </row>
    <row collapsed="false" customFormat="true" customHeight="false" hidden="false" ht="26.65" outlineLevel="0" r="7" s="19">
      <c r="A7" s="14" t="n">
        <v>5</v>
      </c>
      <c r="B7" s="16" t="s">
        <v>20</v>
      </c>
      <c r="C7" s="16"/>
      <c r="D7" s="16" t="s">
        <v>21</v>
      </c>
      <c r="E7" s="17" t="n">
        <v>0.5</v>
      </c>
      <c r="F7" s="9" t="n">
        <f aca="false">E7/E1</f>
        <v>0.0029940119760479</v>
      </c>
      <c r="G7" s="18" t="n">
        <v>1</v>
      </c>
      <c r="I7" s="1" t="n">
        <f aca="false">LOOKUP(A7,_1tid,_1tdht)</f>
        <v>0.25</v>
      </c>
      <c r="J7" s="3" t="inlineStr">
        <f aca="false">IF(ISBLANK(LOOKUP(A7,_1tid,_1pidgo)),0,F7)</f>
        <is>
          <t/>
        </is>
      </c>
      <c r="K7" s="1" t="n">
        <f aca="false">LOOKUP(A7,_1tid,_1sr)</f>
        <v>1</v>
      </c>
    </row>
    <row collapsed="false" customFormat="true" customHeight="false" hidden="false" ht="26.65" outlineLevel="0" r="8" s="19">
      <c r="A8" s="14" t="n">
        <v>6</v>
      </c>
      <c r="B8" s="16" t="s">
        <v>22</v>
      </c>
      <c r="C8" s="16"/>
      <c r="D8" s="16" t="s">
        <v>23</v>
      </c>
      <c r="E8" s="17" t="n">
        <v>0.5</v>
      </c>
      <c r="F8" s="9" t="n">
        <f aca="false">E8/E1</f>
        <v>0.0029940119760479</v>
      </c>
      <c r="G8" s="17" t="n">
        <v>1</v>
      </c>
      <c r="I8" s="1" t="n">
        <f aca="false">LOOKUP(A8,_1tid,_1tdht)</f>
        <v>0.666666666666667</v>
      </c>
      <c r="J8" s="3" t="inlineStr">
        <f aca="false">IF(ISBLANK(LOOKUP(A8,_1tid,_1pidgo)),0,F8)</f>
        <is>
          <t/>
        </is>
      </c>
      <c r="K8" s="1" t="n">
        <f aca="false">LOOKUP(A8,_1tid,_1sr)</f>
        <v>1</v>
      </c>
    </row>
    <row collapsed="false" customFormat="true" customHeight="false" hidden="false" ht="26.65" outlineLevel="0" r="9" s="19">
      <c r="A9" s="14" t="n">
        <v>7</v>
      </c>
      <c r="B9" s="16" t="s">
        <v>24</v>
      </c>
      <c r="C9" s="16" t="s">
        <v>25</v>
      </c>
      <c r="D9" s="16" t="s">
        <v>26</v>
      </c>
      <c r="E9" s="17" t="n">
        <v>0.5</v>
      </c>
      <c r="F9" s="9" t="n">
        <f aca="false">E9/E1</f>
        <v>0.0029940119760479</v>
      </c>
      <c r="G9" s="17" t="n">
        <v>1</v>
      </c>
      <c r="I9" s="1" t="n">
        <f aca="false">LOOKUP(A9,_1tid,_1tdht)</f>
        <v>0.416666666666667</v>
      </c>
      <c r="J9" s="3" t="inlineStr">
        <f aca="false">IF(ISBLANK(LOOKUP(A9,_1tid,_1pidgo)),0,F9)</f>
        <is>
          <t/>
        </is>
      </c>
      <c r="K9" s="1" t="n">
        <f aca="false">LOOKUP(A9,_1tid,_1sr)</f>
        <v>1</v>
      </c>
    </row>
    <row collapsed="false" customFormat="true" customHeight="false" hidden="false" ht="26.65" outlineLevel="0" r="10" s="19">
      <c r="A10" s="14" t="n">
        <v>8</v>
      </c>
      <c r="B10" s="16" t="s">
        <v>27</v>
      </c>
      <c r="C10" s="16" t="s">
        <v>28</v>
      </c>
      <c r="D10" s="16" t="s">
        <v>29</v>
      </c>
      <c r="E10" s="17" t="n">
        <v>2</v>
      </c>
      <c r="F10" s="9" t="n">
        <f aca="false">E10/E1</f>
        <v>0.0119760479041916</v>
      </c>
      <c r="G10" s="17" t="n">
        <v>1</v>
      </c>
      <c r="I10" s="1" t="n">
        <f aca="false">LOOKUP(A10,_1tid,_1tdht)</f>
        <v>1.16666666666667</v>
      </c>
      <c r="J10" s="3" t="inlineStr">
        <f aca="false">IF(ISBLANK(LOOKUP(A10,_1tid,_1pidgo)),0,F10)</f>
        <is>
          <t/>
        </is>
      </c>
      <c r="K10" s="1" t="n">
        <f aca="false">LOOKUP(A10,_1tid,_1sr)</f>
        <v>1</v>
      </c>
    </row>
    <row collapsed="false" customFormat="true" customHeight="false" hidden="false" ht="26.65" outlineLevel="0" r="11" s="19">
      <c r="A11" s="14" t="n">
        <v>9</v>
      </c>
      <c r="B11" s="16" t="s">
        <v>30</v>
      </c>
      <c r="C11" s="16"/>
      <c r="D11" s="16" t="s">
        <v>31</v>
      </c>
      <c r="E11" s="17" t="n">
        <v>3</v>
      </c>
      <c r="F11" s="9" t="n">
        <f aca="false">E11/E1</f>
        <v>0.0179640718562874</v>
      </c>
      <c r="G11" s="17" t="n">
        <v>1</v>
      </c>
      <c r="I11" s="1" t="n">
        <f aca="false">LOOKUP(A11,_1tid,_1tdht)</f>
        <v>3.9</v>
      </c>
      <c r="J11" s="3" t="inlineStr">
        <f aca="false">IF(ISBLANK(LOOKUP(A11,_1tid,_1pidgo)),0,F11)</f>
        <is>
          <t/>
        </is>
      </c>
      <c r="K11" s="1" t="n">
        <f aca="false">LOOKUP(A11,_1tid,_1sr)</f>
        <v>2</v>
      </c>
    </row>
    <row collapsed="false" customFormat="true" customHeight="false" hidden="false" ht="26.65" outlineLevel="0" r="12" s="19">
      <c r="A12" s="14" t="n">
        <v>10</v>
      </c>
      <c r="B12" s="16" t="s">
        <v>32</v>
      </c>
      <c r="D12" s="2" t="s">
        <v>33</v>
      </c>
      <c r="E12" s="17" t="n">
        <v>10</v>
      </c>
      <c r="F12" s="9" t="n">
        <f aca="false">E12/E1</f>
        <v>0.0598802395209581</v>
      </c>
      <c r="G12" s="17" t="n">
        <v>1</v>
      </c>
      <c r="I12" s="1" t="n">
        <f aca="false">LOOKUP(A12,_1tid,_1tdht)</f>
        <v>0</v>
      </c>
      <c r="J12" s="3" t="n">
        <f aca="false">IF(ISBLANK(LOOKUP(A12,_1tid,_1pidgo)),0,F12)</f>
        <v>0</v>
      </c>
      <c r="K12" s="1" t="n">
        <f aca="false">LOOKUP(A12,_1tid,_1sr)</f>
        <v>1</v>
      </c>
    </row>
    <row collapsed="false" customFormat="false" customHeight="false" hidden="false" ht="26.65" outlineLevel="0" r="13">
      <c r="A13" s="14" t="n">
        <v>11</v>
      </c>
      <c r="B13" s="16" t="s">
        <v>34</v>
      </c>
      <c r="D13" s="16" t="s">
        <v>35</v>
      </c>
      <c r="E13" s="1" t="n">
        <v>15</v>
      </c>
      <c r="F13" s="3" t="n">
        <f aca="false">E13/E1</f>
        <v>0.0898203592814371</v>
      </c>
      <c r="G13" s="1" t="n">
        <v>2</v>
      </c>
      <c r="I13" s="1" t="n">
        <f aca="false">LOOKUP(A13,_1tid,_1tdht)</f>
        <v>2.83333333333333</v>
      </c>
      <c r="J13" s="3" t="n">
        <f aca="false">IF(ISBLANK(LOOKUP(A13,_1tid,_1pidgo)),0,F13)</f>
        <v>0</v>
      </c>
      <c r="K13" s="1" t="n">
        <f aca="false">LOOKUP(A13,_1tid,_1sr)</f>
        <v>2</v>
      </c>
    </row>
    <row collapsed="false" customFormat="true" customHeight="false" hidden="false" ht="26.65" outlineLevel="0" r="14" s="19">
      <c r="A14" s="14" t="n">
        <v>12</v>
      </c>
      <c r="B14" s="16" t="s">
        <v>36</v>
      </c>
      <c r="C14" s="16" t="s">
        <v>37</v>
      </c>
      <c r="D14" s="16"/>
      <c r="E14" s="17" t="n">
        <v>10</v>
      </c>
      <c r="F14" s="9" t="n">
        <f aca="false">E14/E1</f>
        <v>0.0598802395209581</v>
      </c>
      <c r="G14" s="17" t="n">
        <v>2</v>
      </c>
      <c r="I14" s="1" t="n">
        <f aca="false">LOOKUP(A14,_1tid,_1tdht)</f>
        <v>8</v>
      </c>
      <c r="J14" s="3" t="inlineStr">
        <f aca="false">IF(ISBLANK(LOOKUP(A14,_1tid,_1pidgo)),0,F14)</f>
        <is>
          <t/>
        </is>
      </c>
      <c r="K14" s="1" t="n">
        <f aca="false">LOOKUP(A14,_1tid,_1sr)</f>
        <v>2</v>
      </c>
    </row>
    <row collapsed="false" customFormat="true" customHeight="false" hidden="false" ht="26.65" outlineLevel="0" r="15" s="19">
      <c r="A15" s="14" t="n">
        <v>13</v>
      </c>
      <c r="B15" s="16" t="s">
        <v>38</v>
      </c>
      <c r="C15" s="16" t="s">
        <v>39</v>
      </c>
      <c r="D15" s="16" t="s">
        <v>40</v>
      </c>
      <c r="E15" s="17" t="n">
        <v>2</v>
      </c>
      <c r="F15" s="9" t="n">
        <f aca="false">E15/E1</f>
        <v>0.0119760479041916</v>
      </c>
      <c r="G15" s="17" t="n">
        <v>2</v>
      </c>
      <c r="I15" s="1" t="n">
        <f aca="false">LOOKUP(A15,_1tid,_1tdht)</f>
        <v>15.4166666666667</v>
      </c>
      <c r="J15" s="3" t="inlineStr">
        <f aca="false">IF(ISBLANK(LOOKUP(A15,_1tid,_1pidgo)),0,F15)</f>
        <is>
          <t/>
        </is>
      </c>
      <c r="K15" s="1" t="n">
        <f aca="false">LOOKUP(A15,_1tid,_1sr)</f>
        <v>3</v>
      </c>
    </row>
    <row collapsed="false" customFormat="true" customHeight="false" hidden="false" ht="26.65" outlineLevel="0" r="16" s="19">
      <c r="A16" s="14" t="n">
        <v>14</v>
      </c>
      <c r="B16" s="16" t="s">
        <v>41</v>
      </c>
      <c r="C16" s="16" t="s">
        <v>39</v>
      </c>
      <c r="D16" s="16" t="s">
        <v>42</v>
      </c>
      <c r="E16" s="17" t="n">
        <v>2</v>
      </c>
      <c r="F16" s="9" t="n">
        <f aca="false">E16/E1</f>
        <v>0.0119760479041916</v>
      </c>
      <c r="G16" s="17" t="n">
        <v>2</v>
      </c>
      <c r="I16" s="1" t="n">
        <f aca="false">LOOKUP(A16,_1tid,_1tdht)</f>
        <v>0</v>
      </c>
      <c r="J16" s="3" t="inlineStr">
        <f aca="false">IF(ISBLANK(LOOKUP(A16,_1tid,_1pidgo)),0,F16)</f>
        <is>
          <t/>
        </is>
      </c>
      <c r="K16" s="1" t="n">
        <f aca="false">LOOKUP(A16,_1tid,_1sr)</f>
        <v>3</v>
      </c>
    </row>
    <row collapsed="false" customFormat="true" customHeight="false" hidden="false" ht="39.15" outlineLevel="0" r="17" s="19">
      <c r="A17" s="14" t="n">
        <v>15</v>
      </c>
      <c r="B17" s="16" t="s">
        <v>43</v>
      </c>
      <c r="C17" s="16" t="s">
        <v>44</v>
      </c>
      <c r="D17" s="16" t="s">
        <v>45</v>
      </c>
      <c r="E17" s="17" t="n">
        <v>4</v>
      </c>
      <c r="F17" s="9" t="n">
        <f aca="false">E17/E1</f>
        <v>0.0239520958083832</v>
      </c>
      <c r="G17" s="17" t="n">
        <v>2</v>
      </c>
      <c r="I17" s="1" t="n">
        <f aca="false">LOOKUP(A17,_1tid,_1tdht)</f>
        <v>0</v>
      </c>
      <c r="J17" s="3" t="inlineStr">
        <f aca="false">IF(ISBLANK(LOOKUP(A17,_1tid,_1pidgo)),0,F17)</f>
        <is>
          <t/>
        </is>
      </c>
      <c r="K17" s="1" t="n">
        <f aca="false">LOOKUP(A17,_1tid,_1sr)</f>
        <v>3</v>
      </c>
    </row>
    <row collapsed="false" customFormat="true" customHeight="false" hidden="false" ht="26.65" outlineLevel="0" r="18" s="19">
      <c r="A18" s="14" t="n">
        <v>16</v>
      </c>
      <c r="B18" s="16" t="s">
        <v>46</v>
      </c>
      <c r="C18" s="16" t="s">
        <v>25</v>
      </c>
      <c r="D18" s="16" t="s">
        <v>47</v>
      </c>
      <c r="E18" s="17" t="n">
        <v>0.5</v>
      </c>
      <c r="F18" s="9" t="n">
        <f aca="false">E18/E1</f>
        <v>0.0029940119760479</v>
      </c>
      <c r="G18" s="17" t="n">
        <v>2</v>
      </c>
      <c r="I18" s="1" t="n">
        <f aca="false">LOOKUP(A18,_1tid,_1tdht)</f>
        <v>0.383333333333333</v>
      </c>
      <c r="J18" s="3" t="inlineStr">
        <f aca="false">IF(ISBLANK(LOOKUP(A18,_1tid,_1pidgo)),0,F18)</f>
        <is>
          <t/>
        </is>
      </c>
      <c r="K18" s="1" t="n">
        <f aca="false">LOOKUP(A18,_1tid,_1sr)</f>
        <v>2</v>
      </c>
    </row>
    <row collapsed="false" customFormat="true" customHeight="false" hidden="false" ht="26.65" outlineLevel="0" r="19" s="19">
      <c r="A19" s="14" t="n">
        <v>17</v>
      </c>
      <c r="B19" s="16" t="s">
        <v>48</v>
      </c>
      <c r="C19" s="16" t="s">
        <v>49</v>
      </c>
      <c r="D19" s="16" t="s">
        <v>50</v>
      </c>
      <c r="E19" s="17" t="n">
        <v>2</v>
      </c>
      <c r="F19" s="9" t="n">
        <f aca="false">E19/E1</f>
        <v>0.0119760479041916</v>
      </c>
      <c r="G19" s="17" t="n">
        <v>3</v>
      </c>
      <c r="I19" s="1" t="n">
        <f aca="false">LOOKUP(A19,_1tid,_1tdht)</f>
        <v>1</v>
      </c>
      <c r="J19" s="3" t="inlineStr">
        <f aca="false">IF(ISBLANK(LOOKUP(A19,_1tid,_1pidgo)),0,F19)</f>
        <is>
          <t/>
        </is>
      </c>
      <c r="K19" s="1" t="n">
        <f aca="false">LOOKUP(A19,_1tid,_1sr)</f>
        <v>3</v>
      </c>
    </row>
    <row collapsed="false" customFormat="true" customHeight="false" hidden="false" ht="26.65" outlineLevel="0" r="20" s="19">
      <c r="A20" s="14" t="n">
        <v>18</v>
      </c>
      <c r="B20" s="16" t="s">
        <v>51</v>
      </c>
      <c r="C20" s="16" t="s">
        <v>52</v>
      </c>
      <c r="D20" s="16"/>
      <c r="E20" s="17" t="n">
        <v>10</v>
      </c>
      <c r="F20" s="9" t="n">
        <f aca="false">E20/E1</f>
        <v>0.0598802395209581</v>
      </c>
      <c r="G20" s="17" t="n">
        <v>3</v>
      </c>
      <c r="I20" s="1" t="n">
        <f aca="false">LOOKUP(A20,_1tid,_1tdht)</f>
        <v>8.16666666666665</v>
      </c>
      <c r="J20" s="3" t="inlineStr">
        <f aca="false">IF(ISBLANK(LOOKUP(A20,_1tid,_1pidgo)),0,F20)</f>
        <is>
          <t/>
        </is>
      </c>
      <c r="K20" s="1" t="n">
        <f aca="false">LOOKUP(A20,_1tid,_1sr)</f>
        <v>3</v>
      </c>
    </row>
    <row collapsed="false" customFormat="false" customHeight="false" hidden="false" ht="51.65" outlineLevel="0" r="21">
      <c r="A21" s="14" t="n">
        <v>19</v>
      </c>
      <c r="B21" s="2" t="s">
        <v>53</v>
      </c>
      <c r="C21" s="2" t="s">
        <v>54</v>
      </c>
      <c r="D21" s="2" t="s">
        <v>55</v>
      </c>
      <c r="E21" s="1" t="n">
        <v>2</v>
      </c>
      <c r="F21" s="9" t="n">
        <f aca="false">E21/E1</f>
        <v>0.0119760479041916</v>
      </c>
      <c r="G21" s="1" t="n">
        <v>3</v>
      </c>
      <c r="I21" s="1" t="n">
        <f aca="false">LOOKUP(A21,_1tid,_1tdht)</f>
        <v>2.5</v>
      </c>
      <c r="J21" s="3" t="inlineStr">
        <f aca="false">IF(ISBLANK(LOOKUP(A21,_1tid,_1pidgo)),0,F21)</f>
        <is>
          <t/>
        </is>
      </c>
      <c r="K21" s="1" t="n">
        <f aca="false">LOOKUP(A21,_1tid,_1sr)</f>
        <v>3</v>
      </c>
    </row>
    <row collapsed="false" customFormat="false" customHeight="false" hidden="false" ht="26.65" outlineLevel="0" r="22">
      <c r="A22" s="14" t="n">
        <v>20</v>
      </c>
      <c r="B22" s="2" t="s">
        <v>56</v>
      </c>
      <c r="C22" s="2" t="s">
        <v>57</v>
      </c>
      <c r="D22" s="2" t="s">
        <v>58</v>
      </c>
      <c r="E22" s="1" t="n">
        <v>3</v>
      </c>
      <c r="F22" s="9" t="n">
        <f aca="false">E22/E1</f>
        <v>0.0179640718562874</v>
      </c>
      <c r="G22" s="1" t="n">
        <v>3</v>
      </c>
      <c r="I22" s="1" t="n">
        <f aca="false">SUMIF(_1tid,A22,_1tdht)</f>
        <v>6.25</v>
      </c>
      <c r="J22" s="3" t="inlineStr">
        <f aca="false">IF(ISBLANK(LOOKUP(A22,_1tid,_1pidgo)),0,F22)</f>
        <is>
          <t/>
        </is>
      </c>
      <c r="K22" s="1" t="n">
        <f aca="false">LOOKUP(A22,_1tid,_1sr)</f>
        <v>3</v>
      </c>
    </row>
    <row collapsed="false" customFormat="false" customHeight="false" hidden="false" ht="51.65" outlineLevel="0" r="23">
      <c r="A23" s="14" t="n">
        <v>21</v>
      </c>
      <c r="B23" s="2" t="s">
        <v>59</v>
      </c>
      <c r="C23" s="2" t="s">
        <v>60</v>
      </c>
      <c r="D23" s="2" t="s">
        <v>61</v>
      </c>
      <c r="E23" s="1" t="n">
        <v>2</v>
      </c>
      <c r="F23" s="9" t="n">
        <f aca="false">E23/E1</f>
        <v>0.0119760479041916</v>
      </c>
      <c r="G23" s="1" t="n">
        <v>3</v>
      </c>
      <c r="I23" s="1" t="n">
        <f aca="false">SUMIF(_1tid,A23,_1tdht)</f>
        <v>1.63333333333333</v>
      </c>
      <c r="J23" s="3" t="inlineStr">
        <f aca="false">IF(ISBLANK(LOOKUP(A23,_1tid,_1pidgo)),0,F23)</f>
        <is>
          <t/>
        </is>
      </c>
      <c r="K23" s="1" t="n">
        <f aca="false">LOOKUP(A23,_1tid,_1sr)</f>
        <v>3</v>
      </c>
    </row>
    <row collapsed="false" customFormat="false" customHeight="false" hidden="false" ht="26.65" outlineLevel="0" r="24">
      <c r="A24" s="14" t="n">
        <v>22</v>
      </c>
      <c r="B24" s="2" t="s">
        <v>62</v>
      </c>
      <c r="C24" s="2" t="s">
        <v>63</v>
      </c>
      <c r="D24" s="2" t="s">
        <v>64</v>
      </c>
      <c r="E24" s="1" t="n">
        <v>4</v>
      </c>
      <c r="F24" s="9" t="n">
        <f aca="false">E24/E1</f>
        <v>0.0239520958083832</v>
      </c>
      <c r="G24" s="1" t="n">
        <v>3</v>
      </c>
      <c r="I24" s="1" t="n">
        <f aca="false">SUMIF(_1tid,A24,_1tdht)</f>
        <v>1.25</v>
      </c>
      <c r="J24" s="3" t="inlineStr">
        <f aca="false">IF(ISBLANK(LOOKUP(A24,_1tid,_1pidgo)),0,F24)</f>
        <is>
          <t/>
        </is>
      </c>
      <c r="K24" s="1" t="n">
        <f aca="false">LOOKUP(A24,_1tid,_1sr)</f>
        <v>3</v>
      </c>
    </row>
    <row collapsed="false" customFormat="false" customHeight="false" hidden="false" ht="39.15" outlineLevel="0" r="25">
      <c r="A25" s="14" t="n">
        <v>23</v>
      </c>
      <c r="B25" s="16" t="s">
        <v>65</v>
      </c>
      <c r="C25" s="2" t="s">
        <v>66</v>
      </c>
      <c r="D25" s="2" t="s">
        <v>67</v>
      </c>
      <c r="E25" s="1" t="n">
        <v>5</v>
      </c>
      <c r="F25" s="9" t="n">
        <f aca="false">E25/E1</f>
        <v>0.029940119760479</v>
      </c>
      <c r="G25" s="1" t="n">
        <v>3</v>
      </c>
      <c r="I25" s="1" t="n">
        <f aca="false">SUMIF(_1tid,A25,_1tdht)</f>
        <v>3.66666666666667</v>
      </c>
      <c r="J25" s="3" t="inlineStr">
        <f aca="false">IF(ISBLANK(LOOKUP(A25,_1tid,_1pidgo)),0,F25)</f>
        <is>
          <t/>
        </is>
      </c>
      <c r="K25" s="1" t="n">
        <f aca="false">LOOKUP(A25,_1tid,_1sr)</f>
        <v>3</v>
      </c>
    </row>
    <row collapsed="false" customFormat="true" customHeight="false" hidden="false" ht="13.75" outlineLevel="0" r="26" s="25">
      <c r="A26" s="20"/>
      <c r="B26" s="21"/>
      <c r="C26" s="22"/>
      <c r="D26" s="22"/>
      <c r="E26" s="23"/>
      <c r="F26" s="24"/>
      <c r="G26" s="23"/>
      <c r="I26" s="23"/>
      <c r="J26" s="26"/>
      <c r="K26" s="23"/>
    </row>
    <row collapsed="false" customFormat="false" customHeight="false" hidden="false" ht="39.15" outlineLevel="0" r="27">
      <c r="A27" s="14" t="n">
        <v>24</v>
      </c>
      <c r="B27" s="16" t="s">
        <v>68</v>
      </c>
      <c r="C27" s="15" t="s">
        <v>12</v>
      </c>
      <c r="D27" s="15" t="s">
        <v>13</v>
      </c>
      <c r="E27" s="1" t="n">
        <v>5</v>
      </c>
      <c r="F27" s="9" t="n">
        <f aca="false">E27/E1</f>
        <v>0.029940119760479</v>
      </c>
      <c r="G27" s="1" t="n">
        <v>4</v>
      </c>
      <c r="I27" s="1" t="n">
        <f aca="false">SUMIF(_2tid,A27,_2tdht)</f>
        <v>2.5</v>
      </c>
      <c r="J27" s="3" t="inlineStr">
        <f aca="false">IF(ISBLANK(LOOKUP(A27,_2tid,_2pidgo)),0,F27)</f>
        <is>
          <t/>
        </is>
      </c>
      <c r="K27" s="1" t="n">
        <f aca="false">LOOKUP(A27,_2tid,_2sr)</f>
        <v>4</v>
      </c>
    </row>
    <row collapsed="false" customFormat="false" customHeight="false" hidden="false" ht="26.65" outlineLevel="0" r="28">
      <c r="A28" s="14" t="n">
        <v>25</v>
      </c>
      <c r="B28" s="2" t="s">
        <v>69</v>
      </c>
      <c r="C28" s="15" t="s">
        <v>15</v>
      </c>
      <c r="D28" s="15" t="s">
        <v>16</v>
      </c>
      <c r="E28" s="1" t="n">
        <v>5</v>
      </c>
      <c r="F28" s="9" t="n">
        <f aca="false">E28/E1</f>
        <v>0.029940119760479</v>
      </c>
      <c r="G28" s="1" t="n">
        <v>4</v>
      </c>
      <c r="I28" s="1" t="n">
        <f aca="false">SUMIF(_2tid,A28,_2tdht)</f>
        <v>2.08333333333334</v>
      </c>
      <c r="J28" s="3" t="inlineStr">
        <f aca="false">IF(ISBLANK(LOOKUP(A28,_2tid,_2pidgo)),0,F28)</f>
        <is>
          <t/>
        </is>
      </c>
      <c r="K28" s="1" t="n">
        <f aca="false">LOOKUP(A28,_2tid,_2sr)</f>
        <v>4</v>
      </c>
    </row>
    <row collapsed="false" customFormat="false" customHeight="false" hidden="false" ht="39.15" outlineLevel="0" r="29">
      <c r="A29" s="14" t="n">
        <v>26</v>
      </c>
      <c r="B29" s="2" t="s">
        <v>70</v>
      </c>
      <c r="C29" s="15" t="s">
        <v>18</v>
      </c>
      <c r="D29" s="15" t="s">
        <v>19</v>
      </c>
      <c r="E29" s="1" t="n">
        <v>2</v>
      </c>
      <c r="F29" s="9" t="n">
        <f aca="false">E29/E1</f>
        <v>0.0119760479041916</v>
      </c>
      <c r="G29" s="1" t="n">
        <v>4</v>
      </c>
      <c r="I29" s="1" t="n">
        <f aca="false">SUMIF(_2tid,A29,_2tdht)</f>
        <v>1.91666666666667</v>
      </c>
      <c r="J29" s="3" t="inlineStr">
        <f aca="false">IF(ISBLANK(LOOKUP(A29,_2tid,_2pidgo)),0,F29)</f>
        <is>
          <t/>
        </is>
      </c>
      <c r="K29" s="1" t="n">
        <f aca="false">LOOKUP(A29,_2tid,_2sr)</f>
        <v>4</v>
      </c>
    </row>
    <row collapsed="false" customFormat="false" customHeight="false" hidden="false" ht="26.65" outlineLevel="0" r="30">
      <c r="A30" s="14" t="n">
        <v>27</v>
      </c>
      <c r="B30" s="2" t="s">
        <v>71</v>
      </c>
      <c r="D30" s="2" t="s">
        <v>72</v>
      </c>
      <c r="E30" s="1" t="n">
        <v>0.5</v>
      </c>
      <c r="F30" s="9" t="n">
        <f aca="false">E30/E1</f>
        <v>0.0029940119760479</v>
      </c>
      <c r="G30" s="1" t="n">
        <v>4</v>
      </c>
      <c r="I30" s="1" t="n">
        <f aca="false">SUMIF(_2tid,A30,_2tdht)</f>
        <v>0.416666666666667</v>
      </c>
      <c r="J30" s="3" t="inlineStr">
        <f aca="false">IF(ISBLANK(LOOKUP(A30,_2tid,_2pidgo)),0,F30)</f>
        <is>
          <t/>
        </is>
      </c>
      <c r="K30" s="1" t="n">
        <f aca="false">LOOKUP(A30,_2tid,_2sr)</f>
        <v>5</v>
      </c>
    </row>
    <row collapsed="false" customFormat="false" customHeight="false" hidden="false" ht="26.65" outlineLevel="0" r="31">
      <c r="A31" s="14" t="n">
        <v>28</v>
      </c>
      <c r="B31" s="2" t="s">
        <v>73</v>
      </c>
      <c r="C31" s="2" t="s">
        <v>64</v>
      </c>
      <c r="E31" s="1" t="n">
        <f aca="false">7.5</f>
        <v>7.5</v>
      </c>
      <c r="F31" s="9" t="n">
        <f aca="false">E31/E1</f>
        <v>0.0449101796407186</v>
      </c>
      <c r="G31" s="1" t="n">
        <v>4</v>
      </c>
      <c r="I31" s="1" t="n">
        <f aca="false">SUMIF(_2tid,A31,_2tdht)</f>
        <v>9.41666666666665</v>
      </c>
      <c r="J31" s="3" t="inlineStr">
        <f aca="false">IF(ISBLANK(LOOKUP(A31,_2tid,_2pidgo)),0,F31)</f>
        <is>
          <t/>
        </is>
      </c>
      <c r="K31" s="1" t="n">
        <f aca="false">LOOKUP(A31,_2tid,_2sr)</f>
        <v>4</v>
      </c>
    </row>
    <row collapsed="false" customFormat="false" customHeight="false" hidden="false" ht="26.65" outlineLevel="0" r="32">
      <c r="A32" s="14" t="n">
        <v>29</v>
      </c>
      <c r="B32" s="2" t="s">
        <v>74</v>
      </c>
      <c r="C32" s="16" t="s">
        <v>25</v>
      </c>
      <c r="D32" s="16" t="s">
        <v>75</v>
      </c>
      <c r="E32" s="1" t="n">
        <v>0.5</v>
      </c>
      <c r="F32" s="3" t="n">
        <f aca="false">E32/E1</f>
        <v>0.0029940119760479</v>
      </c>
      <c r="G32" s="1" t="n">
        <v>4</v>
      </c>
      <c r="I32" s="1" t="n">
        <f aca="false">SUMIF(_2tid,A32,_2tdht)</f>
        <v>0.416666666666667</v>
      </c>
      <c r="J32" s="3" t="inlineStr">
        <f aca="false">IF(ISBLANK(LOOKUP(A32,_2tid,_2pidgo)),0,F32)</f>
        <is>
          <t/>
        </is>
      </c>
      <c r="K32" s="1" t="n">
        <f aca="false">LOOKUP(A32,_2tid,_2sr)</f>
        <v>4</v>
      </c>
    </row>
    <row collapsed="false" customFormat="false" customHeight="false" hidden="false" ht="26.65" outlineLevel="0" r="33">
      <c r="A33" s="14" t="n">
        <v>30</v>
      </c>
      <c r="B33" s="2" t="s">
        <v>76</v>
      </c>
      <c r="C33" s="16" t="s">
        <v>77</v>
      </c>
      <c r="D33" s="16" t="s">
        <v>78</v>
      </c>
      <c r="E33" s="1" t="n">
        <v>2</v>
      </c>
      <c r="F33" s="3" t="n">
        <f aca="false">E33/E1</f>
        <v>0.0119760479041916</v>
      </c>
      <c r="G33" s="1" t="n">
        <v>4</v>
      </c>
      <c r="I33" s="1" t="n">
        <f aca="false">SUMIF(_2tid,A33,_2tdht)</f>
        <v>0.733333333333334</v>
      </c>
      <c r="J33" s="3" t="inlineStr">
        <f aca="false">IF(ISBLANK(LOOKUP(A33,_2tid,_2pidgo)),0,F33)</f>
        <is>
          <t/>
        </is>
      </c>
      <c r="K33" s="1" t="n">
        <f aca="false">LOOKUP(A33,_2tid,_2sr)</f>
        <v>4</v>
      </c>
    </row>
    <row collapsed="false" customFormat="false" customHeight="false" hidden="false" ht="26.65" outlineLevel="0" r="34">
      <c r="A34" s="1" t="n">
        <v>31</v>
      </c>
      <c r="B34" s="2" t="s">
        <v>79</v>
      </c>
      <c r="E34" s="1" t="n">
        <v>3</v>
      </c>
      <c r="F34" s="3" t="n">
        <f aca="false">E34/E1</f>
        <v>0.0179640718562874</v>
      </c>
      <c r="G34" s="1" t="n">
        <v>4</v>
      </c>
      <c r="I34" s="1" t="n">
        <f aca="false">SUMIF(_2tid,A34,_2tdht)</f>
        <v>3.25</v>
      </c>
      <c r="J34" s="3" t="inlineStr">
        <f aca="false">IF(ISBLANK(LOOKUP(A34,_2tid,_2pidgo)),0,F34)</f>
        <is>
          <t/>
        </is>
      </c>
      <c r="K34" s="1" t="n">
        <f aca="false">LOOKUP(A34,_2tid,_2sr)</f>
        <v>4</v>
      </c>
    </row>
    <row collapsed="false" customFormat="false" customHeight="false" hidden="false" ht="14.15" outlineLevel="0" r="35">
      <c r="A35" s="1" t="n">
        <v>32</v>
      </c>
      <c r="B35" s="2" t="s">
        <v>80</v>
      </c>
      <c r="E35" s="1" t="n">
        <v>5</v>
      </c>
      <c r="F35" s="3" t="n">
        <f aca="false">E35/E1</f>
        <v>0.029940119760479</v>
      </c>
      <c r="G35" s="1" t="n">
        <v>4</v>
      </c>
      <c r="I35" s="1" t="n">
        <f aca="false">SUMIF(_2tid,A35,_2tdht)</f>
        <v>3.16666666666667</v>
      </c>
      <c r="J35" s="3" t="inlineStr">
        <f aca="false">IF(ISBLANK(LOOKUP(A35,_2tid,_2pidgo)),0,F35)</f>
        <is>
          <t/>
        </is>
      </c>
      <c r="K35" s="1" t="n">
        <f aca="false">LOOKUP(A35,_2tid,_2sr)</f>
        <v>4</v>
      </c>
    </row>
    <row collapsed="false" customFormat="false" customHeight="false" hidden="false" ht="26.65" outlineLevel="0" r="36">
      <c r="A36" s="1" t="n">
        <v>33</v>
      </c>
      <c r="B36" s="2" t="s">
        <v>81</v>
      </c>
      <c r="E36" s="1" t="n">
        <v>0.5</v>
      </c>
      <c r="F36" s="3" t="n">
        <f aca="false">E36/E1</f>
        <v>0.0029940119760479</v>
      </c>
      <c r="G36" s="1" t="n">
        <v>4</v>
      </c>
      <c r="I36" s="1" t="n">
        <f aca="false">SUMIF(_2tid,A36,_2tdht)</f>
        <v>0.583333333333333</v>
      </c>
      <c r="J36" s="3" t="inlineStr">
        <f aca="false">IF(ISBLANK(LOOKUP(A36,_2tid,_2pidgo)),0,F36)</f>
        <is>
          <t/>
        </is>
      </c>
      <c r="K36" s="1" t="n">
        <f aca="false">LOOKUP(A36,_2tid,_2sr)</f>
        <v>5</v>
      </c>
    </row>
    <row collapsed="false" customFormat="false" customHeight="false" hidden="false" ht="14.15" outlineLevel="0" r="37">
      <c r="A37" s="1" t="n">
        <v>34</v>
      </c>
      <c r="B37" s="2" t="s">
        <v>82</v>
      </c>
      <c r="E37" s="1" t="n">
        <v>1</v>
      </c>
      <c r="F37" s="3" t="n">
        <f aca="false">E37/E1</f>
        <v>0.00598802395209581</v>
      </c>
      <c r="G37" s="1" t="n">
        <v>4</v>
      </c>
      <c r="I37" s="1" t="n">
        <f aca="false">SUMIF(_2tid,A37,_2tdht)</f>
        <v>0.566666666666667</v>
      </c>
      <c r="J37" s="3" t="inlineStr">
        <f aca="false">IF(ISBLANK(LOOKUP(A37,_2tid,_2pidgo)),0,F37)</f>
        <is>
          <t/>
        </is>
      </c>
      <c r="K37" s="1" t="n">
        <f aca="false">LOOKUP(A37,_2tid,_2sr)</f>
        <v>5</v>
      </c>
    </row>
    <row collapsed="false" customFormat="false" customHeight="false" hidden="false" ht="14.15" outlineLevel="0" r="38">
      <c r="A38" s="1" t="n">
        <v>35</v>
      </c>
      <c r="B38" s="2" t="s">
        <v>83</v>
      </c>
      <c r="E38" s="1" t="n">
        <v>3</v>
      </c>
      <c r="F38" s="3" t="n">
        <f aca="false">E38/E1</f>
        <v>0.0179640718562874</v>
      </c>
      <c r="G38" s="1" t="n">
        <v>4</v>
      </c>
      <c r="I38" s="1" t="n">
        <f aca="false">SUMIF(_2tid,A38,_2tdht)</f>
        <v>1.31666666666667</v>
      </c>
      <c r="J38" s="3" t="inlineStr">
        <f aca="false">IF(ISBLANK(LOOKUP(A38,_2tid,_2pidgo)),0,F38)</f>
        <is>
          <t/>
        </is>
      </c>
      <c r="K38" s="1" t="n">
        <f aca="false">LOOKUP(A38,_2tid,_2sr)</f>
        <v>5</v>
      </c>
    </row>
    <row collapsed="false" customFormat="false" customHeight="false" hidden="false" ht="26.65" outlineLevel="0" r="39">
      <c r="A39" s="1" t="n">
        <v>36</v>
      </c>
      <c r="B39" s="2" t="s">
        <v>84</v>
      </c>
      <c r="E39" s="1" t="n">
        <v>1</v>
      </c>
      <c r="F39" s="3" t="n">
        <f aca="false">E39/E1</f>
        <v>0.00598802395209581</v>
      </c>
      <c r="G39" s="1" t="n">
        <v>5</v>
      </c>
      <c r="I39" s="1" t="n">
        <f aca="false">SUMIF(_2tid,A39,_2tdht)</f>
        <v>0</v>
      </c>
      <c r="J39" s="3" t="n">
        <f aca="false">IF(ISBLANK(LOOKUP(A39,_2tid,_2pidgo)),0,F39)</f>
        <v>0</v>
      </c>
      <c r="K39" s="1" t="n">
        <f aca="false">LOOKUP(A39,_2tid,_2sr)</f>
        <v>0</v>
      </c>
    </row>
    <row collapsed="false" customFormat="false" customHeight="false" hidden="false" ht="14.15" outlineLevel="0" r="40">
      <c r="A40" s="1" t="n">
        <v>37</v>
      </c>
      <c r="B40" s="2" t="s">
        <v>85</v>
      </c>
      <c r="E40" s="1" t="n">
        <v>4</v>
      </c>
      <c r="F40" s="3" t="n">
        <f aca="false">E40/E1</f>
        <v>0.0239520958083832</v>
      </c>
      <c r="G40" s="1" t="n">
        <v>5</v>
      </c>
      <c r="I40" s="1" t="n">
        <f aca="false">SUMIF(_2tid,A40,_2tdht)</f>
        <v>0</v>
      </c>
      <c r="J40" s="3" t="n">
        <f aca="false">IF(ISBLANK(LOOKUP(A40,_2tid,_2pidgo)),0,F40)</f>
        <v>0</v>
      </c>
      <c r="K40" s="1" t="n">
        <f aca="false">LOOKUP(A40,_2tid,_2sr)</f>
        <v>0</v>
      </c>
    </row>
    <row collapsed="false" customFormat="false" customHeight="false" hidden="false" ht="26.65" outlineLevel="0" r="41">
      <c r="A41" s="1" t="n">
        <v>38</v>
      </c>
      <c r="B41" s="2" t="s">
        <v>86</v>
      </c>
      <c r="E41" s="1" t="n">
        <v>4</v>
      </c>
      <c r="F41" s="3" t="n">
        <f aca="false">E41/E1</f>
        <v>0.0239520958083832</v>
      </c>
      <c r="G41" s="1" t="n">
        <v>5</v>
      </c>
      <c r="I41" s="1" t="n">
        <f aca="false">SUMIF(_2tid,A41,_2tdht)</f>
        <v>0</v>
      </c>
      <c r="J41" s="3" t="n">
        <f aca="false">IF(ISBLANK(LOOKUP(A41,_2tid,_2pidgo)),0,F41)</f>
        <v>0</v>
      </c>
      <c r="K41" s="1" t="n">
        <f aca="false">LOOKUP(A41,_2tid,_2sr)</f>
        <v>0</v>
      </c>
    </row>
    <row collapsed="false" customFormat="false" customHeight="false" hidden="false" ht="26.65" outlineLevel="0" r="42">
      <c r="A42" s="1" t="n">
        <v>39</v>
      </c>
      <c r="B42" s="2" t="s">
        <v>87</v>
      </c>
      <c r="E42" s="1" t="n">
        <v>2</v>
      </c>
      <c r="F42" s="3" t="n">
        <f aca="false">E42/E1</f>
        <v>0.0119760479041916</v>
      </c>
      <c r="G42" s="1" t="n">
        <v>5</v>
      </c>
      <c r="I42" s="1" t="n">
        <f aca="false">SUMIF(_2tid,A42,_2tdht)</f>
        <v>0</v>
      </c>
      <c r="J42" s="3" t="n">
        <f aca="false">IF(ISBLANK(LOOKUP(A42,_2tid,_2pidgo)),0,F42)</f>
        <v>0</v>
      </c>
      <c r="K42" s="1" t="n">
        <f aca="false">LOOKUP(A42,_2tid,_2sr)</f>
        <v>0</v>
      </c>
    </row>
    <row collapsed="false" customFormat="false" customHeight="false" hidden="false" ht="26.65" outlineLevel="0" r="43">
      <c r="A43" s="1" t="n">
        <v>40</v>
      </c>
      <c r="B43" s="2" t="s">
        <v>88</v>
      </c>
      <c r="E43" s="1" t="n">
        <v>0.5</v>
      </c>
      <c r="F43" s="3" t="n">
        <f aca="false">E43/E1</f>
        <v>0.0029940119760479</v>
      </c>
      <c r="G43" s="1" t="n">
        <v>5</v>
      </c>
      <c r="I43" s="1" t="n">
        <f aca="false">SUMIF(_2tid,A43,_2tdht)</f>
        <v>0</v>
      </c>
      <c r="J43" s="3" t="n">
        <f aca="false">IF(ISBLANK(LOOKUP(A43,_2tid,_2pidgo)),0,F43)</f>
        <v>0</v>
      </c>
      <c r="K43" s="1" t="n">
        <f aca="false">LOOKUP(A43,_2tid,_2sr)</f>
        <v>0</v>
      </c>
    </row>
    <row collapsed="false" customFormat="false" customHeight="false" hidden="false" ht="14.15" outlineLevel="0" r="44">
      <c r="A44" s="1" t="n">
        <v>41</v>
      </c>
      <c r="B44" s="2" t="s">
        <v>89</v>
      </c>
      <c r="E44" s="1" t="n">
        <v>4</v>
      </c>
      <c r="F44" s="3" t="n">
        <f aca="false">E44/E1</f>
        <v>0.0239520958083832</v>
      </c>
      <c r="G44" s="1" t="n">
        <v>5</v>
      </c>
      <c r="I44" s="1" t="n">
        <f aca="false">SUMIF(_2tid,A44,_2tdht)</f>
        <v>2.6</v>
      </c>
      <c r="J44" s="3" t="n">
        <f aca="false">IF(ISBLANK(LOOKUP(A44,_2tid,_2pidgo)),0,F44)</f>
        <v>0</v>
      </c>
      <c r="K44" s="1" t="n">
        <f aca="false">LOOKUP(A44,_2tid,_2sr)</f>
        <v>5</v>
      </c>
    </row>
    <row collapsed="false" customFormat="false" customHeight="false" hidden="false" ht="26.65" outlineLevel="0" r="45">
      <c r="A45" s="1" t="n">
        <v>42</v>
      </c>
      <c r="B45" s="2" t="s">
        <v>90</v>
      </c>
      <c r="E45" s="1" t="n">
        <v>4</v>
      </c>
      <c r="F45" s="3" t="n">
        <f aca="false">E45/E1</f>
        <v>0.0239520958083832</v>
      </c>
      <c r="G45" s="1" t="n">
        <v>5</v>
      </c>
      <c r="I45" s="1" t="n">
        <f aca="false">SUMIF(_2tid,A45,_2tdht)</f>
        <v>0</v>
      </c>
      <c r="J45" s="3" t="n">
        <f aca="false">IF(ISBLANK(LOOKUP(A45,_2tid,_2pidgo)),0,F45)</f>
        <v>0</v>
      </c>
      <c r="K45" s="1" t="n">
        <f aca="false">LOOKUP(A45,_2tid,_2sr)</f>
        <v>0</v>
      </c>
    </row>
    <row collapsed="false" customFormat="false" customHeight="false" hidden="false" ht="14.15" outlineLevel="0" r="46">
      <c r="A46" s="1" t="n">
        <v>43</v>
      </c>
      <c r="B46" s="2" t="s">
        <v>91</v>
      </c>
      <c r="E46" s="1" t="n">
        <v>5</v>
      </c>
      <c r="F46" s="3" t="n">
        <f aca="false">E46/E1</f>
        <v>0.029940119760479</v>
      </c>
      <c r="G46" s="1" t="n">
        <v>5</v>
      </c>
      <c r="I46" s="1" t="n">
        <f aca="false">SUMIF(_2tid,A46,_2tdht)</f>
        <v>0</v>
      </c>
      <c r="J46" s="3" t="n">
        <f aca="false">IF(ISBLANK(LOOKUP(A46,_2tid,_2pidgo)),0,F46)</f>
        <v>0</v>
      </c>
      <c r="K46" s="1" t="n">
        <f aca="false">LOOKUP(A46,_2tid,_2sr)</f>
        <v>0</v>
      </c>
    </row>
    <row collapsed="false" customFormat="false" customHeight="false" hidden="false" ht="14.15" outlineLevel="0" r="47">
      <c r="A47" s="1" t="n">
        <v>44</v>
      </c>
      <c r="B47" s="2" t="s">
        <v>92</v>
      </c>
      <c r="E47" s="1" t="n">
        <v>5</v>
      </c>
      <c r="F47" s="3" t="n">
        <f aca="false">E47/E1</f>
        <v>0.029940119760479</v>
      </c>
      <c r="G47" s="1" t="n">
        <v>5</v>
      </c>
      <c r="I47" s="1" t="n">
        <f aca="false">SUMIF(_2tid,A47,_2tdht)</f>
        <v>0</v>
      </c>
      <c r="J47" s="3" t="n">
        <f aca="false">IF(ISBLANK(LOOKUP(A47,_2tid,_2pidgo)),0,F47)</f>
        <v>0</v>
      </c>
      <c r="K47" s="1" t="n">
        <f aca="false">LOOKUP(A47,_2tid,_2sr)</f>
        <v>0</v>
      </c>
    </row>
    <row collapsed="false" customFormat="false" customHeight="false" hidden="false" ht="14.15" outlineLevel="0" r="48">
      <c r="A48" s="1" t="n">
        <v>45</v>
      </c>
      <c r="B48" s="2" t="s">
        <v>93</v>
      </c>
      <c r="E48" s="1" t="n">
        <v>5</v>
      </c>
      <c r="F48" s="3" t="n">
        <f aca="false">E48/E1</f>
        <v>0.029940119760479</v>
      </c>
      <c r="G48" s="1" t="n">
        <v>5</v>
      </c>
      <c r="I48" s="1" t="n">
        <f aca="false">SUMIF(_2tid,A48,_2tdht)</f>
        <v>0</v>
      </c>
      <c r="J48" s="3" t="n">
        <f aca="false">IF(ISBLANK(LOOKUP(A48,_2tid,_2pidgo)),0,F48)</f>
        <v>0</v>
      </c>
      <c r="K48" s="1" t="n">
        <f aca="false">LOOKUP(A48,_2tid,_2sr)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" activeCellId="1" pane="topLeft" sqref="D:D G:G"/>
    </sheetView>
  </sheetViews>
  <cols>
    <col collapsed="false" hidden="false" max="1" min="1" style="27" width="13.1137254901961"/>
    <col collapsed="false" hidden="false" max="2" min="2" style="28" width="17.5921568627451"/>
    <col collapsed="false" hidden="false" max="3" min="3" style="27" width="20.3686274509804"/>
    <col collapsed="false" hidden="true" max="4" min="4" style="27" width="0"/>
    <col collapsed="false" hidden="false" max="6" min="5" style="29" width="22.121568627451"/>
    <col collapsed="false" hidden="true" max="7" min="7" style="27" width="0"/>
    <col collapsed="false" hidden="false" max="9" min="8" style="29" width="22.121568627451"/>
    <col collapsed="false" hidden="false" max="1025" min="10" style="27" width="13.1137254901961"/>
  </cols>
  <sheetData>
    <row collapsed="false" customFormat="false" customHeight="false" hidden="false" ht="39.15" outlineLevel="0" r="1">
      <c r="A1" s="11" t="s">
        <v>6</v>
      </c>
      <c r="B1" s="30" t="s">
        <v>94</v>
      </c>
      <c r="C1" s="11" t="s">
        <v>95</v>
      </c>
      <c r="D1" s="11" t="s">
        <v>96</v>
      </c>
      <c r="E1" s="13" t="s">
        <v>97</v>
      </c>
      <c r="F1" s="13" t="s">
        <v>98</v>
      </c>
      <c r="G1" s="12" t="s">
        <v>99</v>
      </c>
      <c r="H1" s="13" t="s">
        <v>100</v>
      </c>
      <c r="I1" s="13" t="s">
        <v>101</v>
      </c>
    </row>
    <row collapsed="false" customFormat="false" customHeight="false" hidden="false" ht="13.75" outlineLevel="0" r="2">
      <c r="A2" s="31" t="n">
        <v>1</v>
      </c>
      <c r="B2" s="32" t="n">
        <v>41902</v>
      </c>
      <c r="C2" s="31" t="n">
        <f aca="false">7*5</f>
        <v>35</v>
      </c>
      <c r="D2" s="31" t="n">
        <f aca="false">SUMIF(_gse,A2,_gtdhe)</f>
        <v>36</v>
      </c>
      <c r="E2" s="33" t="n">
        <f aca="false">SUMIF(_gse,A2,_gpidge)</f>
        <v>0.215568862275449</v>
      </c>
      <c r="F2" s="33" t="inlineStr">
        <f aca="false">E2</f>
        <is>
          <t/>
        </is>
      </c>
      <c r="G2" s="31" t="n">
        <f aca="false">SUMIF(_gsr,A2,_gtdht)</f>
        <v>17.65</v>
      </c>
      <c r="H2" s="33" t="n">
        <f aca="false">SUMIF(_gsr,A2,_gpidgo)</f>
        <v>0.137724550898204</v>
      </c>
      <c r="I2" s="33" t="inlineStr">
        <f aca="false">H2</f>
        <is>
          <t/>
        </is>
      </c>
    </row>
    <row collapsed="false" customFormat="false" customHeight="false" hidden="false" ht="13.75" outlineLevel="0" r="3">
      <c r="A3" s="31" t="n">
        <v>2</v>
      </c>
      <c r="B3" s="32" t="inlineStr">
        <f aca="false">B2+7</f>
        <is>
          <t/>
        </is>
      </c>
      <c r="C3" s="31" t="n">
        <f aca="false">7*5</f>
        <v>35</v>
      </c>
      <c r="D3" s="31" t="n">
        <f aca="false">SUMIF(_gse,A3,_gtdhe)</f>
        <v>33.5</v>
      </c>
      <c r="E3" s="33" t="n">
        <f aca="false">SUMIF(_gse,A3,_gpidge)</f>
        <v>0.20059880239521</v>
      </c>
      <c r="F3" s="33" t="inlineStr">
        <f aca="false">E3+F2</f>
        <is>
          <t/>
        </is>
      </c>
      <c r="G3" s="31" t="n">
        <f aca="false">SUMIF(_gsr,A3,_gtdht)</f>
        <v>15.1166666666667</v>
      </c>
      <c r="H3" s="33" t="n">
        <f aca="false">SUMIF(_gsr,A3,_gpidgo)</f>
        <v>0.0808383233532934</v>
      </c>
      <c r="I3" s="33" t="inlineStr">
        <f aca="false">H3+I2</f>
        <is>
          <t/>
        </is>
      </c>
    </row>
    <row collapsed="false" customFormat="false" customHeight="false" hidden="false" ht="13.75" outlineLevel="0" r="4">
      <c r="A4" s="31" t="n">
        <v>3</v>
      </c>
      <c r="B4" s="32" t="inlineStr">
        <f aca="false">B3+7</f>
        <is>
          <t/>
        </is>
      </c>
      <c r="C4" s="31" t="n">
        <f aca="false">7*5</f>
        <v>35</v>
      </c>
      <c r="D4" s="31" t="n">
        <f aca="false">SUMIF(_gse,A4,_gtdhe)</f>
        <v>28</v>
      </c>
      <c r="E4" s="33" t="n">
        <f aca="false">SUMIF(_gse,A4,_gpidge)</f>
        <v>0.167664670658683</v>
      </c>
      <c r="F4" s="33" t="inlineStr">
        <f aca="false">E4+F3</f>
        <is>
          <t/>
        </is>
      </c>
      <c r="G4" s="31" t="n">
        <f aca="false">SUMIF(_gsr,A4,_gtdht)</f>
        <v>39.8833333333333</v>
      </c>
      <c r="H4" s="33" t="n">
        <f aca="false">SUMIF(_gsr,A4,_gpidgo)</f>
        <v>0.215568862275449</v>
      </c>
      <c r="I4" s="33" t="inlineStr">
        <f aca="false">H4+I3</f>
        <is>
          <t/>
        </is>
      </c>
    </row>
    <row collapsed="false" customFormat="false" customHeight="false" hidden="false" ht="13.75" outlineLevel="0" r="5">
      <c r="A5" s="31" t="n">
        <v>4</v>
      </c>
      <c r="B5" s="32" t="inlineStr">
        <f aca="false">B4+7</f>
        <is>
          <t/>
        </is>
      </c>
      <c r="C5" s="31" t="n">
        <f aca="false">7*5</f>
        <v>35</v>
      </c>
      <c r="D5" s="31" t="n">
        <f aca="false">SUMIF(_gse,A5,_gtdhe)</f>
        <v>35</v>
      </c>
      <c r="E5" s="33" t="n">
        <f aca="false">SUMIF(_gse,A5,_gpidge)</f>
        <v>0.209580838323353</v>
      </c>
      <c r="F5" s="33" t="inlineStr">
        <f aca="false">E5+F4</f>
        <is>
          <t/>
        </is>
      </c>
      <c r="G5" s="31" t="n">
        <f aca="false">SUMIF(_gsr,A5,_gtdht)</f>
        <v>23.4833333333333</v>
      </c>
      <c r="H5" s="33" t="n">
        <f aca="false">SUMIF(_gsr,A5,_gpidgo)</f>
        <v>0.179640718562874</v>
      </c>
      <c r="I5" s="33" t="inlineStr">
        <f aca="false">H5+I4</f>
        <is>
          <t/>
        </is>
      </c>
    </row>
    <row collapsed="false" customFormat="false" customHeight="false" hidden="false" ht="13.75" outlineLevel="0" r="6">
      <c r="A6" s="31" t="n">
        <v>5</v>
      </c>
      <c r="B6" s="32" t="inlineStr">
        <f aca="false">B5+7</f>
        <is>
          <t/>
        </is>
      </c>
      <c r="C6" s="31" t="n">
        <f aca="false">7*5</f>
        <v>35</v>
      </c>
      <c r="D6" s="31" t="n">
        <f aca="false">SUMIF(_gse,A6,_gtdhe)</f>
        <v>34.5</v>
      </c>
      <c r="E6" s="33" t="n">
        <f aca="false">SUMIF(_gse,A6,_gpidge)</f>
        <v>0.206586826347305</v>
      </c>
      <c r="F6" s="33" t="inlineStr">
        <f aca="false">E6+F5</f>
        <is>
          <t/>
        </is>
      </c>
      <c r="G6" s="31" t="n">
        <f aca="false">SUMIF(_gsr,A6,_gtdht)</f>
        <v>5.48333333333333</v>
      </c>
      <c r="H6" s="33" t="n">
        <f aca="false">SUMIF(_gsr,A6,_gpidgo)</f>
        <v>0.029940119760479</v>
      </c>
      <c r="I6" s="33" t="inlineStr">
        <f aca="false">H6+I5</f>
        <is>
          <t/>
        </is>
      </c>
    </row>
    <row collapsed="false" customFormat="false" customHeight="false" hidden="false" ht="13.75" outlineLevel="0" r="7">
      <c r="A7" s="31" t="n">
        <v>6</v>
      </c>
      <c r="B7" s="32" t="inlineStr">
        <f aca="false">B6+7</f>
        <is>
          <t/>
        </is>
      </c>
      <c r="C7" s="31" t="n">
        <f aca="false">7*5</f>
        <v>35</v>
      </c>
      <c r="D7" s="31" t="n">
        <f aca="false">SUMIF(_gse,A7,_gtdhe)</f>
        <v>0</v>
      </c>
      <c r="E7" s="33" t="n">
        <f aca="false">SUMIF(_gse,A7,_gpidge)</f>
        <v>0</v>
      </c>
      <c r="F7" s="33" t="inlineStr">
        <f aca="false">E7+F6</f>
        <is>
          <t/>
        </is>
      </c>
      <c r="G7" s="31" t="n">
        <f aca="false">SUMIF(_gsr,A7,_gtdht)</f>
        <v>0</v>
      </c>
      <c r="H7" s="33" t="n">
        <f aca="false">SUMIF(_gsr,A7,_gpidgo)</f>
        <v>0</v>
      </c>
      <c r="I7" s="33" t="inlineStr">
        <f aca="false">H7+I6</f>
        <is>
          <t/>
        </is>
      </c>
    </row>
    <row collapsed="false" customFormat="false" customHeight="false" hidden="false" ht="13.75" outlineLevel="0" r="8">
      <c r="A8" s="31" t="n">
        <v>7</v>
      </c>
      <c r="B8" s="32" t="inlineStr">
        <f aca="false">B7+7</f>
        <is>
          <t/>
        </is>
      </c>
      <c r="C8" s="31" t="n">
        <f aca="false">7*5</f>
        <v>35</v>
      </c>
      <c r="D8" s="31" t="n">
        <f aca="false">SUMIF(_gse,A8,_gtdhe)</f>
        <v>0</v>
      </c>
      <c r="E8" s="33" t="n">
        <f aca="false">SUMIF(_gse,A8,_gpidge)</f>
        <v>0</v>
      </c>
      <c r="F8" s="33" t="inlineStr">
        <f aca="false">E8+F7</f>
        <is>
          <t/>
        </is>
      </c>
      <c r="G8" s="31" t="n">
        <f aca="false">SUMIF(_gsr,A8,_gtdht)</f>
        <v>0</v>
      </c>
      <c r="H8" s="33" t="n">
        <f aca="false">SUMIF(_gsr,A8,_gpidgo)</f>
        <v>0</v>
      </c>
      <c r="I8" s="33" t="inlineStr">
        <f aca="false">H8+I7</f>
        <is>
          <t/>
        </is>
      </c>
    </row>
    <row collapsed="false" customFormat="false" customHeight="false" hidden="false" ht="13.75" outlineLevel="0" r="9">
      <c r="A9" s="31" t="n">
        <v>8</v>
      </c>
      <c r="B9" s="32" t="inlineStr">
        <f aca="false">B8+7</f>
        <is>
          <t/>
        </is>
      </c>
      <c r="C9" s="31" t="n">
        <f aca="false">7*5</f>
        <v>35</v>
      </c>
      <c r="D9" s="31" t="n">
        <f aca="false">SUMIF(_gse,A9,_gtdhe)</f>
        <v>0</v>
      </c>
      <c r="E9" s="33" t="n">
        <f aca="false">SUMIF(_gse,A9,_gpidge)</f>
        <v>0</v>
      </c>
      <c r="F9" s="33" t="inlineStr">
        <f aca="false">E9+F8</f>
        <is>
          <t/>
        </is>
      </c>
      <c r="G9" s="31" t="n">
        <f aca="false">SUMIF(_gsr,A9,_gtdht)</f>
        <v>0</v>
      </c>
      <c r="H9" s="33" t="n">
        <f aca="false">SUMIF(_gsr,A9,_gpidgo)</f>
        <v>0</v>
      </c>
      <c r="I9" s="33" t="inlineStr">
        <f aca="false">H9+I8</f>
        <is>
          <t/>
        </is>
      </c>
    </row>
    <row collapsed="false" customFormat="false" customHeight="false" hidden="false" ht="13.75" outlineLevel="0" r="10">
      <c r="A10" s="31" t="n">
        <v>9</v>
      </c>
      <c r="B10" s="32" t="inlineStr">
        <f aca="false">B9+7</f>
        <is>
          <t/>
        </is>
      </c>
      <c r="C10" s="31" t="n">
        <f aca="false">7*5</f>
        <v>35</v>
      </c>
      <c r="D10" s="31" t="n">
        <f aca="false">SUMIF(_gse,A10,_gtdhe)</f>
        <v>0</v>
      </c>
      <c r="E10" s="33" t="n">
        <f aca="false">SUMIF(_gse,A10,_gpidge)</f>
        <v>0</v>
      </c>
      <c r="F10" s="33" t="inlineStr">
        <f aca="false">E10+F9</f>
        <is>
          <t/>
        </is>
      </c>
      <c r="G10" s="31" t="n">
        <f aca="false">SUMIF(_gsr,A10,_gtdht)</f>
        <v>0</v>
      </c>
      <c r="H10" s="33" t="n">
        <f aca="false">SUMIF(_gsr,A10,_gpidgo)</f>
        <v>0</v>
      </c>
      <c r="I10" s="33" t="inlineStr">
        <f aca="false">H10+I9</f>
        <is>
          <t/>
        </is>
      </c>
    </row>
    <row collapsed="false" customFormat="false" customHeight="false" hidden="false" ht="13.75" outlineLevel="0" r="11">
      <c r="A11" s="31" t="n">
        <v>10</v>
      </c>
      <c r="B11" s="32" t="inlineStr">
        <f aca="false">B10+7</f>
        <is>
          <t/>
        </is>
      </c>
      <c r="C11" s="31" t="n">
        <f aca="false">7*5</f>
        <v>35</v>
      </c>
      <c r="D11" s="31" t="n">
        <f aca="false">SUMIF(_gse,A11,_gtdhe)</f>
        <v>0</v>
      </c>
      <c r="E11" s="33" t="n">
        <f aca="false">SUMIF(_gse,A11,_gpidge)</f>
        <v>0</v>
      </c>
      <c r="F11" s="33" t="inlineStr">
        <f aca="false">E11+F10</f>
        <is>
          <t/>
        </is>
      </c>
      <c r="G11" s="31" t="n">
        <f aca="false">SUMIF(_gsr,A11,_gtdht)</f>
        <v>0</v>
      </c>
      <c r="H11" s="33" t="n">
        <f aca="false">SUMIF(_gsr,A11,_gpidgo)</f>
        <v>0</v>
      </c>
      <c r="I11" s="33" t="inlineStr">
        <f aca="false">H11+I10</f>
        <is>
          <t/>
        </is>
      </c>
    </row>
    <row collapsed="false" customFormat="false" customHeight="false" hidden="false" ht="13.75" outlineLevel="0" r="12">
      <c r="A12" s="31" t="n">
        <v>11</v>
      </c>
      <c r="B12" s="32" t="inlineStr">
        <f aca="false">B11+7</f>
        <is>
          <t/>
        </is>
      </c>
      <c r="C12" s="31" t="n">
        <f aca="false">7*5</f>
        <v>35</v>
      </c>
      <c r="D12" s="31" t="n">
        <f aca="false">SUMIF(_gse,A12,_gtdhe)</f>
        <v>0</v>
      </c>
      <c r="E12" s="33" t="n">
        <f aca="false">SUMIF(_gse,A12,_gpidge)</f>
        <v>0</v>
      </c>
      <c r="F12" s="33" t="inlineStr">
        <f aca="false">E12+F11</f>
        <is>
          <t/>
        </is>
      </c>
      <c r="G12" s="31" t="n">
        <f aca="false">SUMIF(_gsr,A12,_gtdht)</f>
        <v>0</v>
      </c>
      <c r="H12" s="33" t="n">
        <f aca="false">SUMIF(_gsr,A12,_gpidgo)</f>
        <v>0</v>
      </c>
      <c r="I12" s="33" t="inlineStr">
        <f aca="false">H12+I11</f>
        <is>
          <t/>
        </is>
      </c>
    </row>
    <row collapsed="false" customFormat="false" customHeight="false" hidden="false" ht="14.95" outlineLevel="0" r="14">
      <c r="A14" s="11" t="s">
        <v>102</v>
      </c>
      <c r="C14" s="27" t="n">
        <f aca="false">SUM(C2:C12)</f>
        <v>385</v>
      </c>
      <c r="D14" s="27" t="n">
        <f aca="false">SUM(D2:D12)</f>
        <v>167</v>
      </c>
      <c r="G14" s="27" t="n">
        <f aca="false">SUM(G2:G12)</f>
        <v>101.616666666667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5" activeCellId="2" pane="topLeft" sqref="D:D G:G A15"/>
    </sheetView>
  </sheetViews>
  <cols>
    <col collapsed="false" hidden="false" max="1" min="1" style="1" width="3.70980392156863"/>
    <col collapsed="false" hidden="false" max="2" min="2" style="1" width="22.3411764705882"/>
    <col collapsed="false" hidden="false" max="3" min="3" style="3" width="22.3411764705882"/>
    <col collapsed="false" hidden="false" max="4" min="4" style="1" width="12.4196078431373"/>
    <col collapsed="false" hidden="false" max="5" min="5" style="4" width="2.83921568627451"/>
    <col collapsed="false" hidden="false" max="10" min="6" style="1" width="20.9450980392157"/>
    <col collapsed="false" hidden="false" max="11" min="11" style="4" width="2.83921568627451"/>
    <col collapsed="false" hidden="false" max="13" min="12" style="1" width="22.3411764705882"/>
    <col collapsed="false" hidden="false" max="14" min="14" style="1" width="12.4196078431373"/>
    <col collapsed="false" hidden="false" max="15" min="15" style="4" width="2.83921568627451"/>
    <col collapsed="false" hidden="false" max="20" min="16" style="4" width="20.9450980392157"/>
    <col collapsed="false" hidden="false" max="1020" min="21" style="4" width="12.4196078431373"/>
    <col collapsed="false" hidden="false" max="1021" min="1021" style="0" width="8.77254901960784"/>
    <col collapsed="false" hidden="false" max="1023" min="1022" style="0" width="12.4196078431373"/>
    <col collapsed="false" hidden="false" max="1025" min="1024" style="0" width="8.77254901960784"/>
  </cols>
  <sheetData>
    <row collapsed="false" customFormat="false" customHeight="false" hidden="false" ht="14.95" outlineLevel="0" r="1">
      <c r="A1" s="11" t="s">
        <v>103</v>
      </c>
      <c r="B1" s="11"/>
      <c r="C1" s="11"/>
      <c r="D1" s="11"/>
      <c r="E1" s="11"/>
      <c r="F1" s="11"/>
      <c r="G1" s="11"/>
      <c r="H1" s="11"/>
      <c r="I1" s="11"/>
      <c r="J1" s="11"/>
      <c r="L1" s="11" t="s">
        <v>104</v>
      </c>
      <c r="M1" s="11"/>
      <c r="N1" s="11"/>
      <c r="O1" s="11"/>
      <c r="P1" s="11"/>
      <c r="Q1" s="11"/>
      <c r="R1" s="11"/>
      <c r="S1" s="11"/>
      <c r="T1" s="11"/>
    </row>
    <row collapsed="false" customFormat="false" customHeight="false" hidden="false" ht="14.95" outlineLevel="0" r="2">
      <c r="A2" s="5"/>
      <c r="B2" s="34" t="n">
        <f aca="false">SUM(_2tdhe)</f>
        <v>69.5</v>
      </c>
      <c r="C2" s="9" t="inlineStr">
        <f aca="false">SUM(_2pidge)</f>
        <is>
          <t/>
        </is>
      </c>
      <c r="D2" s="10"/>
      <c r="F2" s="1" t="n">
        <f aca="false">SUM(_2tltdhe)</f>
        <v>15.5</v>
      </c>
      <c r="G2" s="1" t="n">
        <f aca="false">SUM(_2dmtdhe)</f>
        <v>13.5</v>
      </c>
      <c r="H2" s="1" t="n">
        <f aca="false">SUM(_2pqmtdhe)</f>
        <v>12</v>
      </c>
      <c r="I2" s="1" t="n">
        <f aca="false">SUM(_2pmtdhe)</f>
        <v>13</v>
      </c>
      <c r="J2" s="1" t="n">
        <f aca="false">SUM(_2smtdhe)</f>
        <v>15.5</v>
      </c>
      <c r="L2" s="1" t="n">
        <f aca="false">SUM(_2tdht)</f>
        <v>28.9666666666667</v>
      </c>
      <c r="M2" s="3" t="inlineStr">
        <f aca="false">SUM(_2pidgo)</f>
        <is>
          <t/>
        </is>
      </c>
      <c r="P2" s="1" t="n">
        <f aca="false">SUM(_2tltdht)</f>
        <v>7.05</v>
      </c>
      <c r="Q2" s="1" t="n">
        <f aca="false">SUM(_2dmtdht)</f>
        <v>5.8</v>
      </c>
      <c r="R2" s="1" t="n">
        <f aca="false">SUM(_2pqmtdht)</f>
        <v>5.95</v>
      </c>
      <c r="S2" s="1" t="n">
        <f aca="false">SUM(_2pmtdht)</f>
        <v>6.73333333333333</v>
      </c>
      <c r="T2" s="1" t="n">
        <f aca="false">SUM(_2smtdht)</f>
        <v>3.43333333333333</v>
      </c>
    </row>
    <row collapsed="false" customFormat="false" customHeight="false" hidden="false" ht="26.65" outlineLevel="0" r="3">
      <c r="A3" s="11" t="s">
        <v>0</v>
      </c>
      <c r="B3" s="12" t="s">
        <v>4</v>
      </c>
      <c r="C3" s="13" t="s">
        <v>5</v>
      </c>
      <c r="D3" s="11" t="s">
        <v>6</v>
      </c>
      <c r="F3" s="12" t="s">
        <v>105</v>
      </c>
      <c r="G3" s="12" t="s">
        <v>106</v>
      </c>
      <c r="H3" s="12" t="s">
        <v>107</v>
      </c>
      <c r="I3" s="12" t="s">
        <v>108</v>
      </c>
      <c r="J3" s="12" t="s">
        <v>109</v>
      </c>
      <c r="L3" s="12" t="s">
        <v>7</v>
      </c>
      <c r="M3" s="12" t="s">
        <v>110</v>
      </c>
      <c r="N3" s="12" t="s">
        <v>6</v>
      </c>
      <c r="P3" s="12" t="s">
        <v>105</v>
      </c>
      <c r="Q3" s="12" t="s">
        <v>106</v>
      </c>
      <c r="R3" s="12" t="s">
        <v>107</v>
      </c>
      <c r="S3" s="12" t="s">
        <v>108</v>
      </c>
      <c r="T3" s="12" t="s">
        <v>109</v>
      </c>
    </row>
    <row collapsed="false" customFormat="true" customHeight="false" hidden="false" ht="14.15" outlineLevel="0" r="4" s="1">
      <c r="A4" s="14" t="n">
        <v>24</v>
      </c>
      <c r="B4" s="1" t="n">
        <f aca="false">LOOKUP(A4,_gtid,_gtdhe)</f>
        <v>5</v>
      </c>
      <c r="C4" s="9" t="n">
        <f aca="false">B4/B2</f>
        <v>0.0719424460431655</v>
      </c>
      <c r="D4" s="1" t="n">
        <f aca="false">LOOKUP(A4,_gtid,_gse)</f>
        <v>4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L4" s="1" t="n">
        <f aca="false">SUM(P4:T4)</f>
        <v>2.5</v>
      </c>
      <c r="M4" s="3" t="inlineStr">
        <f aca="false">C4</f>
        <is>
          <t/>
        </is>
      </c>
      <c r="N4" s="1" t="n">
        <v>4</v>
      </c>
      <c r="P4" s="1" t="n">
        <f aca="false">30/60</f>
        <v>0.5</v>
      </c>
      <c r="Q4" s="1" t="n">
        <f aca="false">30/60</f>
        <v>0.5</v>
      </c>
      <c r="R4" s="1" t="n">
        <f aca="false">30/60</f>
        <v>0.5</v>
      </c>
      <c r="S4" s="1" t="n">
        <f aca="false">30/60</f>
        <v>0.5</v>
      </c>
      <c r="T4" s="1" t="n">
        <f aca="false">30/60</f>
        <v>0.5</v>
      </c>
    </row>
    <row collapsed="false" customFormat="true" customHeight="false" hidden="false" ht="14.15" outlineLevel="0" r="5" s="1">
      <c r="A5" s="14" t="n">
        <v>25</v>
      </c>
      <c r="B5" s="1" t="n">
        <f aca="false">LOOKUP(A5,_gtid,_gtdhe)</f>
        <v>5</v>
      </c>
      <c r="C5" s="9" t="n">
        <f aca="false">B5/B2</f>
        <v>0.0719424460431655</v>
      </c>
      <c r="D5" s="1" t="n">
        <f aca="false">LOOKUP(A5,_gtid,_gse)</f>
        <v>4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L5" s="1" t="n">
        <f aca="false">SUM(P5:T5)</f>
        <v>2.08333333333334</v>
      </c>
      <c r="M5" s="3" t="inlineStr">
        <f aca="false">C5</f>
        <is>
          <t/>
        </is>
      </c>
      <c r="N5" s="1" t="n">
        <v>4</v>
      </c>
      <c r="P5" s="1" t="n">
        <f aca="false">25/60</f>
        <v>0.416666666666667</v>
      </c>
      <c r="Q5" s="1" t="n">
        <f aca="false">25/60</f>
        <v>0.416666666666667</v>
      </c>
      <c r="R5" s="1" t="n">
        <f aca="false">25/60</f>
        <v>0.416666666666667</v>
      </c>
      <c r="S5" s="1" t="n">
        <f aca="false">25/60</f>
        <v>0.416666666666667</v>
      </c>
      <c r="T5" s="1" t="n">
        <f aca="false">25/60</f>
        <v>0.416666666666667</v>
      </c>
    </row>
    <row collapsed="false" customFormat="true" customHeight="false" hidden="false" ht="14.15" outlineLevel="0" r="6" s="1">
      <c r="A6" s="14" t="n">
        <v>26</v>
      </c>
      <c r="B6" s="1" t="n">
        <f aca="false">LOOKUP(A6,_gtid,_gtdhe)</f>
        <v>2</v>
      </c>
      <c r="C6" s="9" t="n">
        <f aca="false">B6/B2</f>
        <v>0.0287769784172662</v>
      </c>
      <c r="D6" s="1" t="n">
        <f aca="false">LOOKUP(A6,_gtid,_gse)</f>
        <v>4</v>
      </c>
      <c r="I6" s="1" t="n">
        <v>2</v>
      </c>
      <c r="L6" s="1" t="n">
        <f aca="false">SUM(P6:T6)</f>
        <v>1.91666666666667</v>
      </c>
      <c r="M6" s="3" t="inlineStr">
        <f aca="false">C6</f>
        <is>
          <t/>
        </is>
      </c>
      <c r="N6" s="1" t="n">
        <v>4</v>
      </c>
      <c r="S6" s="1" t="n">
        <f aca="false">115/60</f>
        <v>1.91666666666667</v>
      </c>
    </row>
    <row collapsed="false" customFormat="true" customHeight="false" hidden="false" ht="14.15" outlineLevel="0" r="7" s="1">
      <c r="A7" s="14" t="n">
        <v>27</v>
      </c>
      <c r="B7" s="1" t="n">
        <f aca="false">LOOKUP(A7,_gtid,_gtdhe)</f>
        <v>0.5</v>
      </c>
      <c r="C7" s="9" t="n">
        <f aca="false">B7/B2</f>
        <v>0.00719424460431655</v>
      </c>
      <c r="D7" s="1" t="n">
        <f aca="false">LOOKUP(A7,_gtid,_gse)</f>
        <v>4</v>
      </c>
      <c r="H7" s="1" t="n">
        <v>0.5</v>
      </c>
      <c r="L7" s="1" t="n">
        <f aca="false">SUM(P7:T7)</f>
        <v>0.416666666666667</v>
      </c>
      <c r="M7" s="35" t="inlineStr">
        <f aca="false">C7</f>
        <is>
          <t/>
        </is>
      </c>
      <c r="N7" s="1" t="n">
        <v>5</v>
      </c>
      <c r="R7" s="1" t="n">
        <f aca="false">25/60</f>
        <v>0.416666666666667</v>
      </c>
    </row>
    <row collapsed="false" customFormat="true" customHeight="false" hidden="false" ht="14.15" outlineLevel="0" r="8" s="1">
      <c r="A8" s="14" t="n">
        <v>28</v>
      </c>
      <c r="B8" s="1" t="n">
        <f aca="false">LOOKUP(A8,_gtid,_gtdhe)</f>
        <v>7.5</v>
      </c>
      <c r="C8" s="9" t="n">
        <f aca="false">B8/B2</f>
        <v>0.107913669064748</v>
      </c>
      <c r="D8" s="1" t="n">
        <f aca="false">LOOKUP(A8,_gtid,_gse)</f>
        <v>4</v>
      </c>
      <c r="F8" s="1" t="n">
        <v>1.5</v>
      </c>
      <c r="G8" s="1" t="n">
        <v>1.5</v>
      </c>
      <c r="H8" s="1" t="n">
        <v>1.5</v>
      </c>
      <c r="I8" s="1" t="n">
        <v>1.5</v>
      </c>
      <c r="J8" s="1" t="n">
        <v>1.5</v>
      </c>
      <c r="L8" s="1" t="n">
        <f aca="false">SUM(P8:T8)</f>
        <v>9.41666666666665</v>
      </c>
      <c r="M8" s="3" t="inlineStr">
        <f aca="false">C8</f>
        <is>
          <t/>
        </is>
      </c>
      <c r="N8" s="1" t="n">
        <v>4</v>
      </c>
      <c r="P8" s="1" t="n">
        <f aca="false">113/60</f>
        <v>1.88333333333333</v>
      </c>
      <c r="Q8" s="1" t="n">
        <f aca="false">113/60</f>
        <v>1.88333333333333</v>
      </c>
      <c r="R8" s="1" t="n">
        <f aca="false">113/60</f>
        <v>1.88333333333333</v>
      </c>
      <c r="S8" s="1" t="n">
        <f aca="false">113/60</f>
        <v>1.88333333333333</v>
      </c>
      <c r="T8" s="1" t="n">
        <f aca="false">113/60</f>
        <v>1.88333333333333</v>
      </c>
    </row>
    <row collapsed="false" customFormat="true" customHeight="false" hidden="false" ht="13.75" outlineLevel="0" r="9" s="1">
      <c r="A9" s="14" t="n">
        <v>29</v>
      </c>
      <c r="B9" s="1" t="n">
        <f aca="false">LOOKUP(A9,_gtid,_gtdhe)</f>
        <v>0.5</v>
      </c>
      <c r="C9" s="3" t="n">
        <f aca="false">B9/B2</f>
        <v>0.00719424460431655</v>
      </c>
      <c r="D9" s="1" t="n">
        <f aca="false">LOOKUP(A9,_gtid,_gse)</f>
        <v>4</v>
      </c>
      <c r="I9" s="1" t="n">
        <v>0.5</v>
      </c>
      <c r="L9" s="1" t="n">
        <f aca="false">SUM(P9:T9)</f>
        <v>0.416666666666667</v>
      </c>
      <c r="M9" s="3" t="inlineStr">
        <f aca="false">C9</f>
        <is>
          <t/>
        </is>
      </c>
      <c r="N9" s="1" t="n">
        <v>4</v>
      </c>
      <c r="S9" s="1" t="n">
        <f aca="false">25/60</f>
        <v>0.416666666666667</v>
      </c>
    </row>
    <row collapsed="false" customFormat="true" customHeight="false" hidden="false" ht="13.75" outlineLevel="0" r="10" s="1">
      <c r="A10" s="14" t="n">
        <v>30</v>
      </c>
      <c r="B10" s="1" t="n">
        <f aca="false">LOOKUP(A10,_gtid,_gtdhe)</f>
        <v>2</v>
      </c>
      <c r="C10" s="3" t="n">
        <f aca="false">B10/B2</f>
        <v>0.0287769784172662</v>
      </c>
      <c r="D10" s="1" t="n">
        <f aca="false">LOOKUP(A10,_gtid,_gse)</f>
        <v>4</v>
      </c>
      <c r="F10" s="1" t="n">
        <v>1</v>
      </c>
      <c r="I10" s="1" t="n">
        <v>1</v>
      </c>
      <c r="L10" s="1" t="n">
        <f aca="false">SUM(P10:T10)</f>
        <v>0.733333333333334</v>
      </c>
      <c r="M10" s="3" t="inlineStr">
        <f aca="false">C10</f>
        <is>
          <t/>
        </is>
      </c>
      <c r="N10" s="1" t="n">
        <v>4</v>
      </c>
      <c r="P10" s="1" t="n">
        <f aca="false">22/60</f>
        <v>0.366666666666667</v>
      </c>
      <c r="S10" s="1" t="n">
        <f aca="false">22/60</f>
        <v>0.366666666666667</v>
      </c>
    </row>
    <row collapsed="false" customFormat="true" customHeight="false" hidden="false" ht="13.75" outlineLevel="0" r="11" s="1">
      <c r="A11" s="1" t="n">
        <v>31</v>
      </c>
      <c r="B11" s="1" t="n">
        <f aca="false">LOOKUP(A11,_gtid,_gtdhe)</f>
        <v>3</v>
      </c>
      <c r="C11" s="3" t="n">
        <f aca="false">B11/B2</f>
        <v>0.0431654676258993</v>
      </c>
      <c r="D11" s="1" t="n">
        <f aca="false">LOOKUP(A11,_gtid,_gse)</f>
        <v>4</v>
      </c>
      <c r="F11" s="1" t="n">
        <v>3</v>
      </c>
      <c r="L11" s="1" t="n">
        <f aca="false">SUM(P11:T11)</f>
        <v>3.25</v>
      </c>
      <c r="M11" s="35" t="inlineStr">
        <f aca="false">C11</f>
        <is>
          <t/>
        </is>
      </c>
      <c r="N11" s="1" t="n">
        <v>4</v>
      </c>
      <c r="P11" s="1" t="n">
        <f aca="false">195/60</f>
        <v>3.25</v>
      </c>
    </row>
    <row collapsed="false" customFormat="true" customHeight="false" hidden="false" ht="13.75" outlineLevel="0" r="12" s="1">
      <c r="A12" s="1" t="n">
        <v>32</v>
      </c>
      <c r="B12" s="1" t="n">
        <f aca="false">LOOKUP(A12,_gtid,_gtdhe)</f>
        <v>5</v>
      </c>
      <c r="C12" s="3" t="n">
        <f aca="false">B12/B2</f>
        <v>0.0719424460431655</v>
      </c>
      <c r="D12" s="1" t="n">
        <f aca="false">LOOKUP(A12,_gtid,_gse)</f>
        <v>4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L12" s="1" t="n">
        <f aca="false">SUM(P12:T12)</f>
        <v>3.16666666666667</v>
      </c>
      <c r="M12" s="3" t="inlineStr">
        <f aca="false">C12</f>
        <is>
          <t/>
        </is>
      </c>
      <c r="N12" s="1" t="n">
        <v>4</v>
      </c>
      <c r="P12" s="1" t="n">
        <f aca="false">38/60</f>
        <v>0.633333333333333</v>
      </c>
      <c r="Q12" s="1" t="n">
        <f aca="false">38/60</f>
        <v>0.633333333333333</v>
      </c>
      <c r="R12" s="1" t="n">
        <f aca="false">38/60</f>
        <v>0.633333333333333</v>
      </c>
      <c r="S12" s="1" t="n">
        <f aca="false">38/60</f>
        <v>0.633333333333333</v>
      </c>
      <c r="T12" s="1" t="n">
        <f aca="false">38/60</f>
        <v>0.633333333333333</v>
      </c>
    </row>
    <row collapsed="false" customFormat="true" customHeight="false" hidden="false" ht="13.75" outlineLevel="0" r="13" s="1">
      <c r="A13" s="1" t="n">
        <v>33</v>
      </c>
      <c r="B13" s="1" t="n">
        <f aca="false">LOOKUP(A13,_gtid,_gtdhe)</f>
        <v>0.5</v>
      </c>
      <c r="C13" s="3" t="n">
        <f aca="false">B13/B2</f>
        <v>0.00719424460431655</v>
      </c>
      <c r="D13" s="1" t="n">
        <f aca="false">LOOKUP(A13,_gtid,_gse)</f>
        <v>4</v>
      </c>
      <c r="H13" s="1" t="n">
        <v>0.5</v>
      </c>
      <c r="L13" s="1" t="n">
        <f aca="false">SUM(P13:T13)</f>
        <v>0.583333333333333</v>
      </c>
      <c r="M13" s="35" t="inlineStr">
        <f aca="false">C13</f>
        <is>
          <t/>
        </is>
      </c>
      <c r="N13" s="1" t="n">
        <v>5</v>
      </c>
      <c r="R13" s="1" t="n">
        <f aca="false">35/60</f>
        <v>0.583333333333333</v>
      </c>
    </row>
    <row collapsed="false" customFormat="true" customHeight="false" hidden="false" ht="13.75" outlineLevel="0" r="14" s="1">
      <c r="A14" s="1" t="n">
        <v>34</v>
      </c>
      <c r="B14" s="1" t="n">
        <f aca="false">LOOKUP(A14,_gtid,_gtdhe)</f>
        <v>1</v>
      </c>
      <c r="C14" s="3" t="n">
        <f aca="false">B14/B2</f>
        <v>0.0143884892086331</v>
      </c>
      <c r="D14" s="1" t="n">
        <f aca="false">LOOKUP(A14,_gtid,_gse)</f>
        <v>4</v>
      </c>
      <c r="H14" s="1" t="n">
        <v>1</v>
      </c>
      <c r="L14" s="1" t="n">
        <f aca="false">SUM(P14:T14)</f>
        <v>0.566666666666667</v>
      </c>
      <c r="M14" s="35" t="inlineStr">
        <f aca="false">C14</f>
        <is>
          <t/>
        </is>
      </c>
      <c r="N14" s="1" t="n">
        <v>5</v>
      </c>
      <c r="R14" s="1" t="n">
        <f aca="false">34/60</f>
        <v>0.566666666666667</v>
      </c>
    </row>
    <row collapsed="false" customFormat="true" customHeight="false" hidden="false" ht="13.75" outlineLevel="0" r="15" s="1">
      <c r="A15" s="1" t="n">
        <v>35</v>
      </c>
      <c r="B15" s="1" t="n">
        <f aca="false">LOOKUP(A15,_gtid,_gtdhe)</f>
        <v>3</v>
      </c>
      <c r="C15" s="3" t="n">
        <f aca="false">B15/B2</f>
        <v>0.0431654676258993</v>
      </c>
      <c r="D15" s="1" t="n">
        <f aca="false">LOOKUP(A15,_gtid,_gse)</f>
        <v>4</v>
      </c>
      <c r="G15" s="1" t="n">
        <v>3</v>
      </c>
      <c r="L15" s="1" t="n">
        <f aca="false">SUM(P15:T15)</f>
        <v>1.31666666666667</v>
      </c>
      <c r="M15" s="35" t="inlineStr">
        <f aca="false">C15</f>
        <is>
          <t/>
        </is>
      </c>
      <c r="N15" s="1" t="n">
        <v>5</v>
      </c>
      <c r="Q15" s="1" t="n">
        <f aca="false">79/60</f>
        <v>1.31666666666667</v>
      </c>
    </row>
    <row collapsed="false" customFormat="true" customHeight="false" hidden="false" ht="13.75" outlineLevel="0" r="16" s="1">
      <c r="A16" s="1" t="n">
        <v>36</v>
      </c>
      <c r="B16" s="1" t="n">
        <f aca="false">LOOKUP(A16,_gtid,_gtdhe)</f>
        <v>1</v>
      </c>
      <c r="C16" s="3" t="n">
        <f aca="false">B16/B2</f>
        <v>0.0143884892086331</v>
      </c>
      <c r="D16" s="1" t="n">
        <f aca="false">LOOKUP(A16,_gtid,_gse)</f>
        <v>5</v>
      </c>
      <c r="G16" s="1" t="n">
        <v>1</v>
      </c>
      <c r="L16" s="1" t="n">
        <f aca="false">SUM(P16:T16)</f>
        <v>0</v>
      </c>
    </row>
    <row collapsed="false" customFormat="true" customHeight="false" hidden="false" ht="13.75" outlineLevel="0" r="17" s="1">
      <c r="A17" s="1" t="n">
        <v>37</v>
      </c>
      <c r="B17" s="1" t="n">
        <f aca="false">LOOKUP(A17,_gtid,_gtdhe)</f>
        <v>4</v>
      </c>
      <c r="C17" s="3" t="n">
        <f aca="false">B17/B2</f>
        <v>0.0575539568345324</v>
      </c>
      <c r="D17" s="1" t="n">
        <f aca="false">LOOKUP(A17,_gtid,_gse)</f>
        <v>5</v>
      </c>
      <c r="F17" s="1" t="n">
        <v>4</v>
      </c>
      <c r="L17" s="1" t="n">
        <f aca="false">SUM(P17:T17)</f>
        <v>0</v>
      </c>
    </row>
    <row collapsed="false" customFormat="true" customHeight="false" hidden="false" ht="13.75" outlineLevel="0" r="18" s="1">
      <c r="A18" s="1" t="n">
        <v>38</v>
      </c>
      <c r="B18" s="1" t="n">
        <f aca="false">LOOKUP(A18,_gtid,_gtdhe)</f>
        <v>4</v>
      </c>
      <c r="C18" s="3" t="n">
        <f aca="false">B18/B2</f>
        <v>0.0575539568345324</v>
      </c>
      <c r="D18" s="1" t="n">
        <f aca="false">LOOKUP(A18,_gtid,_gse)</f>
        <v>5</v>
      </c>
      <c r="H18" s="1" t="n">
        <v>2</v>
      </c>
      <c r="J18" s="1" t="n">
        <v>2</v>
      </c>
      <c r="L18" s="1" t="n">
        <f aca="false">SUM(P18:T18)</f>
        <v>0</v>
      </c>
    </row>
    <row collapsed="false" customFormat="true" customHeight="false" hidden="false" ht="13.75" outlineLevel="0" r="19" s="1">
      <c r="A19" s="1" t="n">
        <v>39</v>
      </c>
      <c r="B19" s="1" t="n">
        <f aca="false">LOOKUP(A19,_gtid,_gtdhe)</f>
        <v>2</v>
      </c>
      <c r="C19" s="3" t="n">
        <f aca="false">B19/B2</f>
        <v>0.0287769784172662</v>
      </c>
      <c r="D19" s="1" t="n">
        <f aca="false">LOOKUP(A19,_gtid,_gse)</f>
        <v>5</v>
      </c>
      <c r="J19" s="1" t="n">
        <v>2</v>
      </c>
      <c r="L19" s="1" t="n">
        <f aca="false">SUM(P19:T19)</f>
        <v>0</v>
      </c>
    </row>
    <row collapsed="false" customFormat="true" customHeight="false" hidden="false" ht="13.75" outlineLevel="0" r="20" s="1">
      <c r="A20" s="1" t="n">
        <v>40</v>
      </c>
      <c r="B20" s="1" t="n">
        <f aca="false">LOOKUP(A20,_gtid,_gtdhe)</f>
        <v>0.5</v>
      </c>
      <c r="C20" s="3" t="n">
        <f aca="false">B20/B2</f>
        <v>0.00719424460431655</v>
      </c>
      <c r="D20" s="1" t="n">
        <f aca="false">LOOKUP(A20,_gtid,_gse)</f>
        <v>5</v>
      </c>
      <c r="H20" s="1" t="n">
        <v>0.5</v>
      </c>
      <c r="L20" s="1" t="n">
        <f aca="false">SUM(P20:T20)</f>
        <v>0</v>
      </c>
    </row>
    <row collapsed="false" customFormat="true" customHeight="false" hidden="false" ht="13.75" outlineLevel="0" r="21" s="1">
      <c r="A21" s="1" t="n">
        <v>41</v>
      </c>
      <c r="B21" s="1" t="n">
        <f aca="false">LOOKUP(A21,_gtid,_gtdhe)</f>
        <v>4</v>
      </c>
      <c r="C21" s="3" t="n">
        <f aca="false">B21/B2</f>
        <v>0.0575539568345324</v>
      </c>
      <c r="D21" s="1" t="n">
        <f aca="false">LOOKUP(A21,_gtid,_gse)</f>
        <v>5</v>
      </c>
      <c r="F21" s="1" t="n">
        <v>1</v>
      </c>
      <c r="G21" s="1" t="n">
        <v>1</v>
      </c>
      <c r="H21" s="1" t="n">
        <v>1</v>
      </c>
      <c r="I21" s="1" t="n">
        <v>1</v>
      </c>
      <c r="L21" s="1" t="n">
        <f aca="false">SUM(P21:T21)</f>
        <v>2.6</v>
      </c>
      <c r="N21" s="1" t="n">
        <v>5</v>
      </c>
      <c r="Q21" s="1" t="n">
        <f aca="false">63/60</f>
        <v>1.05</v>
      </c>
      <c r="R21" s="1" t="n">
        <f aca="false">57/60</f>
        <v>0.95</v>
      </c>
      <c r="S21" s="1" t="n">
        <f aca="false">36/60</f>
        <v>0.6</v>
      </c>
    </row>
    <row collapsed="false" customFormat="true" customHeight="false" hidden="false" ht="13.75" outlineLevel="0" r="22" s="1">
      <c r="A22" s="1" t="n">
        <v>42</v>
      </c>
      <c r="B22" s="1" t="n">
        <f aca="false">LOOKUP(A22,_gtid,_gtdhe)</f>
        <v>4</v>
      </c>
      <c r="C22" s="3" t="n">
        <f aca="false">B22/B2</f>
        <v>0.0575539568345324</v>
      </c>
      <c r="D22" s="1" t="n">
        <f aca="false">LOOKUP(A22,_gtid,_gse)</f>
        <v>5</v>
      </c>
      <c r="J22" s="1" t="n">
        <v>5</v>
      </c>
      <c r="L22" s="1" t="n">
        <f aca="false">SUM(P22:T22)</f>
        <v>0</v>
      </c>
    </row>
    <row collapsed="false" customFormat="true" customHeight="false" hidden="false" ht="13.75" outlineLevel="0" r="23" s="1">
      <c r="A23" s="1" t="n">
        <v>43</v>
      </c>
      <c r="B23" s="1" t="n">
        <f aca="false">LOOKUP(A23,_gtid,_gtdhe)</f>
        <v>5</v>
      </c>
      <c r="C23" s="3" t="n">
        <f aca="false">B23/B2</f>
        <v>0.0719424460431655</v>
      </c>
      <c r="D23" s="1" t="n">
        <f aca="false">LOOKUP(A23,_gtid,_gse)</f>
        <v>5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L23" s="1" t="n">
        <f aca="false">SUM(P23:T23)</f>
        <v>0</v>
      </c>
    </row>
    <row collapsed="false" customFormat="true" customHeight="false" hidden="false" ht="13.75" outlineLevel="0" r="24" s="1">
      <c r="A24" s="1" t="n">
        <v>44</v>
      </c>
      <c r="B24" s="1" t="n">
        <f aca="false">LOOKUP(A24,_gtid,_gtdhe)</f>
        <v>5</v>
      </c>
      <c r="C24" s="3" t="n">
        <f aca="false">B24/B2</f>
        <v>0.0719424460431655</v>
      </c>
      <c r="D24" s="1" t="n">
        <f aca="false">LOOKUP(A24,_gtid,_gse)</f>
        <v>5</v>
      </c>
      <c r="G24" s="1" t="n">
        <v>2</v>
      </c>
      <c r="I24" s="1" t="n">
        <v>2</v>
      </c>
      <c r="L24" s="1" t="n">
        <f aca="false">SUM(P24:T24)</f>
        <v>0</v>
      </c>
    </row>
    <row collapsed="false" customFormat="true" customHeight="false" hidden="false" ht="13.75" outlineLevel="0" r="25" s="1">
      <c r="A25" s="1" t="n">
        <v>45</v>
      </c>
      <c r="B25" s="1" t="n">
        <f aca="false">LOOKUP(A25,_gtid,_gtdhe)</f>
        <v>5</v>
      </c>
      <c r="C25" s="3" t="n">
        <f aca="false">B25/B2</f>
        <v>0.0719424460431655</v>
      </c>
      <c r="D25" s="1" t="n">
        <f aca="false">LOOKUP(A25,_gtid,_gse)</f>
        <v>5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L25" s="1" t="n">
        <f aca="false">SUM(P25:T25)</f>
        <v>0</v>
      </c>
    </row>
  </sheetData>
  <mergeCells count="2">
    <mergeCell ref="A1:J1"/>
    <mergeCell ref="L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3" activeCellId="2" pane="topLeft" sqref="D:D G:G H3"/>
    </sheetView>
  </sheetViews>
  <cols>
    <col collapsed="false" hidden="false" max="1" min="1" style="27" width="13.1137254901961"/>
    <col collapsed="false" hidden="false" max="2" min="2" style="28" width="17.5921568627451"/>
    <col collapsed="false" hidden="false" max="3" min="3" style="27" width="20.3686274509804"/>
    <col collapsed="false" hidden="true" max="4" min="4" style="27" width="0"/>
    <col collapsed="false" hidden="false" max="6" min="5" style="29" width="22.121568627451"/>
    <col collapsed="false" hidden="true" max="7" min="7" style="27" width="0"/>
    <col collapsed="false" hidden="false" max="9" min="8" style="29" width="22.121568627451"/>
    <col collapsed="false" hidden="false" max="1014" min="10" style="27" width="13.1137254901961"/>
    <col collapsed="false" hidden="false" max="1025" min="1015" style="0" width="8.54509803921569"/>
  </cols>
  <sheetData>
    <row collapsed="false" customFormat="false" customHeight="false" hidden="false" ht="39.15" outlineLevel="0" r="1">
      <c r="A1" s="11" t="s">
        <v>6</v>
      </c>
      <c r="B1" s="30" t="s">
        <v>94</v>
      </c>
      <c r="C1" s="11" t="s">
        <v>95</v>
      </c>
      <c r="D1" s="11" t="s">
        <v>96</v>
      </c>
      <c r="E1" s="13" t="s">
        <v>97</v>
      </c>
      <c r="F1" s="13" t="s">
        <v>98</v>
      </c>
      <c r="G1" s="12" t="s">
        <v>99</v>
      </c>
      <c r="H1" s="13" t="s">
        <v>100</v>
      </c>
      <c r="I1" s="13" t="s">
        <v>101</v>
      </c>
    </row>
    <row collapsed="false" customFormat="false" customHeight="false" hidden="false" ht="13.75" outlineLevel="0" r="2">
      <c r="A2" s="31" t="n">
        <v>4</v>
      </c>
      <c r="B2" s="32" t="n">
        <v>41902</v>
      </c>
      <c r="C2" s="31" t="n">
        <f aca="false">LOOKUP(A2,_grs,_grtdhd)</f>
        <v>35</v>
      </c>
      <c r="D2" s="31" t="n">
        <f aca="false">LOOKUP(A2,_grs,_grtdhe)</f>
        <v>35</v>
      </c>
      <c r="E2" s="33" t="n">
        <f aca="false">SUMIF(_2se,A2,_2pidge)</f>
        <v>0.503597122302158</v>
      </c>
      <c r="F2" s="33" t="inlineStr">
        <f aca="false">E2</f>
        <is>
          <t/>
        </is>
      </c>
      <c r="G2" s="31" t="n">
        <f aca="false">SUMIF(_2sr,A2,_2tdht)</f>
        <v>23.4833333333333</v>
      </c>
      <c r="H2" s="33" t="n">
        <f aca="false">SUMIF(_2sr,A2,_2pidgo)</f>
        <v>0.431654676258993</v>
      </c>
      <c r="I2" s="33" t="inlineStr">
        <f aca="false">H2</f>
        <is>
          <t/>
        </is>
      </c>
    </row>
    <row collapsed="false" customFormat="false" customHeight="false" hidden="false" ht="13.75" outlineLevel="0" r="3">
      <c r="A3" s="31" t="n">
        <v>5</v>
      </c>
      <c r="B3" s="32" t="inlineStr">
        <f aca="false">B2+7</f>
        <is>
          <t/>
        </is>
      </c>
      <c r="C3" s="31" t="n">
        <f aca="false">LOOKUP(A3,_grs,_grtdhd)</f>
        <v>35</v>
      </c>
      <c r="D3" s="31" t="n">
        <f aca="false">LOOKUP(A3,_grs,_grtdhe)</f>
        <v>34.5</v>
      </c>
      <c r="E3" s="33" t="n">
        <f aca="false">SUMIF(_2se,A3,_2pidge)</f>
        <v>0.496402877697842</v>
      </c>
      <c r="F3" s="33" t="inlineStr">
        <f aca="false">E3+F2</f>
        <is>
          <t/>
        </is>
      </c>
      <c r="G3" s="31" t="n">
        <f aca="false">SUMIF(_2sr,A3,_2tdht)</f>
        <v>5.48333333333333</v>
      </c>
      <c r="H3" s="33" t="n">
        <f aca="false">SUMIF(_2sr,A3,_2pidgo)</f>
        <v>0.0719424460431655</v>
      </c>
      <c r="I3" s="33" t="inlineStr">
        <f aca="false">H3+I2</f>
        <is>
          <t/>
        </is>
      </c>
    </row>
    <row collapsed="false" customFormat="false" customHeight="false" hidden="false" ht="14.95" outlineLevel="0" r="5">
      <c r="A5" s="36" t="s">
        <v>102</v>
      </c>
      <c r="C5" s="27" t="n">
        <f aca="false">SUM(C2:C3)</f>
        <v>70</v>
      </c>
      <c r="D5" s="27" t="n">
        <f aca="false">SUM(D2:D3)</f>
        <v>69.5</v>
      </c>
      <c r="G5" s="27" t="n">
        <f aca="false">SUM(G2:G3)</f>
        <v>28.9666666666667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" activeCellId="0" pane="topLeft" sqref="D:D G:G"/>
    </sheetView>
  </sheetViews>
  <cols>
    <col collapsed="false" hidden="false" max="1" min="1" style="27" width="11.9843137254902"/>
    <col collapsed="false" hidden="false" max="7" min="2" style="27" width="16.2"/>
    <col collapsed="false" hidden="false" max="8" min="8" style="0" width="2.71372549019608"/>
    <col collapsed="false" hidden="false" max="14" min="9" style="27" width="16.2"/>
    <col collapsed="false" hidden="false" max="1025" min="15" style="27" width="11.9843137254902"/>
  </cols>
  <sheetData>
    <row collapsed="false" customFormat="false" customHeight="false" hidden="false" ht="51.65" outlineLevel="0" r="1">
      <c r="A1" s="12" t="s">
        <v>6</v>
      </c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  <c r="G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122</v>
      </c>
    </row>
    <row collapsed="false" customFormat="false" customHeight="false" hidden="false" ht="13.75" outlineLevel="0" r="2">
      <c r="A2" s="31" t="n">
        <v>4</v>
      </c>
      <c r="B2" s="31" t="n">
        <f aca="false">SUMIF(_2se,A2,_2tltdhe)</f>
        <v>8.5</v>
      </c>
      <c r="C2" s="31" t="n">
        <f aca="false">SUMIF(_2se,A2,_2dmtdhe)</f>
        <v>7.5</v>
      </c>
      <c r="D2" s="31" t="n">
        <f aca="false">SUMIF(_2se,A2,_2pqmtdhe)</f>
        <v>6.5</v>
      </c>
      <c r="E2" s="31" t="n">
        <f aca="false">SUMIF(_2se,A2,_2pmtdhe)</f>
        <v>8</v>
      </c>
      <c r="F2" s="31" t="n">
        <f aca="false">SUMIF(_2se,A2,_2smtdhe)</f>
        <v>4.5</v>
      </c>
      <c r="G2" s="31" t="n">
        <f aca="false">SUM(B2:F2)</f>
        <v>35</v>
      </c>
      <c r="I2" s="31" t="n">
        <v>10.33</v>
      </c>
      <c r="J2" s="31" t="n">
        <v>3.47</v>
      </c>
      <c r="K2" s="31" t="n">
        <v>3.43</v>
      </c>
      <c r="L2" s="31" t="n">
        <v>6.13</v>
      </c>
      <c r="M2" s="31" t="n">
        <v>14.1</v>
      </c>
      <c r="N2" s="31" t="n">
        <f aca="false">SUM(I2:M2)</f>
        <v>37.46</v>
      </c>
    </row>
    <row collapsed="false" customFormat="false" customHeight="false" hidden="false" ht="13.75" outlineLevel="0" r="3">
      <c r="A3" s="31" t="n">
        <v>5</v>
      </c>
      <c r="B3" s="31" t="n">
        <f aca="false">SUMIF(_2se,A3,_2tltdhe)</f>
        <v>7</v>
      </c>
      <c r="C3" s="31" t="n">
        <f aca="false">SUMIF(_2se,A3,_2dmtdhe)</f>
        <v>6</v>
      </c>
      <c r="D3" s="31" t="n">
        <f aca="false">SUMIF(_2se,A3,_2pqmtdhe)</f>
        <v>5.5</v>
      </c>
      <c r="E3" s="31" t="n">
        <f aca="false">SUMIF(_2se,A3,_2pmtdhe)</f>
        <v>5</v>
      </c>
      <c r="F3" s="31" t="n">
        <f aca="false">SUMIF(_2se,A3,_2smtdhe)</f>
        <v>11</v>
      </c>
      <c r="G3" s="31" t="n">
        <f aca="false">SUM(B3:F3)</f>
        <v>34.5</v>
      </c>
      <c r="I3" s="31" t="n">
        <v>1.25</v>
      </c>
      <c r="J3" s="31" t="n">
        <v>2.37</v>
      </c>
      <c r="K3" s="31" t="n">
        <v>3.12</v>
      </c>
      <c r="L3" s="31" t="n">
        <f aca="false">SUMIF(_2sr,A3,_2pmtdht)</f>
        <v>0.6</v>
      </c>
      <c r="M3" s="31" t="n">
        <v>5.17</v>
      </c>
      <c r="N3" s="31" t="n">
        <f aca="false">SUM(I3:M3)</f>
        <v>12.51</v>
      </c>
    </row>
    <row collapsed="false" customFormat="true" customHeight="false" hidden="false" ht="13.75" outlineLevel="0" r="4" s="27"/>
    <row collapsed="false" customFormat="false" customHeight="false" hidden="false" ht="14.95" outlineLevel="0" r="5">
      <c r="A5" s="36" t="s">
        <v>102</v>
      </c>
      <c r="B5" s="27" t="n">
        <f aca="false">SUM(B2:B3)</f>
        <v>15.5</v>
      </c>
      <c r="C5" s="27" t="n">
        <f aca="false">SUM(C2:C3)</f>
        <v>13.5</v>
      </c>
      <c r="D5" s="27" t="n">
        <f aca="false">SUM(D2:D3)</f>
        <v>12</v>
      </c>
      <c r="E5" s="27" t="n">
        <f aca="false">SUM(E2:E3)</f>
        <v>13</v>
      </c>
      <c r="F5" s="27" t="n">
        <f aca="false">SUM(F2:F3)</f>
        <v>15.5</v>
      </c>
      <c r="G5" s="27" t="n">
        <f aca="false">SUM(G2:G3)</f>
        <v>69.5</v>
      </c>
      <c r="I5" s="27" t="n">
        <f aca="false">SUM(I2:I3)</f>
        <v>11.58</v>
      </c>
      <c r="J5" s="27" t="n">
        <f aca="false">SUM(J2:J3)</f>
        <v>5.84</v>
      </c>
      <c r="K5" s="27" t="n">
        <f aca="false">SUM(K2:K3)</f>
        <v>6.55</v>
      </c>
      <c r="L5" s="27" t="n">
        <f aca="false">SUM(L2:L3)</f>
        <v>6.73</v>
      </c>
      <c r="M5" s="27" t="n">
        <f aca="false">SUM(M2:M3)</f>
        <v>19.27</v>
      </c>
      <c r="N5" s="27" t="n">
        <f aca="false">SUM(N2:N3)</f>
        <v>49.97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2" activeCellId="2" pane="topLeft" sqref="D:D G:G C12"/>
    </sheetView>
  </sheetViews>
  <cols>
    <col collapsed="false" hidden="false" max="1" min="1" style="1" width="3.70980392156863"/>
    <col collapsed="false" hidden="false" max="2" min="2" style="1" width="22.3411764705882"/>
    <col collapsed="false" hidden="false" max="3" min="3" style="3" width="22.3411764705882"/>
    <col collapsed="false" hidden="false" max="4" min="4" style="1" width="12.4196078431373"/>
    <col collapsed="false" hidden="false" max="5" min="5" style="4" width="2.83921568627451"/>
    <col collapsed="false" hidden="false" max="10" min="6" style="1" width="20.9450980392157"/>
    <col collapsed="false" hidden="false" max="11" min="11" style="4" width="2.83921568627451"/>
    <col collapsed="false" hidden="false" max="13" min="12" style="1" width="22.3411764705882"/>
    <col collapsed="false" hidden="false" max="14" min="14" style="1" width="12.4196078431373"/>
    <col collapsed="false" hidden="false" max="15" min="15" style="4" width="2.83921568627451"/>
    <col collapsed="false" hidden="false" max="20" min="16" style="4" width="20.9450980392157"/>
    <col collapsed="false" hidden="false" max="1020" min="21" style="4" width="12.4196078431373"/>
    <col collapsed="false" hidden="false" max="1021" min="1021" style="0" width="8.77254901960784"/>
    <col collapsed="false" hidden="false" max="1023" min="1022" style="0" width="12.4196078431373"/>
    <col collapsed="false" hidden="false" max="1025" min="1024" style="0" width="8.77254901960784"/>
  </cols>
  <sheetData>
    <row collapsed="false" customFormat="false" customHeight="false" hidden="false" ht="14.95" outlineLevel="0" r="1">
      <c r="A1" s="11" t="s">
        <v>103</v>
      </c>
      <c r="B1" s="11"/>
      <c r="C1" s="11"/>
      <c r="D1" s="11"/>
      <c r="E1" s="11"/>
      <c r="F1" s="11"/>
      <c r="G1" s="11"/>
      <c r="H1" s="11"/>
      <c r="I1" s="11"/>
      <c r="J1" s="11"/>
      <c r="L1" s="11" t="s">
        <v>104</v>
      </c>
      <c r="M1" s="11"/>
      <c r="N1" s="11"/>
      <c r="O1" s="11"/>
      <c r="P1" s="11"/>
      <c r="Q1" s="11"/>
      <c r="R1" s="11"/>
      <c r="S1" s="11"/>
      <c r="T1" s="11"/>
    </row>
    <row collapsed="false" customFormat="false" customHeight="false" hidden="false" ht="14.95" outlineLevel="0" r="2">
      <c r="A2" s="5"/>
      <c r="B2" s="34" t="n">
        <f aca="false">SUM(_1tdhe)</f>
        <v>97.5</v>
      </c>
      <c r="C2" s="9" t="inlineStr">
        <f aca="false">SUM(_1pidge)</f>
        <is>
          <t/>
        </is>
      </c>
      <c r="D2" s="10"/>
      <c r="F2" s="1" t="n">
        <f aca="false">SUM(_1tltdhe)</f>
        <v>20</v>
      </c>
      <c r="G2" s="1" t="n">
        <f aca="false">SUM(_1dmtdhe)</f>
        <v>26.5</v>
      </c>
      <c r="H2" s="1" t="n">
        <f aca="false">SUM(_1pqmtdhe)</f>
        <v>15.5</v>
      </c>
      <c r="I2" s="1" t="n">
        <f aca="false">SUM(_1pmtdhe)</f>
        <v>21</v>
      </c>
      <c r="J2" s="1" t="n">
        <f aca="false">SUM(_1smtdhe)</f>
        <v>14.5</v>
      </c>
      <c r="L2" s="1" t="n">
        <f aca="false">SUM(_1tdht)</f>
        <v>72.65</v>
      </c>
      <c r="M2" s="3" t="inlineStr">
        <f aca="false">SUM(_1pidgo)</f>
        <is>
          <t/>
        </is>
      </c>
      <c r="P2" s="1" t="n">
        <f aca="false">SUM(_1tltdht)</f>
        <v>14.5333333333333</v>
      </c>
      <c r="Q2" s="1" t="n">
        <f aca="false">SUM(_1dmtdht)</f>
        <v>16.0666666666667</v>
      </c>
      <c r="R2" s="1" t="n">
        <f aca="false">SUM(_1pqmtdht)</f>
        <v>12.8</v>
      </c>
      <c r="S2" s="1" t="n">
        <f aca="false">SUM(_1pmtdht)</f>
        <v>16.6166666666667</v>
      </c>
      <c r="T2" s="1" t="n">
        <f aca="false">SUM(_1pmtdht)</f>
        <v>16.6166666666667</v>
      </c>
    </row>
    <row collapsed="false" customFormat="false" customHeight="false" hidden="false" ht="26.65" outlineLevel="0" r="3">
      <c r="A3" s="11" t="s">
        <v>0</v>
      </c>
      <c r="B3" s="12" t="s">
        <v>4</v>
      </c>
      <c r="C3" s="13" t="s">
        <v>5</v>
      </c>
      <c r="D3" s="11" t="s">
        <v>6</v>
      </c>
      <c r="F3" s="12" t="s">
        <v>105</v>
      </c>
      <c r="G3" s="12" t="s">
        <v>106</v>
      </c>
      <c r="H3" s="12" t="s">
        <v>107</v>
      </c>
      <c r="I3" s="12" t="s">
        <v>108</v>
      </c>
      <c r="J3" s="12" t="s">
        <v>109</v>
      </c>
      <c r="L3" s="12" t="s">
        <v>7</v>
      </c>
      <c r="M3" s="12" t="s">
        <v>110</v>
      </c>
      <c r="N3" s="12" t="s">
        <v>6</v>
      </c>
      <c r="P3" s="12" t="s">
        <v>105</v>
      </c>
      <c r="Q3" s="12" t="s">
        <v>106</v>
      </c>
      <c r="R3" s="12" t="s">
        <v>107</v>
      </c>
      <c r="S3" s="12" t="s">
        <v>108</v>
      </c>
      <c r="T3" s="12" t="s">
        <v>109</v>
      </c>
    </row>
    <row collapsed="false" customFormat="false" customHeight="false" hidden="false" ht="14.15" outlineLevel="0" r="4">
      <c r="A4" s="14" t="n">
        <v>1</v>
      </c>
      <c r="B4" s="8" t="n">
        <f aca="false">LOOKUP(A4,_gtid,_gtdhe)</f>
        <v>7.5</v>
      </c>
      <c r="C4" s="9" t="n">
        <f aca="false">B4/B2</f>
        <v>0.0769230769230769</v>
      </c>
      <c r="D4" s="14" t="n">
        <f aca="false">LOOKUP(A4,_gtid,_gse)</f>
        <v>1</v>
      </c>
      <c r="F4" s="1" t="n">
        <v>1.5</v>
      </c>
      <c r="G4" s="1" t="n">
        <v>1.5</v>
      </c>
      <c r="H4" s="1" t="n">
        <v>1.5</v>
      </c>
      <c r="I4" s="1" t="n">
        <v>1.5</v>
      </c>
      <c r="J4" s="1" t="n">
        <v>1.5</v>
      </c>
      <c r="L4" s="1" t="n">
        <f aca="false">SUM(P4:T4)</f>
        <v>4.46666666666666</v>
      </c>
      <c r="M4" s="3" t="inlineStr">
        <f aca="false">C4</f>
        <is>
          <t/>
        </is>
      </c>
      <c r="N4" s="1" t="n">
        <v>1</v>
      </c>
      <c r="O4" s="1"/>
      <c r="P4" s="1"/>
      <c r="Q4" s="1" t="n">
        <f aca="false">20/60</f>
        <v>0.333333333333333</v>
      </c>
      <c r="R4" s="1" t="n">
        <f aca="false">65/60</f>
        <v>1.08333333333333</v>
      </c>
      <c r="S4" s="1" t="n">
        <f aca="false">113/60</f>
        <v>1.88333333333333</v>
      </c>
      <c r="T4" s="1" t="n">
        <f aca="false">(30+40)/60</f>
        <v>1.16666666666667</v>
      </c>
    </row>
    <row collapsed="false" customFormat="false" customHeight="false" hidden="false" ht="14.15" outlineLevel="0" r="5">
      <c r="A5" s="14" t="n">
        <v>2</v>
      </c>
      <c r="B5" s="8" t="n">
        <f aca="false">LOOKUP(A5,_gtid,_gtdhe)</f>
        <v>5</v>
      </c>
      <c r="C5" s="9" t="n">
        <f aca="false">B5/B2</f>
        <v>0.0512820512820513</v>
      </c>
      <c r="D5" s="14" t="n">
        <f aca="false">LOOKUP(A5,_gtid,_gse)</f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L5" s="1" t="n">
        <f aca="false">SUM(P5:T5)</f>
        <v>5.08333333333335</v>
      </c>
      <c r="M5" s="3" t="inlineStr">
        <f aca="false">C5</f>
        <is>
          <t/>
        </is>
      </c>
      <c r="N5" s="1" t="n">
        <v>1</v>
      </c>
      <c r="O5" s="1"/>
      <c r="P5" s="1" t="n">
        <f aca="false">61/60</f>
        <v>1.01666666666667</v>
      </c>
      <c r="Q5" s="1" t="n">
        <f aca="false">61/60</f>
        <v>1.01666666666667</v>
      </c>
      <c r="R5" s="1" t="n">
        <f aca="false">61/60</f>
        <v>1.01666666666667</v>
      </c>
      <c r="S5" s="1" t="n">
        <f aca="false">61/60</f>
        <v>1.01666666666667</v>
      </c>
      <c r="T5" s="1" t="n">
        <f aca="false">61/60</f>
        <v>1.01666666666667</v>
      </c>
    </row>
    <row collapsed="false" customFormat="false" customHeight="false" hidden="false" ht="14.15" outlineLevel="0" r="6">
      <c r="A6" s="14" t="n">
        <v>3</v>
      </c>
      <c r="B6" s="8" t="n">
        <f aca="false">LOOKUP(A6,_gtid,_gtdhe)</f>
        <v>5</v>
      </c>
      <c r="C6" s="9" t="n">
        <f aca="false">B6/B2</f>
        <v>0.0512820512820513</v>
      </c>
      <c r="D6" s="14" t="n">
        <f aca="false">LOOKUP(A6,_gtid,_gse)</f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L6" s="1" t="n">
        <f aca="false">SUM(P6:T6)</f>
        <v>3.75</v>
      </c>
      <c r="M6" s="3" t="inlineStr">
        <f aca="false">C6</f>
        <is>
          <t/>
        </is>
      </c>
      <c r="N6" s="1" t="n">
        <v>1</v>
      </c>
      <c r="O6" s="1"/>
      <c r="P6" s="1" t="n">
        <f aca="false">45/60</f>
        <v>0.75</v>
      </c>
      <c r="Q6" s="1" t="n">
        <f aca="false">45/60</f>
        <v>0.75</v>
      </c>
      <c r="R6" s="1" t="n">
        <f aca="false">45/60</f>
        <v>0.75</v>
      </c>
      <c r="S6" s="1" t="n">
        <f aca="false">45/60</f>
        <v>0.75</v>
      </c>
      <c r="T6" s="1" t="n">
        <f aca="false">45/60</f>
        <v>0.75</v>
      </c>
    </row>
    <row collapsed="false" customFormat="false" customHeight="false" hidden="false" ht="14.15" outlineLevel="0" r="7">
      <c r="A7" s="14" t="n">
        <v>4</v>
      </c>
      <c r="B7" s="8" t="n">
        <f aca="false">LOOKUP(A7,_gtid,_gtdhe)</f>
        <v>2</v>
      </c>
      <c r="C7" s="9" t="n">
        <f aca="false">B7/B2</f>
        <v>0.0205128205128205</v>
      </c>
      <c r="D7" s="14" t="n">
        <f aca="false">LOOKUP(A7,_gtid,_gse)</f>
        <v>1</v>
      </c>
      <c r="I7" s="1" t="n">
        <v>2</v>
      </c>
      <c r="L7" s="1" t="n">
        <f aca="false">SUM(P7:T7)</f>
        <v>1.85</v>
      </c>
      <c r="M7" s="3" t="inlineStr">
        <f aca="false">C7</f>
        <is>
          <t/>
        </is>
      </c>
      <c r="N7" s="1" t="n">
        <v>1</v>
      </c>
      <c r="O7" s="1"/>
      <c r="P7" s="1"/>
      <c r="Q7" s="1"/>
      <c r="R7" s="1"/>
      <c r="S7" s="1" t="n">
        <f aca="false">111/60</f>
        <v>1.85</v>
      </c>
      <c r="T7" s="1"/>
    </row>
    <row collapsed="false" customFormat="true" customHeight="false" hidden="false" ht="14.15" outlineLevel="0" r="8" s="19">
      <c r="A8" s="14" t="n">
        <v>5</v>
      </c>
      <c r="B8" s="8" t="n">
        <f aca="false">LOOKUP(A8,_gtid,_gtdhe)</f>
        <v>0.5</v>
      </c>
      <c r="C8" s="9" t="n">
        <f aca="false">B8/B2</f>
        <v>0.00512820512820513</v>
      </c>
      <c r="D8" s="14" t="n">
        <f aca="false">LOOKUP(A8,_gtid,_gse)</f>
        <v>1</v>
      </c>
      <c r="F8" s="17"/>
      <c r="G8" s="1"/>
      <c r="H8" s="1"/>
      <c r="I8" s="1" t="n">
        <v>0.5</v>
      </c>
      <c r="J8" s="17"/>
      <c r="L8" s="1" t="n">
        <f aca="false">SUM(P8:T8)</f>
        <v>0.25</v>
      </c>
      <c r="M8" s="3" t="inlineStr">
        <f aca="false">C8</f>
        <is>
          <t/>
        </is>
      </c>
      <c r="N8" s="17" t="n">
        <v>1</v>
      </c>
      <c r="O8" s="17"/>
      <c r="P8" s="17"/>
      <c r="Q8" s="17"/>
      <c r="R8" s="17"/>
      <c r="S8" s="17" t="n">
        <f aca="false">15/60</f>
        <v>0.25</v>
      </c>
      <c r="T8" s="17"/>
    </row>
    <row collapsed="false" customFormat="true" customHeight="false" hidden="false" ht="14.15" outlineLevel="0" r="9" s="19">
      <c r="A9" s="14" t="n">
        <v>6</v>
      </c>
      <c r="B9" s="8" t="n">
        <f aca="false">LOOKUP(A9,_gtid,_gtdhe)</f>
        <v>0.5</v>
      </c>
      <c r="C9" s="9" t="n">
        <f aca="false">B9/B2</f>
        <v>0.00512820512820513</v>
      </c>
      <c r="D9" s="14" t="n">
        <f aca="false">LOOKUP(A9,_gtid,_gse)</f>
        <v>1</v>
      </c>
      <c r="F9" s="17"/>
      <c r="G9" s="17"/>
      <c r="H9" s="1"/>
      <c r="I9" s="1" t="n">
        <v>0.5</v>
      </c>
      <c r="J9" s="17"/>
      <c r="L9" s="1" t="n">
        <f aca="false">SUM(P9:T9)</f>
        <v>0.666666666666667</v>
      </c>
      <c r="M9" s="3" t="inlineStr">
        <f aca="false">C9</f>
        <is>
          <t/>
        </is>
      </c>
      <c r="N9" s="17" t="n">
        <v>1</v>
      </c>
      <c r="O9" s="17"/>
      <c r="P9" s="17"/>
      <c r="Q9" s="17"/>
      <c r="R9" s="17"/>
      <c r="S9" s="17" t="n">
        <f aca="false">40/60</f>
        <v>0.666666666666667</v>
      </c>
      <c r="T9" s="17"/>
    </row>
    <row collapsed="false" customFormat="true" customHeight="false" hidden="false" ht="14.15" outlineLevel="0" r="10" s="19">
      <c r="A10" s="14" t="n">
        <v>7</v>
      </c>
      <c r="B10" s="8" t="n">
        <f aca="false">LOOKUP(A10,_gtid,_gtdhe)</f>
        <v>0.5</v>
      </c>
      <c r="C10" s="9" t="n">
        <f aca="false">B10/B2</f>
        <v>0.00512820512820513</v>
      </c>
      <c r="D10" s="14" t="n">
        <f aca="false">LOOKUP(A10,_gtid,_gse)</f>
        <v>1</v>
      </c>
      <c r="F10" s="17"/>
      <c r="G10" s="17"/>
      <c r="H10" s="1"/>
      <c r="I10" s="1" t="n">
        <v>0.5</v>
      </c>
      <c r="J10" s="17"/>
      <c r="L10" s="1" t="n">
        <f aca="false">SUM(P10:T10)</f>
        <v>0.416666666666667</v>
      </c>
      <c r="M10" s="3" t="inlineStr">
        <f aca="false">C10</f>
        <is>
          <t/>
        </is>
      </c>
      <c r="N10" s="17" t="n">
        <v>1</v>
      </c>
      <c r="O10" s="17"/>
      <c r="P10" s="17"/>
      <c r="Q10" s="17"/>
      <c r="R10" s="17"/>
      <c r="S10" s="17" t="n">
        <f aca="false">25/60</f>
        <v>0.416666666666667</v>
      </c>
      <c r="T10" s="17"/>
    </row>
    <row collapsed="false" customFormat="true" customHeight="false" hidden="false" ht="14.15" outlineLevel="0" r="11" s="19">
      <c r="A11" s="14" t="n">
        <v>8</v>
      </c>
      <c r="B11" s="8" t="n">
        <f aca="false">LOOKUP(A11,_gtid,_gtdhe)</f>
        <v>2</v>
      </c>
      <c r="C11" s="9" t="n">
        <f aca="false">B11/B2</f>
        <v>0.0205128205128205</v>
      </c>
      <c r="D11" s="14" t="n">
        <f aca="false">LOOKUP(A11,_gtid,_gse)</f>
        <v>1</v>
      </c>
      <c r="F11" s="17" t="n">
        <v>1</v>
      </c>
      <c r="G11" s="17"/>
      <c r="H11" s="1"/>
      <c r="I11" s="17" t="n">
        <v>1</v>
      </c>
      <c r="J11" s="17"/>
      <c r="L11" s="1" t="n">
        <f aca="false">SUM(P11:T11)</f>
        <v>1.16666666666667</v>
      </c>
      <c r="M11" s="3" t="inlineStr">
        <f aca="false">C11</f>
        <is>
          <t/>
        </is>
      </c>
      <c r="N11" s="17" t="n">
        <v>1</v>
      </c>
      <c r="O11" s="17"/>
      <c r="P11" s="17" t="n">
        <f aca="false">35/60</f>
        <v>0.583333333333333</v>
      </c>
      <c r="Q11" s="17"/>
      <c r="R11" s="17"/>
      <c r="S11" s="17" t="n">
        <f aca="false">35/60</f>
        <v>0.583333333333333</v>
      </c>
      <c r="T11" s="17"/>
    </row>
    <row collapsed="false" customFormat="true" customHeight="false" hidden="false" ht="14.15" outlineLevel="0" r="12" s="19">
      <c r="A12" s="14" t="n">
        <v>9</v>
      </c>
      <c r="B12" s="8" t="n">
        <f aca="false">LOOKUP(A12,_gtid,_gtdhe)</f>
        <v>3</v>
      </c>
      <c r="C12" s="9" t="n">
        <f aca="false">B12/B2</f>
        <v>0.0307692307692308</v>
      </c>
      <c r="D12" s="14" t="n">
        <f aca="false">LOOKUP(A12,_gtid,_gse)</f>
        <v>1</v>
      </c>
      <c r="F12" s="17"/>
      <c r="G12" s="17" t="n">
        <v>1.5</v>
      </c>
      <c r="H12" s="17"/>
      <c r="I12" s="17" t="n">
        <v>1.5</v>
      </c>
      <c r="J12" s="17"/>
      <c r="L12" s="1" t="n">
        <f aca="false">SUM(P12:T12)</f>
        <v>3.9</v>
      </c>
      <c r="M12" s="3" t="inlineStr">
        <f aca="false">C12</f>
        <is>
          <t/>
        </is>
      </c>
      <c r="N12" s="17" t="n">
        <v>2</v>
      </c>
      <c r="O12" s="17"/>
      <c r="P12" s="17"/>
      <c r="Q12" s="17" t="n">
        <f aca="false">(45+72)/60</f>
        <v>1.95</v>
      </c>
      <c r="R12" s="17"/>
      <c r="S12" s="17" t="n">
        <f aca="false">(45+72)/60</f>
        <v>1.95</v>
      </c>
      <c r="T12" s="17"/>
    </row>
    <row collapsed="false" customFormat="true" customHeight="false" hidden="false" ht="14.15" outlineLevel="0" r="13" s="19">
      <c r="A13" s="14" t="n">
        <v>10</v>
      </c>
      <c r="B13" s="8" t="n">
        <f aca="false">LOOKUP(A13,_gtid,_gtdhe)</f>
        <v>10</v>
      </c>
      <c r="C13" s="9" t="n">
        <f aca="false">B13/B2</f>
        <v>0.102564102564103</v>
      </c>
      <c r="D13" s="14" t="n">
        <f aca="false">LOOKUP(A13,_gtid,_gse)</f>
        <v>1</v>
      </c>
      <c r="F13" s="17" t="n">
        <v>2</v>
      </c>
      <c r="G13" s="17" t="n">
        <v>2</v>
      </c>
      <c r="H13" s="17" t="n">
        <v>2</v>
      </c>
      <c r="I13" s="17" t="n">
        <v>2</v>
      </c>
      <c r="J13" s="17" t="n">
        <v>2</v>
      </c>
      <c r="L13" s="37" t="n">
        <f aca="false">SUM(P13:T13)</f>
        <v>0</v>
      </c>
      <c r="M13" s="38"/>
      <c r="N13" s="38" t="n">
        <v>1</v>
      </c>
      <c r="O13" s="17"/>
      <c r="P13" s="17"/>
      <c r="Q13" s="17"/>
      <c r="R13" s="17"/>
      <c r="S13" s="17"/>
      <c r="T13" s="17"/>
    </row>
    <row collapsed="false" customFormat="false" customHeight="false" hidden="false" ht="14.15" outlineLevel="0" r="14">
      <c r="A14" s="14" t="n">
        <v>11</v>
      </c>
      <c r="B14" s="8" t="n">
        <f aca="false">LOOKUP(A14,_gtid,_gtdhe)</f>
        <v>15</v>
      </c>
      <c r="C14" s="3" t="n">
        <f aca="false">B14/B2</f>
        <v>0.153846153846154</v>
      </c>
      <c r="D14" s="14" t="n">
        <f aca="false">LOOKUP(A14,_gtid,_gse)</f>
        <v>2</v>
      </c>
      <c r="F14" s="1" t="n">
        <v>3</v>
      </c>
      <c r="G14" s="1" t="n">
        <v>3</v>
      </c>
      <c r="H14" s="1" t="n">
        <v>3</v>
      </c>
      <c r="I14" s="1" t="n">
        <v>3</v>
      </c>
      <c r="J14" s="1" t="n">
        <v>3</v>
      </c>
      <c r="L14" s="37" t="n">
        <f aca="false">SUM(P14:T14)</f>
        <v>2.83333333333333</v>
      </c>
      <c r="M14" s="37"/>
      <c r="N14" s="37" t="n">
        <v>2</v>
      </c>
      <c r="O14" s="1"/>
      <c r="P14" s="1" t="n">
        <f aca="false">80/60</f>
        <v>1.33333333333333</v>
      </c>
      <c r="Q14" s="1"/>
      <c r="R14" s="1" t="n">
        <f aca="false">90/60</f>
        <v>1.5</v>
      </c>
      <c r="S14" s="1"/>
      <c r="T14" s="1"/>
    </row>
    <row collapsed="false" customFormat="true" customHeight="false" hidden="false" ht="14.15" outlineLevel="0" r="15" s="19">
      <c r="A15" s="14" t="n">
        <v>12</v>
      </c>
      <c r="B15" s="8" t="n">
        <f aca="false">LOOKUP(A15,_gtid,_gtdhe)</f>
        <v>10</v>
      </c>
      <c r="C15" s="9" t="n">
        <f aca="false">B15/B2</f>
        <v>0.102564102564103</v>
      </c>
      <c r="D15" s="14" t="n">
        <f aca="false">LOOKUP(A15,_gtid,_gse)</f>
        <v>2</v>
      </c>
      <c r="F15" s="17" t="n">
        <v>2</v>
      </c>
      <c r="G15" s="17" t="n">
        <v>2</v>
      </c>
      <c r="H15" s="17" t="n">
        <v>2</v>
      </c>
      <c r="I15" s="17" t="n">
        <v>2</v>
      </c>
      <c r="J15" s="17" t="n">
        <v>2</v>
      </c>
      <c r="L15" s="1" t="n">
        <f aca="false">SUM(P15:T15)</f>
        <v>8</v>
      </c>
      <c r="M15" s="39" t="inlineStr">
        <f aca="false">C15</f>
        <is>
          <t/>
        </is>
      </c>
      <c r="N15" s="17" t="n">
        <v>2</v>
      </c>
      <c r="O15" s="17"/>
      <c r="P15" s="17" t="n">
        <f aca="false">120/60</f>
        <v>2</v>
      </c>
      <c r="Q15" s="17" t="n">
        <f aca="false">90/60</f>
        <v>1.5</v>
      </c>
      <c r="R15" s="17" t="n">
        <f aca="false">90/60</f>
        <v>1.5</v>
      </c>
      <c r="S15" s="17" t="n">
        <f aca="false">90/60</f>
        <v>1.5</v>
      </c>
      <c r="T15" s="17" t="n">
        <f aca="false">90/60</f>
        <v>1.5</v>
      </c>
    </row>
    <row collapsed="false" customFormat="true" customHeight="false" hidden="false" ht="14.15" outlineLevel="0" r="16" s="19">
      <c r="A16" s="14" t="n">
        <v>13</v>
      </c>
      <c r="B16" s="8" t="n">
        <f aca="false">LOOKUP(A16,_gtid,_gtdhe)</f>
        <v>2</v>
      </c>
      <c r="C16" s="9" t="n">
        <f aca="false">B16/B2</f>
        <v>0.0205128205128205</v>
      </c>
      <c r="D16" s="14" t="n">
        <f aca="false">LOOKUP(A16,_gtid,_gse)</f>
        <v>2</v>
      </c>
      <c r="F16" s="17"/>
      <c r="G16" s="17" t="n">
        <v>1</v>
      </c>
      <c r="H16" s="17"/>
      <c r="I16" s="17" t="n">
        <v>1</v>
      </c>
      <c r="J16" s="17"/>
      <c r="L16" s="14" t="n">
        <f aca="false">SUM(P16:T16)</f>
        <v>15.4166666666667</v>
      </c>
      <c r="M16" s="40" t="inlineStr">
        <f aca="false">C16</f>
        <is>
          <t/>
        </is>
      </c>
      <c r="N16" s="18" t="n">
        <v>3</v>
      </c>
      <c r="O16" s="17"/>
      <c r="P16" s="18" t="n">
        <f aca="false">(40+75+90)/60</f>
        <v>3.41666666666667</v>
      </c>
      <c r="Q16" s="18" t="n">
        <f aca="false">(75+45+140)/60</f>
        <v>4.33333333333333</v>
      </c>
      <c r="R16" s="18" t="n">
        <f aca="false">(120+50)/60</f>
        <v>2.83333333333333</v>
      </c>
      <c r="S16" s="18" t="n">
        <f aca="false">75/60</f>
        <v>1.25</v>
      </c>
      <c r="T16" s="18" t="n">
        <f aca="false">(140+75)/60</f>
        <v>3.58333333333333</v>
      </c>
    </row>
    <row collapsed="false" customFormat="true" customHeight="false" hidden="false" ht="14.15" outlineLevel="0" r="17" s="19">
      <c r="A17" s="14" t="n">
        <v>14</v>
      </c>
      <c r="B17" s="8" t="n">
        <f aca="false">LOOKUP(A17,_gtid,_gtdhe)</f>
        <v>2</v>
      </c>
      <c r="C17" s="9" t="n">
        <f aca="false">B17/B2</f>
        <v>0.0205128205128205</v>
      </c>
      <c r="D17" s="14" t="n">
        <f aca="false">LOOKUP(A17,_gtid,_gse)</f>
        <v>2</v>
      </c>
      <c r="F17" s="17"/>
      <c r="G17" s="17" t="n">
        <v>2</v>
      </c>
      <c r="H17" s="17"/>
      <c r="I17" s="17"/>
      <c r="J17" s="17"/>
      <c r="L17" s="14"/>
      <c r="M17" s="40" t="inlineStr">
        <f aca="false">C17</f>
        <is>
          <t/>
        </is>
      </c>
      <c r="N17" s="18" t="n">
        <v>3</v>
      </c>
      <c r="O17" s="17"/>
      <c r="P17" s="18"/>
      <c r="Q17" s="18"/>
      <c r="R17" s="18"/>
      <c r="S17" s="18"/>
      <c r="T17" s="18"/>
    </row>
    <row collapsed="false" customFormat="true" customHeight="false" hidden="false" ht="14.15" outlineLevel="0" r="18" s="19">
      <c r="A18" s="14" t="n">
        <v>15</v>
      </c>
      <c r="B18" s="8" t="n">
        <f aca="false">LOOKUP(A18,_gtid,_gtdhe)</f>
        <v>4</v>
      </c>
      <c r="C18" s="9" t="n">
        <f aca="false">B18/B2</f>
        <v>0.041025641025641</v>
      </c>
      <c r="D18" s="14" t="n">
        <f aca="false">LOOKUP(A18,_gtid,_gse)</f>
        <v>2</v>
      </c>
      <c r="F18" s="17"/>
      <c r="G18" s="17" t="n">
        <v>2</v>
      </c>
      <c r="H18" s="17" t="n">
        <v>2</v>
      </c>
      <c r="I18" s="17"/>
      <c r="J18" s="17"/>
      <c r="L18" s="14"/>
      <c r="M18" s="40" t="inlineStr">
        <f aca="false">C18</f>
        <is>
          <t/>
        </is>
      </c>
      <c r="N18" s="18" t="n">
        <v>3</v>
      </c>
      <c r="O18" s="17"/>
      <c r="P18" s="18"/>
      <c r="Q18" s="18"/>
      <c r="R18" s="18"/>
      <c r="S18" s="18"/>
      <c r="T18" s="18"/>
    </row>
    <row collapsed="false" customFormat="true" customHeight="false" hidden="false" ht="14.15" outlineLevel="0" r="19" s="19">
      <c r="A19" s="14" t="n">
        <v>16</v>
      </c>
      <c r="B19" s="8" t="n">
        <f aca="false">LOOKUP(A19,_gtid,_gtdhe)</f>
        <v>0.5</v>
      </c>
      <c r="C19" s="9" t="n">
        <f aca="false">B19/B2</f>
        <v>0.00512820512820513</v>
      </c>
      <c r="D19" s="14" t="n">
        <f aca="false">LOOKUP(A19,_gtid,_gse)</f>
        <v>2</v>
      </c>
      <c r="F19" s="17"/>
      <c r="G19" s="17"/>
      <c r="I19" s="17" t="n">
        <v>0.5</v>
      </c>
      <c r="J19" s="17"/>
      <c r="L19" s="1" t="n">
        <f aca="false">SUM(P19:T19)</f>
        <v>0.383333333333333</v>
      </c>
      <c r="M19" s="39" t="inlineStr">
        <f aca="false">C19</f>
        <is>
          <t/>
        </is>
      </c>
      <c r="N19" s="17" t="n">
        <v>2</v>
      </c>
      <c r="O19" s="17"/>
      <c r="P19" s="17"/>
      <c r="Q19" s="17"/>
      <c r="R19" s="17"/>
      <c r="S19" s="17" t="n">
        <f aca="false">23/60</f>
        <v>0.383333333333333</v>
      </c>
      <c r="T19" s="17"/>
    </row>
    <row collapsed="false" customFormat="true" customHeight="false" hidden="false" ht="14.15" outlineLevel="0" r="20" s="19">
      <c r="A20" s="14" t="n">
        <v>17</v>
      </c>
      <c r="B20" s="8" t="n">
        <f aca="false">LOOKUP(A20,_gtid,_gtdhe)</f>
        <v>2</v>
      </c>
      <c r="C20" s="9" t="n">
        <f aca="false">B20/B2</f>
        <v>0.0205128205128205</v>
      </c>
      <c r="D20" s="14" t="n">
        <f aca="false">LOOKUP(A20,_gtid,_gse)</f>
        <v>3</v>
      </c>
      <c r="F20" s="17" t="n">
        <v>1</v>
      </c>
      <c r="G20" s="17"/>
      <c r="H20" s="17"/>
      <c r="I20" s="17"/>
      <c r="J20" s="17" t="n">
        <v>1</v>
      </c>
      <c r="L20" s="1" t="n">
        <f aca="false">SUM(P20:T20)</f>
        <v>1</v>
      </c>
      <c r="M20" s="39" t="inlineStr">
        <f aca="false">C20</f>
        <is>
          <t/>
        </is>
      </c>
      <c r="N20" s="17" t="n">
        <v>3</v>
      </c>
      <c r="O20" s="17"/>
      <c r="P20" s="17" t="n">
        <f aca="false">30/60</f>
        <v>0.5</v>
      </c>
      <c r="Q20" s="17"/>
      <c r="R20" s="17"/>
      <c r="S20" s="17"/>
      <c r="T20" s="17" t="n">
        <f aca="false">30/60</f>
        <v>0.5</v>
      </c>
    </row>
    <row collapsed="false" customFormat="true" customHeight="false" hidden="false" ht="14.15" outlineLevel="0" r="21" s="19">
      <c r="A21" s="14" t="n">
        <v>18</v>
      </c>
      <c r="B21" s="8" t="n">
        <f aca="false">LOOKUP(A21,_gtid,_gtdhe)</f>
        <v>10</v>
      </c>
      <c r="C21" s="9" t="n">
        <f aca="false">B21/B2</f>
        <v>0.102564102564103</v>
      </c>
      <c r="D21" s="14" t="n">
        <f aca="false">LOOKUP(A21,_gtid,_gse)</f>
        <v>3</v>
      </c>
      <c r="F21" s="17" t="n">
        <v>2</v>
      </c>
      <c r="G21" s="17" t="n">
        <v>2</v>
      </c>
      <c r="H21" s="17" t="n">
        <v>2</v>
      </c>
      <c r="I21" s="17" t="n">
        <v>2</v>
      </c>
      <c r="J21" s="17" t="n">
        <v>2</v>
      </c>
      <c r="L21" s="1" t="n">
        <f aca="false">SUM(P21:T21)</f>
        <v>8.16666666666665</v>
      </c>
      <c r="M21" s="39" t="inlineStr">
        <f aca="false">C21</f>
        <is>
          <t/>
        </is>
      </c>
      <c r="N21" s="17" t="n">
        <v>3</v>
      </c>
      <c r="O21" s="17"/>
      <c r="P21" s="17" t="n">
        <f aca="false">98/60</f>
        <v>1.63333333333333</v>
      </c>
      <c r="Q21" s="17" t="n">
        <f aca="false">98/60</f>
        <v>1.63333333333333</v>
      </c>
      <c r="R21" s="17" t="n">
        <f aca="false">98/60</f>
        <v>1.63333333333333</v>
      </c>
      <c r="S21" s="17" t="n">
        <f aca="false">98/60</f>
        <v>1.63333333333333</v>
      </c>
      <c r="T21" s="17" t="n">
        <f aca="false">98/60</f>
        <v>1.63333333333333</v>
      </c>
    </row>
    <row collapsed="false" customFormat="false" customHeight="false" hidden="false" ht="14.15" outlineLevel="0" r="22">
      <c r="A22" s="14" t="n">
        <v>19</v>
      </c>
      <c r="B22" s="8" t="n">
        <f aca="false">LOOKUP(A22,_gtid,_gtdhe)</f>
        <v>2</v>
      </c>
      <c r="C22" s="9" t="n">
        <f aca="false">B22/B2</f>
        <v>0.0205128205128205</v>
      </c>
      <c r="D22" s="14" t="n">
        <f aca="false">LOOKUP(A22,_gtid,_gse)</f>
        <v>3</v>
      </c>
      <c r="G22" s="1" t="n">
        <v>2</v>
      </c>
      <c r="L22" s="1" t="n">
        <f aca="false">SUM(P22:T22)</f>
        <v>2.5</v>
      </c>
      <c r="M22" s="39" t="inlineStr">
        <f aca="false">C22</f>
        <is>
          <t/>
        </is>
      </c>
      <c r="N22" s="1" t="n">
        <v>3</v>
      </c>
      <c r="O22" s="1"/>
      <c r="P22" s="1" t="n">
        <f aca="false">30/60</f>
        <v>0.5</v>
      </c>
      <c r="Q22" s="1" t="n">
        <f aca="false">30/60</f>
        <v>0.5</v>
      </c>
      <c r="R22" s="1" t="n">
        <f aca="false">30/60</f>
        <v>0.5</v>
      </c>
      <c r="S22" s="1" t="n">
        <f aca="false">30/60</f>
        <v>0.5</v>
      </c>
      <c r="T22" s="1" t="n">
        <f aca="false">30/60</f>
        <v>0.5</v>
      </c>
    </row>
    <row collapsed="false" customFormat="false" customHeight="false" hidden="false" ht="14.15" outlineLevel="0" r="23">
      <c r="A23" s="14" t="n">
        <v>20</v>
      </c>
      <c r="B23" s="8" t="n">
        <f aca="false">LOOKUP(A23,_gtid,_gtdhe)</f>
        <v>3</v>
      </c>
      <c r="C23" s="9" t="n">
        <f aca="false">B23/B2</f>
        <v>0.0307692307692308</v>
      </c>
      <c r="D23" s="14" t="n">
        <f aca="false">LOOKUP(A23,_gtid,_gse)</f>
        <v>3</v>
      </c>
      <c r="F23" s="1" t="n">
        <v>1.5</v>
      </c>
      <c r="G23" s="1" t="n">
        <v>1.5</v>
      </c>
      <c r="L23" s="1" t="n">
        <f aca="false">SUM(P23:T23)</f>
        <v>6.25</v>
      </c>
      <c r="M23" s="39" t="inlineStr">
        <f aca="false">C23</f>
        <is>
          <t/>
        </is>
      </c>
      <c r="N23" s="1" t="n">
        <v>3</v>
      </c>
      <c r="O23" s="1"/>
      <c r="P23" s="1" t="n">
        <f aca="false">75/60</f>
        <v>1.25</v>
      </c>
      <c r="Q23" s="1" t="n">
        <f aca="false">75/60</f>
        <v>1.25</v>
      </c>
      <c r="R23" s="1" t="n">
        <f aca="false">75/60</f>
        <v>1.25</v>
      </c>
      <c r="S23" s="1" t="n">
        <f aca="false">75/60</f>
        <v>1.25</v>
      </c>
      <c r="T23" s="1" t="n">
        <f aca="false">75/60</f>
        <v>1.25</v>
      </c>
    </row>
    <row collapsed="false" customFormat="false" customHeight="false" hidden="false" ht="14.15" outlineLevel="0" r="24">
      <c r="A24" s="14" t="n">
        <v>21</v>
      </c>
      <c r="B24" s="8" t="n">
        <f aca="false">LOOKUP(A24,_gtid,_gtdhe)</f>
        <v>2</v>
      </c>
      <c r="C24" s="9" t="n">
        <f aca="false">B24/B2</f>
        <v>0.0205128205128205</v>
      </c>
      <c r="D24" s="14" t="n">
        <f aca="false">LOOKUP(A24,_gtid,_gse)</f>
        <v>3</v>
      </c>
      <c r="F24" s="1" t="n">
        <v>1</v>
      </c>
      <c r="G24" s="1" t="n">
        <v>1</v>
      </c>
      <c r="L24" s="1" t="n">
        <f aca="false">SUM(P24:T24)</f>
        <v>1.63333333333333</v>
      </c>
      <c r="M24" s="39" t="inlineStr">
        <f aca="false">C24</f>
        <is>
          <t/>
        </is>
      </c>
      <c r="N24" s="1" t="n">
        <v>3</v>
      </c>
      <c r="O24" s="1"/>
      <c r="P24" s="1" t="n">
        <f aca="false">49/60</f>
        <v>0.816666666666667</v>
      </c>
      <c r="Q24" s="1" t="n">
        <f aca="false">49/60</f>
        <v>0.816666666666667</v>
      </c>
      <c r="R24" s="1"/>
      <c r="S24" s="1"/>
      <c r="T24" s="1"/>
    </row>
    <row collapsed="false" customFormat="false" customHeight="false" hidden="false" ht="14.15" outlineLevel="0" r="25">
      <c r="A25" s="14" t="n">
        <v>22</v>
      </c>
      <c r="B25" s="8" t="n">
        <f aca="false">LOOKUP(A25,_gtid,_gtdhe)</f>
        <v>4</v>
      </c>
      <c r="C25" s="9" t="n">
        <f aca="false">B25/B2</f>
        <v>0.041025641025641</v>
      </c>
      <c r="D25" s="14" t="n">
        <f aca="false">LOOKUP(A25,_gtid,_gse)</f>
        <v>3</v>
      </c>
      <c r="F25" s="1" t="n">
        <v>2</v>
      </c>
      <c r="G25" s="1" t="n">
        <v>2</v>
      </c>
      <c r="L25" s="1" t="n">
        <f aca="false">SUM(P25:T25)</f>
        <v>1.25</v>
      </c>
      <c r="M25" s="39" t="inlineStr">
        <f aca="false">C25</f>
        <is>
          <t/>
        </is>
      </c>
      <c r="N25" s="1" t="n">
        <v>3</v>
      </c>
      <c r="O25" s="1"/>
      <c r="P25" s="1"/>
      <c r="Q25" s="1" t="n">
        <f aca="false">75/60</f>
        <v>1.25</v>
      </c>
      <c r="R25" s="1"/>
      <c r="S25" s="1"/>
      <c r="T25" s="1"/>
    </row>
    <row collapsed="false" customFormat="false" customHeight="false" hidden="false" ht="14.15" outlineLevel="0" r="26">
      <c r="A26" s="14" t="n">
        <v>23</v>
      </c>
      <c r="B26" s="8" t="n">
        <f aca="false">LOOKUP(A26,_gtid,_gtdhe)</f>
        <v>5</v>
      </c>
      <c r="C26" s="9" t="n">
        <f aca="false">B26/B2</f>
        <v>0.0512820512820513</v>
      </c>
      <c r="D26" s="14" t="n">
        <f aca="false">LOOKUP(A26,_gtid,_gse)</f>
        <v>3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L26" s="1" t="n">
        <f aca="false">SUM(P26:T26)</f>
        <v>3.66666666666667</v>
      </c>
      <c r="M26" s="39" t="inlineStr">
        <f aca="false">C26</f>
        <is>
          <t/>
        </is>
      </c>
      <c r="N26" s="1" t="n">
        <v>3</v>
      </c>
      <c r="O26" s="1"/>
      <c r="P26" s="1" t="n">
        <f aca="false">44/60</f>
        <v>0.733333333333333</v>
      </c>
      <c r="Q26" s="1" t="n">
        <f aca="false">44/60</f>
        <v>0.733333333333333</v>
      </c>
      <c r="R26" s="1" t="n">
        <f aca="false">44/60</f>
        <v>0.733333333333333</v>
      </c>
      <c r="S26" s="1" t="n">
        <f aca="false">44/60</f>
        <v>0.733333333333333</v>
      </c>
      <c r="T26" s="1" t="n">
        <f aca="false">44/60</f>
        <v>0.733333333333333</v>
      </c>
    </row>
  </sheetData>
  <mergeCells count="2">
    <mergeCell ref="A1:J1"/>
    <mergeCell ref="L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2" activeCellId="2" pane="topLeft" sqref="D:D G:G I2"/>
    </sheetView>
  </sheetViews>
  <cols>
    <col collapsed="false" hidden="false" max="1" min="1" style="27" width="13.1137254901961"/>
    <col collapsed="false" hidden="false" max="2" min="2" style="28" width="17.5921568627451"/>
    <col collapsed="false" hidden="false" max="3" min="3" style="27" width="20.3686274509804"/>
    <col collapsed="false" hidden="false" max="4" min="4" style="27" width="19.0549019607843"/>
    <col collapsed="false" hidden="false" max="6" min="5" style="29" width="22.121568627451"/>
    <col collapsed="false" hidden="false" max="7" min="7" style="29" width="11.8117647058824"/>
    <col collapsed="false" hidden="false" max="9" min="8" style="29" width="22.121568627451"/>
    <col collapsed="false" hidden="false" max="1014" min="10" style="27" width="13.1137254901961"/>
    <col collapsed="false" hidden="false" max="1025" min="1015" style="0" width="8.54509803921569"/>
  </cols>
  <sheetData>
    <row collapsed="false" customFormat="false" customHeight="false" hidden="false" ht="39.15" outlineLevel="0" r="1">
      <c r="A1" s="11" t="s">
        <v>6</v>
      </c>
      <c r="B1" s="30" t="s">
        <v>94</v>
      </c>
      <c r="C1" s="11" t="s">
        <v>95</v>
      </c>
      <c r="D1" s="11" t="s">
        <v>96</v>
      </c>
      <c r="E1" s="13" t="s">
        <v>97</v>
      </c>
      <c r="F1" s="13" t="s">
        <v>98</v>
      </c>
      <c r="G1" s="13" t="s">
        <v>99</v>
      </c>
      <c r="H1" s="13" t="s">
        <v>100</v>
      </c>
      <c r="I1" s="13" t="s">
        <v>101</v>
      </c>
    </row>
    <row collapsed="false" customFormat="false" customHeight="false" hidden="false" ht="13.75" outlineLevel="0" r="2">
      <c r="A2" s="31" t="n">
        <v>1</v>
      </c>
      <c r="B2" s="32" t="n">
        <v>41902</v>
      </c>
      <c r="C2" s="31" t="n">
        <f aca="false">LOOKUP(A2,_grs,_grtdhd)</f>
        <v>35</v>
      </c>
      <c r="D2" s="31" t="n">
        <f aca="false">LOOKUP(A2,_grs,_grtdhe)</f>
        <v>36</v>
      </c>
      <c r="E2" s="33" t="n">
        <f aca="false">SUMIF(_1se,A2,_1pidge)</f>
        <v>0.369230769230769</v>
      </c>
      <c r="F2" s="33" t="inlineStr">
        <f aca="false">E2</f>
        <is>
          <t/>
        </is>
      </c>
      <c r="G2" s="33" t="n">
        <f aca="false">SUMIF(_1sr,A2,_1tdht)</f>
        <v>17.65</v>
      </c>
      <c r="H2" s="33" t="n">
        <f aca="false">SUMIF(_1sr,A2,_1pidgo)</f>
        <v>0.235897435897436</v>
      </c>
      <c r="I2" s="33" t="inlineStr">
        <f aca="false">H2</f>
        <is>
          <t/>
        </is>
      </c>
    </row>
    <row collapsed="false" customFormat="false" customHeight="false" hidden="false" ht="13.75" outlineLevel="0" r="3">
      <c r="A3" s="31" t="n">
        <v>2</v>
      </c>
      <c r="B3" s="32" t="inlineStr">
        <f aca="false">B2+7</f>
        <is>
          <t/>
        </is>
      </c>
      <c r="C3" s="31" t="n">
        <f aca="false">LOOKUP(A3,_grs,_grtdhd)</f>
        <v>35</v>
      </c>
      <c r="D3" s="31" t="n">
        <f aca="false">LOOKUP(A3,_grs,_grtdhe)</f>
        <v>33.5</v>
      </c>
      <c r="E3" s="33" t="n">
        <f aca="false">SUMIF(_1se,A3,_1pidge)</f>
        <v>0.343589743589744</v>
      </c>
      <c r="F3" s="33" t="inlineStr">
        <f aca="false">E3+F2</f>
        <is>
          <t/>
        </is>
      </c>
      <c r="G3" s="33" t="n">
        <f aca="false">SUMIF(_1sr,A3,_1tdht)</f>
        <v>15.1166666666667</v>
      </c>
      <c r="H3" s="33" t="n">
        <f aca="false">SUMIF(_1sr,A3,_1pidgo)</f>
        <v>0.138461538461539</v>
      </c>
      <c r="I3" s="33" t="inlineStr">
        <f aca="false">H3+I2</f>
        <is>
          <t/>
        </is>
      </c>
    </row>
    <row collapsed="false" customFormat="false" customHeight="false" hidden="false" ht="13.75" outlineLevel="0" r="4">
      <c r="A4" s="31" t="n">
        <v>3</v>
      </c>
      <c r="B4" s="32" t="inlineStr">
        <f aca="false">B3+7</f>
        <is>
          <t/>
        </is>
      </c>
      <c r="C4" s="31" t="n">
        <f aca="false">LOOKUP(A4,_grs,_grtdhd)</f>
        <v>35</v>
      </c>
      <c r="D4" s="31" t="n">
        <f aca="false">LOOKUP(A4,_grs,_grtdhe)</f>
        <v>28</v>
      </c>
      <c r="E4" s="33" t="n">
        <f aca="false">SUMIF(_1se,A4,_1pidge)</f>
        <v>0.287179487179487</v>
      </c>
      <c r="F4" s="33" t="inlineStr">
        <f aca="false">E4+F3</f>
        <is>
          <t/>
        </is>
      </c>
      <c r="G4" s="33" t="n">
        <f aca="false">SUMIF(_1sr,A4,_1tdht)</f>
        <v>39.8833333333333</v>
      </c>
      <c r="H4" s="33" t="n">
        <f aca="false">SUMIF(_1sr,A4,_1pidgo)</f>
        <v>0.36923076923077</v>
      </c>
      <c r="I4" s="33" t="inlineStr">
        <f aca="false">H4+I3</f>
        <is>
          <t/>
        </is>
      </c>
    </row>
    <row collapsed="false" customFormat="false" customHeight="false" hidden="false" ht="14.95" outlineLevel="0" r="6">
      <c r="A6" s="36" t="s">
        <v>102</v>
      </c>
      <c r="C6" s="27" t="n">
        <f aca="false">SUM(C2:C4)</f>
        <v>105</v>
      </c>
      <c r="D6" s="27" t="n">
        <f aca="false">SUM(D2:D4)</f>
        <v>97.5</v>
      </c>
      <c r="G6" s="29" t="inlineStr">
        <f aca="false">SUM(G2:G4)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2" pane="topLeft" sqref="D:D G:G A6"/>
    </sheetView>
  </sheetViews>
  <cols>
    <col collapsed="false" hidden="false" max="1" min="1" style="27" width="11.9843137254902"/>
    <col collapsed="false" hidden="false" max="7" min="2" style="27" width="16.2"/>
    <col collapsed="false" hidden="false" max="8" min="8" style="0" width="2.71372549019608"/>
    <col collapsed="false" hidden="false" max="14" min="9" style="27" width="16.2"/>
    <col collapsed="false" hidden="false" max="1025" min="15" style="27" width="11.9843137254902"/>
  </cols>
  <sheetData>
    <row collapsed="false" customFormat="false" customHeight="false" hidden="false" ht="51.65" outlineLevel="0" r="1">
      <c r="A1" s="12" t="s">
        <v>6</v>
      </c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  <c r="G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122</v>
      </c>
    </row>
    <row collapsed="false" customFormat="false" customHeight="false" hidden="false" ht="13.75" outlineLevel="0" r="2">
      <c r="A2" s="31" t="n">
        <v>1</v>
      </c>
      <c r="B2" s="31" t="n">
        <f aca="false">SUMIF(_1se,A2,_1tltdhe)</f>
        <v>6.5</v>
      </c>
      <c r="C2" s="31" t="n">
        <f aca="false">SUMIF(_1se,A2,_1dmtdhe)</f>
        <v>7</v>
      </c>
      <c r="D2" s="31" t="n">
        <f aca="false">SUMIF(_1se,A2,_1pqmtdhe)</f>
        <v>5.5</v>
      </c>
      <c r="E2" s="31" t="n">
        <f aca="false">SUMIF(_1se,A2,_1pmtdhe)</f>
        <v>11.5</v>
      </c>
      <c r="F2" s="31" t="n">
        <f aca="false">SUMIF(_1se,A2,_1smtdhe)</f>
        <v>5.5</v>
      </c>
      <c r="G2" s="31" t="n">
        <f aca="false">SUM(B2:F2)</f>
        <v>36</v>
      </c>
      <c r="I2" s="31" t="n">
        <v>2.35</v>
      </c>
      <c r="J2" s="31" t="n">
        <v>2.1</v>
      </c>
      <c r="K2" s="31" t="n">
        <v>3.93</v>
      </c>
      <c r="L2" s="31" t="n">
        <v>7.42</v>
      </c>
      <c r="M2" s="31" t="n">
        <v>5.27</v>
      </c>
      <c r="N2" s="31" t="n">
        <f aca="false">SUM(I2:M2)</f>
        <v>21.07</v>
      </c>
    </row>
    <row collapsed="false" customFormat="false" customHeight="false" hidden="false" ht="13.75" outlineLevel="0" r="3">
      <c r="A3" s="31" t="n">
        <v>2</v>
      </c>
      <c r="B3" s="31" t="n">
        <f aca="false">SUMIF(_1se,A3,_1tltdhe)</f>
        <v>5</v>
      </c>
      <c r="C3" s="31" t="n">
        <f aca="false">SUMIF(_1se,A3,_1dmtdhe)</f>
        <v>10</v>
      </c>
      <c r="D3" s="31" t="n">
        <f aca="false">SUMIF(_1se,A3,_1pqmtdhe)</f>
        <v>7</v>
      </c>
      <c r="E3" s="31" t="n">
        <f aca="false">SUMIF(_1se,A3,_1pmtdhe)</f>
        <v>6.5</v>
      </c>
      <c r="F3" s="31" t="n">
        <f aca="false">SUMIF(_1se,A3,_1smtdhe)</f>
        <v>5</v>
      </c>
      <c r="G3" s="31" t="n">
        <f aca="false">SUM(B3:F3)</f>
        <v>33.5</v>
      </c>
      <c r="I3" s="31" t="n">
        <v>7.33</v>
      </c>
      <c r="J3" s="31" t="n">
        <v>7.28</v>
      </c>
      <c r="K3" s="31" t="n">
        <v>5.33</v>
      </c>
      <c r="L3" s="31" t="n">
        <v>4.42</v>
      </c>
      <c r="M3" s="31" t="n">
        <v>4.67</v>
      </c>
      <c r="N3" s="31" t="n">
        <f aca="false">SUM(I3:M3)</f>
        <v>29.03</v>
      </c>
    </row>
    <row collapsed="false" customFormat="false" customHeight="false" hidden="false" ht="13.75" outlineLevel="0" r="4">
      <c r="A4" s="31" t="n">
        <v>3</v>
      </c>
      <c r="B4" s="31" t="n">
        <f aca="false">SUMIF(_1se,A4,_1tltdhe)</f>
        <v>8.5</v>
      </c>
      <c r="C4" s="31" t="n">
        <f aca="false">SUMIF(_1se,A4,_1dmtdhe)</f>
        <v>9.5</v>
      </c>
      <c r="D4" s="31" t="n">
        <f aca="false">SUMIF(_1se,A4,_1pqmtdhe)</f>
        <v>3</v>
      </c>
      <c r="E4" s="31" t="n">
        <f aca="false">SUMIF(_1se,A4,_1pmtdhe)</f>
        <v>3</v>
      </c>
      <c r="F4" s="31" t="n">
        <f aca="false">SUMIF(_1se,A4,_1smtdhe)</f>
        <v>4</v>
      </c>
      <c r="G4" s="31" t="n">
        <f aca="false">SUM(B4:F4)</f>
        <v>28</v>
      </c>
      <c r="I4" s="31" t="n">
        <v>5.43</v>
      </c>
      <c r="J4" s="31" t="n">
        <v>8.72</v>
      </c>
      <c r="K4" s="31" t="n">
        <v>10.12</v>
      </c>
      <c r="L4" s="31" t="n">
        <v>10.5</v>
      </c>
      <c r="M4" s="31" t="n">
        <v>5.87</v>
      </c>
      <c r="N4" s="31" t="n">
        <f aca="false">SUM(I4:M4)</f>
        <v>40.64</v>
      </c>
    </row>
    <row collapsed="false" customFormat="true" customHeight="false" hidden="false" ht="13.75" outlineLevel="0" r="5" s="27"/>
    <row collapsed="false" customFormat="false" customHeight="false" hidden="false" ht="14.95" outlineLevel="0" r="6">
      <c r="A6" s="36" t="s">
        <v>102</v>
      </c>
      <c r="B6" s="27" t="n">
        <f aca="false">SUM(B2:B4)</f>
        <v>20</v>
      </c>
      <c r="C6" s="27" t="n">
        <f aca="false">SUM(C2:C4)</f>
        <v>26.5</v>
      </c>
      <c r="D6" s="27" t="n">
        <f aca="false">SUM(D2:D4)</f>
        <v>15.5</v>
      </c>
      <c r="E6" s="27" t="n">
        <f aca="false">SUM(E2:E4)</f>
        <v>21</v>
      </c>
      <c r="F6" s="27" t="n">
        <f aca="false">SUM(F2:F4)</f>
        <v>14.5</v>
      </c>
      <c r="G6" s="27" t="n">
        <f aca="false">SUM(G2:G4)</f>
        <v>97.5</v>
      </c>
      <c r="I6" s="27" t="n">
        <f aca="false">SUM(I2:I4)</f>
        <v>15.11</v>
      </c>
      <c r="J6" s="27" t="n">
        <f aca="false">SUM(J2:J4)</f>
        <v>18.1</v>
      </c>
      <c r="K6" s="27" t="n">
        <f aca="false">SUM(K2:K4)</f>
        <v>19.38</v>
      </c>
      <c r="L6" s="27" t="n">
        <f aca="false">SUM(L2:L4)</f>
        <v>22.34</v>
      </c>
      <c r="M6" s="27" t="n">
        <f aca="false">SUM(M2:M4)</f>
        <v>15.81</v>
      </c>
      <c r="N6" s="27" t="n">
        <f aca="false">SUM(N2:N4)</f>
        <v>90.74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