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ropbox\Github Uploads\Financial Engineering 1\"/>
    </mc:Choice>
  </mc:AlternateContent>
  <xr:revisionPtr revIDLastSave="0" documentId="13_ncr:1_{29340483-17F9-47EB-97FA-99524B8CA514}" xr6:coauthVersionLast="47" xr6:coauthVersionMax="47" xr10:uidLastSave="{00000000-0000-0000-0000-000000000000}"/>
  <bookViews>
    <workbookView xWindow="20685" yWindow="2955" windowWidth="33030" windowHeight="22545" xr2:uid="{00000000-000D-0000-FFFF-FFFF00000000}"/>
  </bookViews>
  <sheets>
    <sheet name="Mean Variance Portfolio Theory1" sheetId="2" r:id="rId1"/>
    <sheet name="Mean Variance Portfolio Theory2" sheetId="3" r:id="rId2"/>
    <sheet name="CAPM" sheetId="5" r:id="rId3"/>
    <sheet name="Models of Asset Returns" sheetId="8" r:id="rId4"/>
    <sheet name="Risk Measures" sheetId="9" r:id="rId5"/>
    <sheet name="Stochastic Interest Rate Models" sheetId="10" r:id="rId6"/>
  </sheets>
  <externalReferences>
    <externalReference r:id="rId7"/>
  </externalReferences>
  <definedNames>
    <definedName name="S">'[1]Tut7 Q5'!$C$23:$F$26</definedName>
    <definedName name="solver_adj" localSheetId="2" hidden="1">CAPM!$C$143:$E$143</definedName>
    <definedName name="solver_adj" localSheetId="1" hidden="1">'Mean Variance Portfolio Theory2'!$B$47:$D$47</definedName>
    <definedName name="solver_adj" localSheetId="3" hidden="1">'Models of Asset Returns'!$D$151</definedName>
    <definedName name="solver_adj" localSheetId="4" hidden="1">'Risk Measures'!$C$30</definedName>
    <definedName name="solver_cvg" localSheetId="2" hidden="1">0.0001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3" hidden="1">0.0001</definedName>
    <definedName name="solver_cvg" localSheetId="4" hidden="1">0.0001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drv" localSheetId="4" hidden="1">2</definedName>
    <definedName name="solver_eng" localSheetId="2" hidden="1">1</definedName>
    <definedName name="solver_eng" localSheetId="1" hidden="1">1</definedName>
    <definedName name="solver_eng" localSheetId="3" hidden="1">1</definedName>
    <definedName name="solver_eng" localSheetId="4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lhs1" localSheetId="2" hidden="1">CAPM!$F$143</definedName>
    <definedName name="solver_lhs1" localSheetId="1" hidden="1">'Mean Variance Portfolio Theory2'!$E$47</definedName>
    <definedName name="solver_lhs2" localSheetId="1" hidden="1">'Mean Variance Portfolio Theory2'!$F$47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rt" localSheetId="2" hidden="1">0.075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3" hidden="1">0.075</definedName>
    <definedName name="solver_mrt" localSheetId="4" hidden="1">0.075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neg" localSheetId="2" hidden="1">1</definedName>
    <definedName name="solver_neg" localSheetId="1" hidden="1">2</definedName>
    <definedName name="solver_neg" localSheetId="3" hidden="1">2</definedName>
    <definedName name="solver_neg" localSheetId="4" hidden="1">1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um" localSheetId="2" hidden="1">1</definedName>
    <definedName name="solver_num" localSheetId="1" hidden="1">2</definedName>
    <definedName name="solver_num" localSheetId="3" hidden="1">0</definedName>
    <definedName name="solver_num" localSheetId="4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opt" localSheetId="2" hidden="1">CAPM!$C$148</definedName>
    <definedName name="solver_opt" localSheetId="1" hidden="1">'Mean Variance Portfolio Theory2'!$G$47</definedName>
    <definedName name="solver_opt" localSheetId="3" hidden="1">'Models of Asset Returns'!$D$159</definedName>
    <definedName name="solver_opt" localSheetId="4" hidden="1">'Risk Measures'!$C$29</definedName>
    <definedName name="solver_pre" localSheetId="2" hidden="1">0.000001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3" hidden="1">0.000001</definedName>
    <definedName name="solver_pre" localSheetId="4" hidden="1">0.000001</definedName>
    <definedName name="solver_rbv" localSheetId="2" hidden="1">1</definedName>
    <definedName name="solver_rbv" localSheetId="1" hidden="1">1</definedName>
    <definedName name="solver_rbv" localSheetId="3" hidden="1">1</definedName>
    <definedName name="solver_rbv" localSheetId="4" hidden="1">2</definedName>
    <definedName name="solver_rel1" localSheetId="2" hidden="1">2</definedName>
    <definedName name="solver_rel1" localSheetId="1" hidden="1">2</definedName>
    <definedName name="solver_rel2" localSheetId="1" hidden="1">2</definedName>
    <definedName name="solver_rhs1" localSheetId="2" hidden="1">1</definedName>
    <definedName name="solver_rhs1" localSheetId="1" hidden="1">1</definedName>
    <definedName name="solver_rhs2" localSheetId="1" hidden="1">0.25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scl" localSheetId="2" hidden="1">1</definedName>
    <definedName name="solver_scl" localSheetId="1" hidden="1">1</definedName>
    <definedName name="solver_scl" localSheetId="3" hidden="1">1</definedName>
    <definedName name="solver_scl" localSheetId="4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yp" localSheetId="2" hidden="1">1</definedName>
    <definedName name="solver_typ" localSheetId="1" hidden="1">1</definedName>
    <definedName name="solver_typ" localSheetId="3" hidden="1">3</definedName>
    <definedName name="solver_typ" localSheetId="4" hidden="1">3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4" hidden="1">18.1537977079156</definedName>
    <definedName name="solver_ver" localSheetId="2" hidden="1">3</definedName>
    <definedName name="solver_ver" localSheetId="1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0" i="10" l="1"/>
  <c r="S41" i="10"/>
  <c r="S42" i="10"/>
  <c r="S43" i="10"/>
  <c r="S44" i="10"/>
  <c r="S45" i="10"/>
  <c r="S46" i="10"/>
  <c r="S47" i="10"/>
  <c r="S48" i="10"/>
  <c r="S49" i="10"/>
  <c r="S40" i="10"/>
  <c r="R41" i="10"/>
  <c r="R42" i="10"/>
  <c r="R43" i="10"/>
  <c r="R44" i="10"/>
  <c r="R45" i="10"/>
  <c r="R46" i="10"/>
  <c r="R47" i="10"/>
  <c r="R48" i="10"/>
  <c r="R49" i="10"/>
  <c r="R40" i="10"/>
  <c r="Q41" i="10"/>
  <c r="Q42" i="10"/>
  <c r="Q43" i="10"/>
  <c r="Q44" i="10"/>
  <c r="Q45" i="10"/>
  <c r="Q46" i="10"/>
  <c r="Q47" i="10"/>
  <c r="Q48" i="10"/>
  <c r="Q49" i="10"/>
  <c r="Q40" i="10"/>
  <c r="L42" i="10"/>
  <c r="L43" i="10" s="1"/>
  <c r="L44" i="10" s="1"/>
  <c r="L45" i="10" s="1"/>
  <c r="L46" i="10" s="1"/>
  <c r="L47" i="10" s="1"/>
  <c r="L48" i="10" s="1"/>
  <c r="L49" i="10" s="1"/>
  <c r="L41" i="10"/>
  <c r="K42" i="10"/>
  <c r="K43" i="10" s="1"/>
  <c r="K44" i="10" s="1"/>
  <c r="K45" i="10" s="1"/>
  <c r="K46" i="10" s="1"/>
  <c r="K47" i="10" s="1"/>
  <c r="K48" i="10" s="1"/>
  <c r="K49" i="10" s="1"/>
  <c r="K41" i="10"/>
  <c r="N40" i="10"/>
  <c r="M40" i="10"/>
  <c r="L40" i="10"/>
  <c r="K40" i="10"/>
  <c r="E40" i="10" l="1"/>
  <c r="D40" i="10"/>
  <c r="H38" i="10" s="1"/>
  <c r="C40" i="10"/>
  <c r="C12" i="10"/>
  <c r="C11" i="10"/>
  <c r="H31" i="10" s="1"/>
  <c r="H39" i="10" l="1"/>
  <c r="H40" i="10" s="1"/>
  <c r="H18" i="10"/>
  <c r="H26" i="10"/>
  <c r="H13" i="10"/>
  <c r="H21" i="10"/>
  <c r="H29" i="10"/>
  <c r="M9" i="10"/>
  <c r="H10" i="10"/>
  <c r="H16" i="10"/>
  <c r="H24" i="10"/>
  <c r="H32" i="10"/>
  <c r="H19" i="10"/>
  <c r="H27" i="10"/>
  <c r="H12" i="10"/>
  <c r="H14" i="10"/>
  <c r="H22" i="10"/>
  <c r="H30" i="10"/>
  <c r="H17" i="10"/>
  <c r="H33" i="10"/>
  <c r="H25" i="10"/>
  <c r="H20" i="10"/>
  <c r="H28" i="10"/>
  <c r="H9" i="10"/>
  <c r="H11" i="10"/>
  <c r="C13" i="10"/>
  <c r="H15" i="10"/>
  <c r="H23" i="10"/>
  <c r="M41" i="10" l="1"/>
  <c r="T41" i="10" s="1"/>
  <c r="M10" i="10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I28" i="10"/>
  <c r="J28" i="10" s="1"/>
  <c r="I20" i="10"/>
  <c r="J20" i="10" s="1"/>
  <c r="N9" i="10"/>
  <c r="I33" i="10"/>
  <c r="J33" i="10" s="1"/>
  <c r="I25" i="10"/>
  <c r="J25" i="10" s="1"/>
  <c r="I17" i="10"/>
  <c r="J17" i="10" s="1"/>
  <c r="I12" i="10"/>
  <c r="J12" i="10" s="1"/>
  <c r="I15" i="10"/>
  <c r="J15" i="10" s="1"/>
  <c r="I11" i="10"/>
  <c r="J11" i="10" s="1"/>
  <c r="I30" i="10"/>
  <c r="J30" i="10" s="1"/>
  <c r="I22" i="10"/>
  <c r="J22" i="10" s="1"/>
  <c r="I14" i="10"/>
  <c r="J14" i="10" s="1"/>
  <c r="I9" i="10"/>
  <c r="J9" i="10" s="1"/>
  <c r="I27" i="10"/>
  <c r="J27" i="10" s="1"/>
  <c r="I19" i="10"/>
  <c r="J19" i="10" s="1"/>
  <c r="I32" i="10"/>
  <c r="J32" i="10" s="1"/>
  <c r="I24" i="10"/>
  <c r="J24" i="10" s="1"/>
  <c r="I16" i="10"/>
  <c r="J16" i="10" s="1"/>
  <c r="I10" i="10"/>
  <c r="J10" i="10" s="1"/>
  <c r="I29" i="10"/>
  <c r="J29" i="10" s="1"/>
  <c r="I21" i="10"/>
  <c r="J21" i="10" s="1"/>
  <c r="I13" i="10"/>
  <c r="J13" i="10" s="1"/>
  <c r="I23" i="10"/>
  <c r="J23" i="10" s="1"/>
  <c r="I26" i="10"/>
  <c r="J26" i="10" s="1"/>
  <c r="I18" i="10"/>
  <c r="J18" i="10" s="1"/>
  <c r="I31" i="10"/>
  <c r="J31" i="10" s="1"/>
  <c r="N41" i="10" l="1"/>
  <c r="M42" i="10"/>
  <c r="N10" i="10"/>
  <c r="O10" i="10" s="1"/>
  <c r="P10" i="10" s="1"/>
  <c r="O9" i="10"/>
  <c r="P9" i="10" s="1"/>
  <c r="T42" i="10" l="1"/>
  <c r="N42" i="10"/>
  <c r="M43" i="10"/>
  <c r="N11" i="10"/>
  <c r="M44" i="10" l="1"/>
  <c r="N43" i="10"/>
  <c r="T43" i="10"/>
  <c r="O11" i="10"/>
  <c r="P11" i="10" s="1"/>
  <c r="N12" i="10"/>
  <c r="M45" i="10" l="1"/>
  <c r="T44" i="10"/>
  <c r="N44" i="10"/>
  <c r="O12" i="10"/>
  <c r="P12" i="10" s="1"/>
  <c r="N13" i="10"/>
  <c r="M46" i="10" l="1"/>
  <c r="N45" i="10"/>
  <c r="T45" i="10"/>
  <c r="O13" i="10"/>
  <c r="P13" i="10" s="1"/>
  <c r="N14" i="10"/>
  <c r="M47" i="10" l="1"/>
  <c r="T46" i="10"/>
  <c r="N46" i="10"/>
  <c r="O14" i="10"/>
  <c r="P14" i="10" s="1"/>
  <c r="N15" i="10"/>
  <c r="M48" i="10" l="1"/>
  <c r="N47" i="10"/>
  <c r="T47" i="10"/>
  <c r="O15" i="10"/>
  <c r="P15" i="10" s="1"/>
  <c r="N16" i="10"/>
  <c r="T48" i="10" l="1"/>
  <c r="N48" i="10"/>
  <c r="M49" i="10"/>
  <c r="O16" i="10"/>
  <c r="P16" i="10" s="1"/>
  <c r="N17" i="10"/>
  <c r="N49" i="10" l="1"/>
  <c r="T49" i="10"/>
  <c r="O17" i="10"/>
  <c r="P17" i="10" s="1"/>
  <c r="N18" i="10"/>
  <c r="O18" i="10" l="1"/>
  <c r="P18" i="10" s="1"/>
  <c r="N19" i="10"/>
  <c r="O19" i="10" l="1"/>
  <c r="P19" i="10" s="1"/>
  <c r="N20" i="10"/>
  <c r="O20" i="10" l="1"/>
  <c r="P20" i="10" s="1"/>
  <c r="N21" i="10"/>
  <c r="O21" i="10" l="1"/>
  <c r="P21" i="10" s="1"/>
  <c r="N22" i="10"/>
  <c r="O22" i="10" l="1"/>
  <c r="P22" i="10" s="1"/>
  <c r="N23" i="10"/>
  <c r="O23" i="10" l="1"/>
  <c r="P23" i="10" s="1"/>
  <c r="N24" i="10"/>
  <c r="O24" i="10" l="1"/>
  <c r="P24" i="10" s="1"/>
  <c r="N25" i="10"/>
  <c r="O25" i="10" l="1"/>
  <c r="P25" i="10" s="1"/>
  <c r="N26" i="10"/>
  <c r="O26" i="10" l="1"/>
  <c r="P26" i="10" s="1"/>
  <c r="N27" i="10"/>
  <c r="O27" i="10" l="1"/>
  <c r="P27" i="10" s="1"/>
  <c r="N28" i="10"/>
  <c r="O28" i="10" l="1"/>
  <c r="P28" i="10" s="1"/>
  <c r="N29" i="10"/>
  <c r="O29" i="10" l="1"/>
  <c r="P29" i="10" s="1"/>
  <c r="N30" i="10"/>
  <c r="O30" i="10" l="1"/>
  <c r="P30" i="10" s="1"/>
  <c r="N31" i="10"/>
  <c r="O31" i="10" l="1"/>
  <c r="P31" i="10" s="1"/>
  <c r="N32" i="10"/>
  <c r="O32" i="10" l="1"/>
  <c r="P32" i="10" s="1"/>
  <c r="N33" i="10"/>
  <c r="O33" i="10" s="1"/>
  <c r="P33" i="10" s="1"/>
  <c r="J88" i="9"/>
  <c r="J89" i="9" s="1"/>
  <c r="J90" i="9" s="1"/>
  <c r="J91" i="9" s="1"/>
  <c r="J92" i="9" s="1"/>
  <c r="J93" i="9" s="1"/>
  <c r="J94" i="9" s="1"/>
  <c r="J95" i="9" s="1"/>
  <c r="J96" i="9" s="1"/>
  <c r="J97" i="9" s="1"/>
  <c r="N87" i="9"/>
  <c r="M87" i="9"/>
  <c r="M88" i="9" s="1"/>
  <c r="M89" i="9" s="1"/>
  <c r="M90" i="9" s="1"/>
  <c r="M91" i="9" s="1"/>
  <c r="M92" i="9" s="1"/>
  <c r="M93" i="9" s="1"/>
  <c r="M94" i="9" s="1"/>
  <c r="M95" i="9" s="1"/>
  <c r="M96" i="9" s="1"/>
  <c r="M97" i="9" s="1"/>
  <c r="L87" i="9"/>
  <c r="K87" i="9"/>
  <c r="K88" i="9" s="1"/>
  <c r="K89" i="9" s="1"/>
  <c r="K90" i="9" s="1"/>
  <c r="K91" i="9" s="1"/>
  <c r="K92" i="9" s="1"/>
  <c r="K93" i="9" s="1"/>
  <c r="K94" i="9" s="1"/>
  <c r="K95" i="9" s="1"/>
  <c r="K96" i="9" s="1"/>
  <c r="K97" i="9" s="1"/>
  <c r="J87" i="9"/>
  <c r="G87" i="9"/>
  <c r="G88" i="9" s="1"/>
  <c r="G89" i="9" s="1"/>
  <c r="G90" i="9" s="1"/>
  <c r="G91" i="9" s="1"/>
  <c r="G92" i="9" s="1"/>
  <c r="G93" i="9" s="1"/>
  <c r="G94" i="9" s="1"/>
  <c r="G95" i="9" s="1"/>
  <c r="G96" i="9" s="1"/>
  <c r="G97" i="9" s="1"/>
  <c r="F87" i="9"/>
  <c r="F88" i="9" s="1"/>
  <c r="F89" i="9" s="1"/>
  <c r="F90" i="9" s="1"/>
  <c r="F91" i="9" s="1"/>
  <c r="F92" i="9" s="1"/>
  <c r="F93" i="9" s="1"/>
  <c r="F94" i="9" s="1"/>
  <c r="F95" i="9" s="1"/>
  <c r="F96" i="9" s="1"/>
  <c r="F97" i="9" s="1"/>
  <c r="E87" i="9"/>
  <c r="D87" i="9"/>
  <c r="C87" i="9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D59" i="9"/>
  <c r="D60" i="9" s="1"/>
  <c r="D61" i="9" s="1"/>
  <c r="D62" i="9" s="1"/>
  <c r="D63" i="9" s="1"/>
  <c r="D64" i="9" s="1"/>
  <c r="D65" i="9" s="1"/>
  <c r="D66" i="9" s="1"/>
  <c r="D67" i="9" s="1"/>
  <c r="D68" i="9" s="1"/>
  <c r="C59" i="9"/>
  <c r="C60" i="9" s="1"/>
  <c r="C61" i="9" s="1"/>
  <c r="C62" i="9" s="1"/>
  <c r="C63" i="9" s="1"/>
  <c r="C64" i="9" s="1"/>
  <c r="C65" i="9" s="1"/>
  <c r="C66" i="9" s="1"/>
  <c r="C67" i="9" s="1"/>
  <c r="C68" i="9" s="1"/>
  <c r="D58" i="9"/>
  <c r="E58" i="9"/>
  <c r="E59" i="9" s="1"/>
  <c r="E60" i="9" s="1"/>
  <c r="E61" i="9" s="1"/>
  <c r="E62" i="9" s="1"/>
  <c r="E63" i="9" s="1"/>
  <c r="E64" i="9" s="1"/>
  <c r="E65" i="9" s="1"/>
  <c r="E66" i="9" s="1"/>
  <c r="E67" i="9" s="1"/>
  <c r="E68" i="9" s="1"/>
  <c r="F58" i="9"/>
  <c r="F59" i="9" s="1"/>
  <c r="F60" i="9" s="1"/>
  <c r="F61" i="9" s="1"/>
  <c r="F62" i="9" s="1"/>
  <c r="F63" i="9" s="1"/>
  <c r="F64" i="9" s="1"/>
  <c r="F65" i="9" s="1"/>
  <c r="F66" i="9" s="1"/>
  <c r="F67" i="9" s="1"/>
  <c r="F68" i="9" s="1"/>
  <c r="F79" i="9" s="1"/>
  <c r="G58" i="9"/>
  <c r="G59" i="9" s="1"/>
  <c r="G60" i="9" s="1"/>
  <c r="G61" i="9" s="1"/>
  <c r="G62" i="9" s="1"/>
  <c r="G63" i="9" s="1"/>
  <c r="G64" i="9" s="1"/>
  <c r="G65" i="9" s="1"/>
  <c r="G66" i="9" s="1"/>
  <c r="G67" i="9" s="1"/>
  <c r="G68" i="9" s="1"/>
  <c r="C58" i="9"/>
  <c r="G114" i="9"/>
  <c r="F114" i="9"/>
  <c r="E114" i="9"/>
  <c r="D114" i="9"/>
  <c r="C114" i="9"/>
  <c r="L88" i="9"/>
  <c r="L89" i="9" s="1"/>
  <c r="L90" i="9" s="1"/>
  <c r="L91" i="9" s="1"/>
  <c r="L92" i="9" s="1"/>
  <c r="L93" i="9" s="1"/>
  <c r="L94" i="9" s="1"/>
  <c r="L95" i="9" s="1"/>
  <c r="L96" i="9" s="1"/>
  <c r="L97" i="9" s="1"/>
  <c r="N88" i="9"/>
  <c r="N89" i="9" s="1"/>
  <c r="N90" i="9" s="1"/>
  <c r="N91" i="9" s="1"/>
  <c r="N92" i="9" s="1"/>
  <c r="N93" i="9" s="1"/>
  <c r="N94" i="9" s="1"/>
  <c r="N95" i="9" s="1"/>
  <c r="N96" i="9" s="1"/>
  <c r="N97" i="9" s="1"/>
  <c r="E88" i="9"/>
  <c r="E89" i="9" s="1"/>
  <c r="E90" i="9" s="1"/>
  <c r="E91" i="9" s="1"/>
  <c r="E92" i="9" s="1"/>
  <c r="E93" i="9" s="1"/>
  <c r="E94" i="9" s="1"/>
  <c r="E95" i="9" s="1"/>
  <c r="E96" i="9" s="1"/>
  <c r="E97" i="9" s="1"/>
  <c r="D88" i="9"/>
  <c r="D89" i="9" s="1"/>
  <c r="D90" i="9" s="1"/>
  <c r="D91" i="9" s="1"/>
  <c r="D92" i="9" s="1"/>
  <c r="D93" i="9" s="1"/>
  <c r="D94" i="9" s="1"/>
  <c r="D95" i="9" s="1"/>
  <c r="D96" i="9" s="1"/>
  <c r="D97" i="9" s="1"/>
  <c r="G80" i="9"/>
  <c r="F80" i="9"/>
  <c r="E80" i="9"/>
  <c r="D80" i="9"/>
  <c r="C80" i="9"/>
  <c r="G29" i="9"/>
  <c r="D79" i="9" l="1"/>
  <c r="C72" i="9"/>
  <c r="G102" i="9"/>
  <c r="G113" i="9" s="1"/>
  <c r="F102" i="9"/>
  <c r="F113" i="9" s="1"/>
  <c r="G79" i="9"/>
  <c r="E79" i="9"/>
  <c r="C79" i="9"/>
  <c r="C102" i="9"/>
  <c r="D102" i="9"/>
  <c r="D113" i="9" s="1"/>
  <c r="E102" i="9"/>
  <c r="E113" i="9" s="1"/>
  <c r="C29" i="9"/>
  <c r="I15" i="9"/>
  <c r="I19" i="9" s="1"/>
  <c r="H15" i="9"/>
  <c r="H19" i="9" s="1"/>
  <c r="G15" i="9"/>
  <c r="G19" i="9" s="1"/>
  <c r="F15" i="9"/>
  <c r="F19" i="9" s="1"/>
  <c r="E15" i="9"/>
  <c r="E19" i="9" s="1"/>
  <c r="D15" i="9"/>
  <c r="D19" i="9" s="1"/>
  <c r="C15" i="9"/>
  <c r="C19" i="9" s="1"/>
  <c r="I12" i="9"/>
  <c r="I16" i="9" s="1"/>
  <c r="I20" i="9" s="1"/>
  <c r="H12" i="9"/>
  <c r="H16" i="9" s="1"/>
  <c r="H20" i="9" s="1"/>
  <c r="G12" i="9"/>
  <c r="G16" i="9" s="1"/>
  <c r="G20" i="9" s="1"/>
  <c r="F12" i="9"/>
  <c r="F16" i="9" s="1"/>
  <c r="F20" i="9" s="1"/>
  <c r="E12" i="9"/>
  <c r="E16" i="9" s="1"/>
  <c r="E20" i="9" s="1"/>
  <c r="D12" i="9"/>
  <c r="D16" i="9" s="1"/>
  <c r="D20" i="9" s="1"/>
  <c r="C12" i="9"/>
  <c r="C16" i="9" s="1"/>
  <c r="C70" i="9" l="1"/>
  <c r="C82" i="9"/>
  <c r="C104" i="9"/>
  <c r="C113" i="9"/>
  <c r="C116" i="9" s="1"/>
  <c r="C106" i="9"/>
  <c r="J16" i="9"/>
  <c r="C20" i="9"/>
  <c r="J20" i="9" s="1"/>
  <c r="C22" i="9"/>
  <c r="C25" i="9" s="1"/>
  <c r="C26" i="9" s="1"/>
  <c r="J12" i="9"/>
  <c r="J25" i="8" l="1"/>
  <c r="J25" i="8" a="1"/>
  <c r="K25" i="8" s="1"/>
  <c r="T7" i="8" a="1"/>
  <c r="T9" i="8" s="1"/>
  <c r="K7" i="8" a="1"/>
  <c r="K7" i="8" s="1"/>
  <c r="J7" i="8" a="1"/>
  <c r="J8" i="8" s="1"/>
  <c r="H8" i="8"/>
  <c r="H7" i="8" a="1"/>
  <c r="H7" i="8" s="1"/>
  <c r="C45" i="8"/>
  <c r="D45" i="8"/>
  <c r="E45" i="8"/>
  <c r="F45" i="8"/>
  <c r="G45" i="8"/>
  <c r="H45" i="8"/>
  <c r="C46" i="8"/>
  <c r="D46" i="8"/>
  <c r="E46" i="8"/>
  <c r="F46" i="8"/>
  <c r="G46" i="8"/>
  <c r="C47" i="8"/>
  <c r="C48" i="8" s="1"/>
  <c r="D47" i="8"/>
  <c r="D48" i="8" s="1"/>
  <c r="D50" i="8" s="1"/>
  <c r="E47" i="8"/>
  <c r="F47" i="8"/>
  <c r="F48" i="8" s="1"/>
  <c r="F50" i="8" s="1"/>
  <c r="G47" i="8"/>
  <c r="G48" i="8" s="1"/>
  <c r="C55" i="8"/>
  <c r="D55" i="8"/>
  <c r="E55" i="8"/>
  <c r="F55" i="8"/>
  <c r="C56" i="8"/>
  <c r="D56" i="8"/>
  <c r="E56" i="8"/>
  <c r="F56" i="8"/>
  <c r="C57" i="8"/>
  <c r="D57" i="8"/>
  <c r="E57" i="8"/>
  <c r="F57" i="8"/>
  <c r="C58" i="8"/>
  <c r="D58" i="8"/>
  <c r="E58" i="8"/>
  <c r="F58" i="8"/>
  <c r="D255" i="8"/>
  <c r="D254" i="8"/>
  <c r="F234" i="8"/>
  <c r="E234" i="8"/>
  <c r="D234" i="8"/>
  <c r="C234" i="8"/>
  <c r="F233" i="8"/>
  <c r="E233" i="8"/>
  <c r="D233" i="8"/>
  <c r="C233" i="8"/>
  <c r="C61" i="8" a="1"/>
  <c r="D63" i="8" s="1"/>
  <c r="E48" i="8" l="1"/>
  <c r="E50" i="8" s="1"/>
  <c r="E49" i="8"/>
  <c r="H9" i="8"/>
  <c r="J26" i="8"/>
  <c r="G49" i="8"/>
  <c r="K26" i="8"/>
  <c r="F49" i="8"/>
  <c r="J27" i="8"/>
  <c r="K8" i="8"/>
  <c r="D49" i="8"/>
  <c r="K9" i="8"/>
  <c r="C49" i="8"/>
  <c r="C50" i="8"/>
  <c r="J7" i="8"/>
  <c r="K27" i="8"/>
  <c r="J9" i="8"/>
  <c r="T7" i="8"/>
  <c r="T8" i="8"/>
  <c r="E63" i="8"/>
  <c r="F61" i="8"/>
  <c r="F63" i="8"/>
  <c r="C62" i="8"/>
  <c r="C64" i="8"/>
  <c r="E61" i="8"/>
  <c r="C154" i="8" s="1" a="1"/>
  <c r="D62" i="8"/>
  <c r="D64" i="8"/>
  <c r="E62" i="8"/>
  <c r="E64" i="8"/>
  <c r="C61" i="8"/>
  <c r="C63" i="8"/>
  <c r="F62" i="8"/>
  <c r="F64" i="8"/>
  <c r="D61" i="8"/>
  <c r="R13" i="8" l="1" a="1"/>
  <c r="R13" i="8"/>
  <c r="R15" i="8"/>
  <c r="R14" i="8"/>
  <c r="N7" i="8" a="1"/>
  <c r="C69" i="8" a="1"/>
  <c r="F72" i="8" s="1"/>
  <c r="F156" i="8"/>
  <c r="F154" i="8"/>
  <c r="D156" i="8"/>
  <c r="E156" i="8"/>
  <c r="E154" i="8"/>
  <c r="D154" i="8"/>
  <c r="C156" i="8"/>
  <c r="C154" i="8"/>
  <c r="F157" i="8"/>
  <c r="F155" i="8"/>
  <c r="D157" i="8"/>
  <c r="C157" i="8"/>
  <c r="E157" i="8"/>
  <c r="E155" i="8"/>
  <c r="D155" i="8"/>
  <c r="C155" i="8"/>
  <c r="D71" i="8" l="1"/>
  <c r="C69" i="8"/>
  <c r="C72" i="8"/>
  <c r="D70" i="8"/>
  <c r="E72" i="8"/>
  <c r="E69" i="8"/>
  <c r="E71" i="8"/>
  <c r="C70" i="8"/>
  <c r="C71" i="8"/>
  <c r="D72" i="8"/>
  <c r="O8" i="8"/>
  <c r="N8" i="8"/>
  <c r="O7" i="8"/>
  <c r="P7" i="8"/>
  <c r="N9" i="8"/>
  <c r="P9" i="8"/>
  <c r="N7" i="8"/>
  <c r="O9" i="8"/>
  <c r="P8" i="8"/>
  <c r="F69" i="8"/>
  <c r="E70" i="8"/>
  <c r="F71" i="8"/>
  <c r="F70" i="8"/>
  <c r="D69" i="8"/>
  <c r="D74" i="8" s="1" a="1"/>
  <c r="C169" i="8" a="1"/>
  <c r="D159" i="8" a="1"/>
  <c r="D159" i="8" s="1"/>
  <c r="D77" i="8" l="1"/>
  <c r="D74" i="8"/>
  <c r="N13" i="8" a="1"/>
  <c r="C171" i="8"/>
  <c r="C169" i="8"/>
  <c r="E170" i="8"/>
  <c r="F172" i="8"/>
  <c r="F170" i="8"/>
  <c r="E172" i="8"/>
  <c r="D172" i="8"/>
  <c r="D170" i="8"/>
  <c r="C172" i="8"/>
  <c r="C170" i="8"/>
  <c r="E171" i="8"/>
  <c r="E169" i="8"/>
  <c r="D171" i="8"/>
  <c r="D169" i="8"/>
  <c r="F171" i="8"/>
  <c r="F169" i="8"/>
  <c r="P13" i="8" l="1"/>
  <c r="O13" i="8"/>
  <c r="O15" i="8"/>
  <c r="P15" i="8"/>
  <c r="N13" i="8"/>
  <c r="O14" i="8"/>
  <c r="N14" i="8"/>
  <c r="N15" i="8"/>
  <c r="P14" i="8"/>
  <c r="C175" i="8" a="1"/>
  <c r="F175" i="8" s="1"/>
  <c r="H176" i="8"/>
  <c r="C176" i="8" s="1" a="1"/>
  <c r="H178" i="8"/>
  <c r="C178" i="8" s="1" a="1"/>
  <c r="H177" i="8"/>
  <c r="C177" i="8" s="1" a="1"/>
  <c r="L13" i="8" l="1" a="1"/>
  <c r="C175" i="8"/>
  <c r="D175" i="8"/>
  <c r="E175" i="8"/>
  <c r="E176" i="8"/>
  <c r="C176" i="8"/>
  <c r="D176" i="8"/>
  <c r="F176" i="8"/>
  <c r="C180" i="8" a="1"/>
  <c r="F177" i="8"/>
  <c r="E177" i="8"/>
  <c r="D177" i="8"/>
  <c r="C177" i="8"/>
  <c r="F178" i="8"/>
  <c r="E178" i="8"/>
  <c r="C178" i="8"/>
  <c r="D178" i="8"/>
  <c r="H183" i="8" l="1"/>
  <c r="L13" i="8"/>
  <c r="L15" i="8"/>
  <c r="L14" i="8"/>
  <c r="H182" i="8"/>
  <c r="C182" i="8" s="1" a="1"/>
  <c r="C183" i="8" a="1"/>
  <c r="C181" i="8" a="1"/>
  <c r="C180" i="8"/>
  <c r="E180" i="8"/>
  <c r="D180" i="8"/>
  <c r="F180" i="8"/>
  <c r="H27" i="8" l="1"/>
  <c r="H26" i="8"/>
  <c r="H25" i="8" a="1"/>
  <c r="H25" i="8" s="1"/>
  <c r="H22" i="8" a="1"/>
  <c r="H22" i="8" s="1"/>
  <c r="C185" i="8" a="1"/>
  <c r="E185" i="8" s="1"/>
  <c r="F181" i="8"/>
  <c r="E181" i="8"/>
  <c r="D181" i="8"/>
  <c r="C181" i="8"/>
  <c r="F182" i="8"/>
  <c r="E182" i="8"/>
  <c r="C182" i="8"/>
  <c r="D182" i="8"/>
  <c r="C183" i="8"/>
  <c r="E183" i="8"/>
  <c r="F183" i="8"/>
  <c r="D183" i="8"/>
  <c r="H188" i="8" l="1"/>
  <c r="F185" i="8"/>
  <c r="D185" i="8"/>
  <c r="C185" i="8"/>
  <c r="H191" i="8" s="1"/>
  <c r="C191" i="8" s="1" a="1"/>
  <c r="C186" i="8" a="1"/>
  <c r="D186" i="8" s="1"/>
  <c r="H192" i="8" s="1"/>
  <c r="C187" i="8" a="1"/>
  <c r="C187" i="8" s="1"/>
  <c r="C188" i="8" a="1"/>
  <c r="F186" i="8" l="1"/>
  <c r="F187" i="8"/>
  <c r="E187" i="8"/>
  <c r="H193" i="8" s="1"/>
  <c r="E186" i="8"/>
  <c r="D187" i="8"/>
  <c r="C186" i="8"/>
  <c r="C192" i="8" a="1"/>
  <c r="F192" i="8" s="1"/>
  <c r="F191" i="8"/>
  <c r="E191" i="8"/>
  <c r="D191" i="8"/>
  <c r="C191" i="8"/>
  <c r="F188" i="8"/>
  <c r="D188" i="8"/>
  <c r="E188" i="8"/>
  <c r="C188" i="8"/>
  <c r="C194" i="8" s="1" a="1"/>
  <c r="C193" i="8" a="1"/>
  <c r="C192" i="8" l="1"/>
  <c r="D192" i="8"/>
  <c r="E192" i="8"/>
  <c r="F194" i="8"/>
  <c r="E194" i="8"/>
  <c r="D194" i="8"/>
  <c r="C194" i="8"/>
  <c r="C199" i="8" s="1" a="1"/>
  <c r="D193" i="8"/>
  <c r="C193" i="8"/>
  <c r="F193" i="8"/>
  <c r="E193" i="8"/>
  <c r="H196" i="8" s="1"/>
  <c r="H197" i="8" l="1"/>
  <c r="C198" i="8" a="1"/>
  <c r="F198" i="8" s="1"/>
  <c r="F199" i="8"/>
  <c r="E199" i="8"/>
  <c r="D199" i="8"/>
  <c r="C199" i="8"/>
  <c r="C204" i="8" s="1" a="1"/>
  <c r="D198" i="8" l="1"/>
  <c r="E198" i="8"/>
  <c r="C198" i="8"/>
  <c r="C197" i="8" s="1" a="1"/>
  <c r="C197" i="8" s="1"/>
  <c r="C204" i="8"/>
  <c r="E204" i="8"/>
  <c r="F204" i="8"/>
  <c r="D204" i="8"/>
  <c r="C203" i="8" a="1"/>
  <c r="C196" i="8" a="1"/>
  <c r="D197" i="8" l="1"/>
  <c r="F197" i="8"/>
  <c r="E197" i="8"/>
  <c r="F203" i="8"/>
  <c r="C209" i="8" s="1"/>
  <c r="E203" i="8"/>
  <c r="D203" i="8"/>
  <c r="C203" i="8"/>
  <c r="C202" i="8" a="1"/>
  <c r="F196" i="8"/>
  <c r="E196" i="8"/>
  <c r="C196" i="8"/>
  <c r="D196" i="8"/>
  <c r="H201" i="8" l="1"/>
  <c r="E202" i="8"/>
  <c r="D202" i="8"/>
  <c r="C202" i="8"/>
  <c r="F202" i="8"/>
  <c r="C208" i="8" s="1"/>
  <c r="C201" i="8" a="1"/>
  <c r="C201" i="8" l="1"/>
  <c r="E201" i="8"/>
  <c r="D201" i="8"/>
  <c r="F201" i="8"/>
  <c r="C207" i="8" s="1"/>
  <c r="C211" i="8" s="1"/>
  <c r="C214" i="8" s="1" a="1"/>
  <c r="C217" i="8" l="1"/>
  <c r="C215" i="8"/>
  <c r="C216" i="8"/>
  <c r="C214" i="8"/>
  <c r="G232" i="8" l="1" a="1"/>
  <c r="G232" i="8" s="1"/>
  <c r="G228" i="8" a="1"/>
  <c r="G228" i="8" s="1"/>
  <c r="G224" i="8" a="1"/>
  <c r="G224" i="8" s="1"/>
  <c r="G227" i="8" a="1"/>
  <c r="G227" i="8" s="1"/>
  <c r="G231" i="8" a="1"/>
  <c r="G231" i="8" s="1"/>
  <c r="G223" i="8" a="1"/>
  <c r="G223" i="8" s="1"/>
  <c r="C218" i="8"/>
  <c r="G230" i="8" a="1"/>
  <c r="G230" i="8" s="1"/>
  <c r="G226" i="8" a="1"/>
  <c r="G226" i="8" s="1"/>
  <c r="G229" i="8" a="1"/>
  <c r="G229" i="8" s="1"/>
  <c r="G225" i="8" a="1"/>
  <c r="G225" i="8" s="1"/>
  <c r="G235" i="8" l="1"/>
  <c r="G236" i="8" s="1"/>
  <c r="E235" i="8"/>
  <c r="C244" i="8" a="1"/>
  <c r="F235" i="8"/>
  <c r="G233" i="8"/>
  <c r="D235" i="8"/>
  <c r="C235" i="8"/>
  <c r="G234" i="8"/>
  <c r="C236" i="8" l="1"/>
  <c r="D236" i="8"/>
  <c r="G237" i="8"/>
  <c r="C237" i="8"/>
  <c r="C238" i="8"/>
  <c r="D238" i="8"/>
  <c r="D237" i="8"/>
  <c r="F236" i="8"/>
  <c r="C252" i="8"/>
  <c r="C244" i="8"/>
  <c r="C250" i="8"/>
  <c r="C251" i="8"/>
  <c r="C249" i="8"/>
  <c r="C253" i="8"/>
  <c r="C245" i="8"/>
  <c r="C248" i="8"/>
  <c r="C247" i="8"/>
  <c r="C246" i="8"/>
  <c r="E236" i="8"/>
  <c r="E237" i="8" l="1"/>
  <c r="E238" i="8"/>
  <c r="C255" i="8"/>
  <c r="C254" i="8"/>
  <c r="D256" i="8"/>
  <c r="C256" i="8"/>
  <c r="C257" i="8" s="1"/>
  <c r="E244" i="8" a="1"/>
  <c r="F238" i="8"/>
  <c r="F237" i="8"/>
  <c r="D257" i="8" l="1"/>
  <c r="D259" i="8" s="1"/>
  <c r="E249" i="8"/>
  <c r="E247" i="8"/>
  <c r="E248" i="8"/>
  <c r="E246" i="8"/>
  <c r="E250" i="8"/>
  <c r="E253" i="8"/>
  <c r="E245" i="8"/>
  <c r="E252" i="8"/>
  <c r="E244" i="8"/>
  <c r="E251" i="8"/>
  <c r="C258" i="8"/>
  <c r="D258" i="8" l="1"/>
  <c r="E254" i="8"/>
  <c r="E255" i="8"/>
  <c r="C127" i="5" l="1" a="1"/>
  <c r="C128" i="5" s="1"/>
  <c r="E100" i="5"/>
  <c r="D100" i="5"/>
  <c r="C100" i="5"/>
  <c r="F83" i="5"/>
  <c r="F82" i="5"/>
  <c r="F81" i="5"/>
  <c r="E76" i="5"/>
  <c r="D75" i="5"/>
  <c r="C74" i="5"/>
  <c r="F52" i="5"/>
  <c r="F51" i="5"/>
  <c r="F50" i="5"/>
  <c r="E45" i="5"/>
  <c r="D44" i="5"/>
  <c r="C43" i="5"/>
  <c r="F21" i="5"/>
  <c r="F20" i="5"/>
  <c r="F19" i="5"/>
  <c r="E14" i="5"/>
  <c r="D13" i="5"/>
  <c r="C12" i="5"/>
  <c r="C19" i="5" s="1" a="1"/>
  <c r="F100" i="5" l="1"/>
  <c r="D110" i="5"/>
  <c r="C110" i="5"/>
  <c r="C114" i="5" a="1"/>
  <c r="C114" i="5" s="1"/>
  <c r="C117" i="5" s="1" a="1"/>
  <c r="E110" i="5"/>
  <c r="C19" i="5"/>
  <c r="D20" i="5"/>
  <c r="E21" i="5"/>
  <c r="D21" i="5"/>
  <c r="E20" i="5"/>
  <c r="E19" i="5"/>
  <c r="D19" i="5"/>
  <c r="C21" i="5"/>
  <c r="C20" i="5"/>
  <c r="C145" i="5" a="1"/>
  <c r="C145" i="5" s="1"/>
  <c r="C50" i="5" a="1"/>
  <c r="D52" i="5" s="1"/>
  <c r="D128" i="5"/>
  <c r="C81" i="5" a="1"/>
  <c r="C81" i="5" s="1"/>
  <c r="C129" i="5"/>
  <c r="E128" i="5"/>
  <c r="F143" i="5"/>
  <c r="D129" i="5"/>
  <c r="C127" i="5"/>
  <c r="C146" i="5" s="1" a="1"/>
  <c r="C146" i="5" s="1"/>
  <c r="E129" i="5"/>
  <c r="D127" i="5"/>
  <c r="C133" i="5" a="1"/>
  <c r="E127" i="5"/>
  <c r="D82" i="5"/>
  <c r="E81" i="5"/>
  <c r="E83" i="5"/>
  <c r="E51" i="5"/>
  <c r="D50" i="5"/>
  <c r="E50" i="5"/>
  <c r="B19" i="5" l="1" a="1"/>
  <c r="C51" i="5"/>
  <c r="D51" i="5"/>
  <c r="C52" i="5"/>
  <c r="D83" i="5"/>
  <c r="C83" i="5"/>
  <c r="C50" i="5"/>
  <c r="B50" i="5" s="1" a="1"/>
  <c r="B51" i="5" s="1"/>
  <c r="C82" i="5"/>
  <c r="E82" i="5"/>
  <c r="E52" i="5"/>
  <c r="D81" i="5"/>
  <c r="E117" i="5"/>
  <c r="C117" i="5"/>
  <c r="D117" i="5"/>
  <c r="D133" i="5"/>
  <c r="E133" i="5"/>
  <c r="C133" i="5"/>
  <c r="C136" i="5" l="1" a="1"/>
  <c r="C136" i="5" s="1"/>
  <c r="C135" i="5" a="1"/>
  <c r="C135" i="5" s="1"/>
  <c r="B81" i="5" a="1"/>
  <c r="B81" i="5" s="1"/>
  <c r="B20" i="5"/>
  <c r="B19" i="5"/>
  <c r="B21" i="5"/>
  <c r="B50" i="5"/>
  <c r="B52" i="5"/>
  <c r="F133" i="5"/>
  <c r="B83" i="5"/>
  <c r="B82" i="5"/>
  <c r="B53" i="5"/>
  <c r="B56" i="5" s="1" a="1"/>
  <c r="B57" i="5" l="1"/>
  <c r="B58" i="5"/>
  <c r="B56" i="5"/>
  <c r="B22" i="5"/>
  <c r="B25" i="5" a="1"/>
  <c r="B84" i="5"/>
  <c r="B87" i="5" a="1"/>
  <c r="B27" i="5" l="1"/>
  <c r="B26" i="5"/>
  <c r="B25" i="5"/>
  <c r="C31" i="5" s="1"/>
  <c r="B87" i="5"/>
  <c r="B89" i="5"/>
  <c r="B88" i="5"/>
  <c r="C62" i="5" a="1"/>
  <c r="C62" i="5" s="1"/>
  <c r="C63" i="5" s="1"/>
  <c r="C61" i="5" a="1"/>
  <c r="C61" i="5" s="1"/>
  <c r="B59" i="5"/>
  <c r="C92" i="5" l="1" a="1"/>
  <c r="C92" i="5" s="1"/>
  <c r="B90" i="5"/>
  <c r="C93" i="5" a="1"/>
  <c r="C93" i="5" s="1"/>
  <c r="C94" i="5" s="1"/>
  <c r="B28" i="5"/>
  <c r="C30" i="5" a="1"/>
  <c r="C30" i="5" s="1"/>
  <c r="C32" i="5" l="1"/>
  <c r="C147" i="5"/>
  <c r="C148" i="5" s="1"/>
  <c r="C137" i="5"/>
  <c r="C138" i="5" s="1"/>
  <c r="G46" i="3"/>
  <c r="G47" i="3"/>
  <c r="G63" i="3"/>
  <c r="G64" i="3"/>
  <c r="G65" i="3"/>
  <c r="G66" i="3"/>
  <c r="G67" i="3"/>
  <c r="G68" i="3"/>
  <c r="G69" i="3"/>
  <c r="G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45" i="3"/>
  <c r="B39" i="3"/>
  <c r="F35" i="3" l="1"/>
  <c r="F27" i="3"/>
  <c r="C20" i="3"/>
  <c r="G18" i="3"/>
  <c r="E8" i="3"/>
  <c r="D8" i="3"/>
  <c r="D13" i="3" s="1"/>
  <c r="C8" i="3"/>
  <c r="E12" i="3" l="1"/>
  <c r="E11" i="3"/>
  <c r="C12" i="3"/>
  <c r="C13" i="3"/>
  <c r="D11" i="3"/>
  <c r="F66" i="3" l="1"/>
  <c r="F45" i="3"/>
  <c r="F67" i="3"/>
  <c r="F68" i="3"/>
  <c r="F46" i="3"/>
  <c r="F69" i="3"/>
  <c r="F47" i="3"/>
  <c r="F63" i="3"/>
  <c r="F64" i="3"/>
  <c r="F65" i="3"/>
  <c r="B37" i="3"/>
  <c r="B38" i="3" s="1"/>
  <c r="B29" i="3"/>
  <c r="B30" i="3" s="1"/>
  <c r="C21" i="3"/>
  <c r="C22" i="3" s="1"/>
  <c r="F13" i="2" l="1"/>
  <c r="F12" i="2"/>
  <c r="F11" i="2"/>
  <c r="F10" i="2"/>
  <c r="F9" i="2"/>
  <c r="F8" i="2"/>
  <c r="F7" i="2"/>
  <c r="F6" i="2"/>
  <c r="D13" i="2"/>
  <c r="D12" i="2"/>
  <c r="D11" i="2"/>
  <c r="D10" i="2"/>
  <c r="D9" i="2"/>
  <c r="D8" i="2"/>
  <c r="D7" i="2"/>
  <c r="D6" i="2"/>
  <c r="B19" i="2" s="1"/>
  <c r="F16" i="2" l="1"/>
  <c r="B20" i="2"/>
  <c r="D15" i="2"/>
  <c r="D14" i="2"/>
  <c r="D16" i="2"/>
  <c r="F14" i="2"/>
  <c r="F15" i="2"/>
</calcChain>
</file>

<file path=xl/sharedStrings.xml><?xml version="1.0" encoding="utf-8"?>
<sst xmlns="http://schemas.openxmlformats.org/spreadsheetml/2006/main" count="446" uniqueCount="247">
  <si>
    <t>ASSET B</t>
  </si>
  <si>
    <t>#</t>
  </si>
  <si>
    <t>Date</t>
  </si>
  <si>
    <t>Price</t>
  </si>
  <si>
    <r>
      <rPr>
        <b/>
        <sz val="11"/>
        <color rgb="FFFF0000"/>
        <rFont val="Calibri"/>
        <family val="2"/>
        <scheme val="minor"/>
      </rPr>
      <t>(5a)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Annual Returns</t>
    </r>
  </si>
  <si>
    <t>-</t>
  </si>
  <si>
    <t>(5b)</t>
  </si>
  <si>
    <t>mean return</t>
  </si>
  <si>
    <t>(5c)</t>
  </si>
  <si>
    <t>variance</t>
  </si>
  <si>
    <t>std</t>
  </si>
  <si>
    <t>(5d)</t>
  </si>
  <si>
    <t>correlation</t>
  </si>
  <si>
    <t>ASSET C</t>
  </si>
  <si>
    <t>covariance</t>
  </si>
  <si>
    <r>
      <rPr>
        <b/>
        <sz val="11"/>
        <color rgb="FFFF0000"/>
        <rFont val="Calibri"/>
        <family val="2"/>
        <scheme val="minor"/>
      </rPr>
      <t>(5a)</t>
    </r>
    <r>
      <rPr>
        <sz val="10"/>
        <color theme="1"/>
        <rFont val="Calibri"/>
        <family val="2"/>
        <scheme val="minor"/>
      </rPr>
      <t xml:space="preserve"> Annual Returns</t>
    </r>
  </si>
  <si>
    <t>(5e)</t>
  </si>
  <si>
    <t>I would choose asset C since it has a higher expected return and a lower volatlity annulized over 10 years</t>
  </si>
  <si>
    <t>Asset</t>
  </si>
  <si>
    <t>Exepected Return</t>
  </si>
  <si>
    <t>Variance</t>
  </si>
  <si>
    <t>Standard Deviation</t>
  </si>
  <si>
    <t>Weights</t>
  </si>
  <si>
    <t>E(return)</t>
  </si>
  <si>
    <t>*use this sum to 1 as a constraint when using Solver</t>
  </si>
  <si>
    <t>*Using solver we set the E(return) to max by changing cells B32 - D32 Subject now to 2 contraints. 1. The weights summ = 1 and 2. std dev = 0.3</t>
  </si>
  <si>
    <t>std dev</t>
  </si>
  <si>
    <t>sum</t>
  </si>
  <si>
    <t>Expected Return</t>
  </si>
  <si>
    <t>Assets 1 &amp; 2</t>
  </si>
  <si>
    <t>Assets 1 &amp; 3</t>
  </si>
  <si>
    <t>Assets 2 &amp; 3</t>
  </si>
  <si>
    <t>(a)</t>
  </si>
  <si>
    <t>Sum</t>
  </si>
  <si>
    <t>(b)</t>
  </si>
  <si>
    <t>(c)</t>
  </si>
  <si>
    <t>(d)</t>
  </si>
  <si>
    <t>sigma</t>
  </si>
  <si>
    <t>Correlation</t>
  </si>
  <si>
    <t>Covariance Mat</t>
  </si>
  <si>
    <t>SUM</t>
  </si>
  <si>
    <t>E(Return)</t>
  </si>
  <si>
    <t>...Weights fixed in this question</t>
  </si>
  <si>
    <t>…use solver</t>
  </si>
  <si>
    <t>Portfolio Variance</t>
  </si>
  <si>
    <t>Portfolio Std Dev</t>
  </si>
  <si>
    <t>*Using Solver we set the value of variance to min, by changing cells B27 - D27 subject to the sum = 1</t>
  </si>
  <si>
    <t>var</t>
  </si>
  <si>
    <t>weights</t>
  </si>
  <si>
    <t>( c )</t>
  </si>
  <si>
    <t>Risk-free Rate = 6%</t>
  </si>
  <si>
    <t>Asset A</t>
  </si>
  <si>
    <t>Asset B</t>
  </si>
  <si>
    <t>Asset C</t>
  </si>
  <si>
    <t>Risk-free Rate</t>
  </si>
  <si>
    <t>Covariance Matrix</t>
  </si>
  <si>
    <t>We want [Covariance Matrix][Weights] = [Expected Return - Risk-free Rate]</t>
  </si>
  <si>
    <r>
      <t>i.e. [Weights] = [Covariance Matrix]</t>
    </r>
    <r>
      <rPr>
        <i/>
        <vertAlign val="superscript"/>
        <sz val="11"/>
        <color rgb="FF7F7F7F"/>
        <rFont val="Calibri"/>
        <family val="2"/>
        <scheme val="minor"/>
      </rPr>
      <t>-1</t>
    </r>
    <r>
      <rPr>
        <i/>
        <sz val="11"/>
        <color rgb="FF7F7F7F"/>
        <rFont val="Calibri"/>
        <family val="2"/>
        <scheme val="minor"/>
      </rPr>
      <t>[Expected Return - Risk-free Rate]</t>
    </r>
  </si>
  <si>
    <t>[Weights]</t>
  </si>
  <si>
    <r>
      <t>[Covariance Matrix]</t>
    </r>
    <r>
      <rPr>
        <b/>
        <vertAlign val="superscript"/>
        <sz val="11"/>
        <color theme="0"/>
        <rFont val="Calibri"/>
        <family val="2"/>
        <scheme val="minor"/>
      </rPr>
      <t>-1</t>
    </r>
  </si>
  <si>
    <t>[Expected Return - Risk-free Rate]</t>
  </si>
  <si>
    <t>Check if weights add up to 1</t>
  </si>
  <si>
    <t>Normalised Weights</t>
  </si>
  <si>
    <t>Risk-free Rate = 8%</t>
  </si>
  <si>
    <t>This is the only value that changes!</t>
  </si>
  <si>
    <t>Risk-free Rate = 10%</t>
  </si>
  <si>
    <t>Market Proportion</t>
  </si>
  <si>
    <t>Covariance with M</t>
  </si>
  <si>
    <r>
      <rPr>
        <sz val="11"/>
        <color rgb="FF7F7F7F"/>
        <rFont val="Calibri"/>
        <family val="2"/>
      </rPr>
      <t>σ</t>
    </r>
    <r>
      <rPr>
        <i/>
        <vertAlign val="subscript"/>
        <sz val="11"/>
        <color rgb="FF7F7F7F"/>
        <rFont val="Calibri"/>
        <family val="2"/>
        <scheme val="minor"/>
      </rPr>
      <t>AM</t>
    </r>
  </si>
  <si>
    <r>
      <rPr>
        <sz val="11"/>
        <color rgb="FF7F7F7F"/>
        <rFont val="Calibri"/>
        <family val="2"/>
        <scheme val="minor"/>
      </rPr>
      <t>σ</t>
    </r>
    <r>
      <rPr>
        <i/>
        <vertAlign val="subscript"/>
        <sz val="11"/>
        <color rgb="FF7F7F7F"/>
        <rFont val="Calibri"/>
        <family val="2"/>
        <scheme val="minor"/>
      </rPr>
      <t>BM</t>
    </r>
  </si>
  <si>
    <r>
      <rPr>
        <sz val="11"/>
        <color rgb="FF7F7F7F"/>
        <rFont val="Calibri"/>
        <family val="2"/>
        <scheme val="minor"/>
      </rPr>
      <t>σ</t>
    </r>
    <r>
      <rPr>
        <i/>
        <vertAlign val="subscript"/>
        <sz val="11"/>
        <color rgb="FF7F7F7F"/>
        <rFont val="Calibri"/>
        <family val="2"/>
        <scheme val="minor"/>
      </rPr>
      <t>CM</t>
    </r>
  </si>
  <si>
    <t>Variance of M</t>
  </si>
  <si>
    <t>Beta</t>
  </si>
  <si>
    <r>
      <rPr>
        <sz val="11"/>
        <color rgb="FF7F7F7F"/>
        <rFont val="Calibri"/>
        <family val="2"/>
      </rPr>
      <t>β</t>
    </r>
    <r>
      <rPr>
        <i/>
        <vertAlign val="subscript"/>
        <sz val="11"/>
        <color rgb="FF7F7F7F"/>
        <rFont val="Calibri"/>
        <family val="2"/>
        <scheme val="minor"/>
      </rPr>
      <t>A</t>
    </r>
  </si>
  <si>
    <r>
      <rPr>
        <sz val="11"/>
        <color rgb="FF7F7F7F"/>
        <rFont val="Calibri"/>
        <family val="2"/>
      </rPr>
      <t>β</t>
    </r>
    <r>
      <rPr>
        <i/>
        <vertAlign val="subscript"/>
        <sz val="11"/>
        <color rgb="FF7F7F7F"/>
        <rFont val="Calibri"/>
        <family val="2"/>
        <scheme val="minor"/>
      </rPr>
      <t>B</t>
    </r>
  </si>
  <si>
    <r>
      <rPr>
        <sz val="11"/>
        <color rgb="FF7F7F7F"/>
        <rFont val="Calibri"/>
        <family val="2"/>
      </rPr>
      <t>β</t>
    </r>
    <r>
      <rPr>
        <i/>
        <vertAlign val="subscript"/>
        <sz val="11"/>
        <color rgb="FF7F7F7F"/>
        <rFont val="Calibri"/>
        <family val="2"/>
        <scheme val="minor"/>
      </rPr>
      <t>C</t>
    </r>
  </si>
  <si>
    <t>Assume the following expected rates of return, since none were given in the question</t>
  </si>
  <si>
    <t>Market Portfolio</t>
  </si>
  <si>
    <t>Sharpe Ratio</t>
  </si>
  <si>
    <t>Max Sharpe Ratio Portfolio</t>
  </si>
  <si>
    <r>
      <rPr>
        <sz val="11"/>
        <color rgb="FF7F7F7F"/>
        <rFont val="Calibri"/>
        <family val="2"/>
        <scheme val="minor"/>
      </rPr>
      <t>^</t>
    </r>
    <r>
      <rPr>
        <i/>
        <sz val="11"/>
        <color rgb="FF7F7F7F"/>
        <rFont val="Calibri"/>
        <family val="2"/>
        <scheme val="minor"/>
      </rPr>
      <t xml:space="preserve"> Slightly different setup here!
</t>
    </r>
    <r>
      <rPr>
        <i/>
        <sz val="11"/>
        <color rgb="FF7F7F7F"/>
        <rFont val="Calibri"/>
        <family val="2"/>
      </rPr>
      <t>ω</t>
    </r>
    <r>
      <rPr>
        <i/>
        <vertAlign val="subscript"/>
        <sz val="11"/>
        <color rgb="FF7F7F7F"/>
        <rFont val="Calibri"/>
        <family val="2"/>
        <scheme val="minor"/>
      </rPr>
      <t>C</t>
    </r>
    <r>
      <rPr>
        <i/>
        <sz val="11"/>
        <color rgb="FF7F7F7F"/>
        <rFont val="Calibri"/>
        <family val="2"/>
        <scheme val="minor"/>
      </rPr>
      <t xml:space="preserve"> = 1 - ω</t>
    </r>
    <r>
      <rPr>
        <i/>
        <vertAlign val="subscript"/>
        <sz val="11"/>
        <color rgb="FF7F7F7F"/>
        <rFont val="Calibri"/>
        <family val="2"/>
        <scheme val="minor"/>
      </rPr>
      <t>A</t>
    </r>
    <r>
      <rPr>
        <i/>
        <sz val="11"/>
        <color rgb="FF7F7F7F"/>
        <rFont val="Calibri"/>
        <family val="2"/>
        <scheme val="minor"/>
      </rPr>
      <t xml:space="preserve"> - ω</t>
    </r>
    <r>
      <rPr>
        <i/>
        <vertAlign val="subscript"/>
        <sz val="11"/>
        <color rgb="FF7F7F7F"/>
        <rFont val="Calibri"/>
        <family val="2"/>
        <scheme val="minor"/>
      </rPr>
      <t>B</t>
    </r>
    <r>
      <rPr>
        <i/>
        <sz val="11"/>
        <color rgb="FF7F7F7F"/>
        <rFont val="Calibri"/>
        <family val="2"/>
        <scheme val="minor"/>
      </rPr>
      <t xml:space="preserve">
and only </t>
    </r>
    <r>
      <rPr>
        <sz val="11"/>
        <color rgb="FF7F7F7F"/>
        <rFont val="Calibri"/>
        <family val="2"/>
        <scheme val="minor"/>
      </rPr>
      <t>ω</t>
    </r>
    <r>
      <rPr>
        <vertAlign val="subscript"/>
        <sz val="11"/>
        <color rgb="FF7F7F7F"/>
        <rFont val="Calibri"/>
        <family val="2"/>
        <scheme val="minor"/>
      </rPr>
      <t>A</t>
    </r>
    <r>
      <rPr>
        <sz val="11"/>
        <color rgb="FF7F7F7F"/>
        <rFont val="Calibri"/>
        <family val="2"/>
        <scheme val="minor"/>
      </rPr>
      <t xml:space="preserve"> &amp; ω</t>
    </r>
    <r>
      <rPr>
        <vertAlign val="subscript"/>
        <sz val="11"/>
        <color rgb="FF7F7F7F"/>
        <rFont val="Calibri"/>
        <family val="2"/>
        <scheme val="minor"/>
      </rPr>
      <t>B</t>
    </r>
    <r>
      <rPr>
        <i/>
        <sz val="11"/>
        <color rgb="FF7F7F7F"/>
        <rFont val="Calibri"/>
        <family val="2"/>
        <scheme val="minor"/>
      </rPr>
      <t xml:space="preserve"> used in solver</t>
    </r>
  </si>
  <si>
    <t>Use solver (see screenshot to the right)</t>
  </si>
  <si>
    <t>Tutorial 5 - Question 7</t>
  </si>
  <si>
    <r>
      <t>i.e. [Weights] = [Covariance Matrix]</t>
    </r>
    <r>
      <rPr>
        <i/>
        <vertAlign val="superscript"/>
        <sz val="11"/>
        <color rgb="FFFF0000"/>
        <rFont val="Calibri"/>
        <family val="2"/>
        <scheme val="minor"/>
      </rPr>
      <t>-1</t>
    </r>
    <r>
      <rPr>
        <i/>
        <sz val="11"/>
        <color rgb="FFFF0000"/>
        <rFont val="Calibri"/>
        <family val="2"/>
        <scheme val="minor"/>
      </rPr>
      <t>[Expected Return - Risk-free Rate]</t>
    </r>
  </si>
  <si>
    <t>Portfolio</t>
  </si>
  <si>
    <t>A</t>
  </si>
  <si>
    <t>B</t>
  </si>
  <si>
    <t>C</t>
  </si>
  <si>
    <t>=</t>
  </si>
  <si>
    <t>Example 1 Verify</t>
  </si>
  <si>
    <t>The system we want to solve:</t>
  </si>
  <si>
    <t>In matrix form:</t>
  </si>
  <si>
    <r>
      <rPr>
        <b/>
        <i/>
        <sz val="11"/>
        <color theme="0"/>
        <rFont val="Calibri"/>
        <family val="2"/>
        <scheme val="minor"/>
      </rPr>
      <t>b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vertAlign val="subscript"/>
        <sz val="11"/>
        <color theme="0"/>
        <rFont val="Calibri"/>
        <family val="2"/>
        <scheme val="minor"/>
      </rPr>
      <t>1</t>
    </r>
  </si>
  <si>
    <r>
      <rPr>
        <b/>
        <i/>
        <sz val="11"/>
        <color theme="0"/>
        <rFont val="Calibri"/>
        <family val="2"/>
        <scheme val="minor"/>
      </rPr>
      <t>b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vertAlign val="subscript"/>
        <sz val="11"/>
        <color theme="0"/>
        <rFont val="Calibri"/>
        <family val="2"/>
        <scheme val="minor"/>
      </rPr>
      <t>2</t>
    </r>
  </si>
  <si>
    <t>[Matrix of coefficients]</t>
  </si>
  <si>
    <t>[Lambdas]</t>
  </si>
  <si>
    <t>[Expected Returns]</t>
  </si>
  <si>
    <r>
      <t>λ</t>
    </r>
    <r>
      <rPr>
        <vertAlign val="subscript"/>
        <sz val="11"/>
        <color theme="1"/>
        <rFont val="Calibri"/>
        <family val="2"/>
        <scheme val="minor"/>
      </rPr>
      <t>0</t>
    </r>
  </si>
  <si>
    <r>
      <t>λ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</si>
  <si>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λ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</si>
  <si>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>Solving:</t>
  </si>
  <si>
    <r>
      <t>[Matrix of coefficients]</t>
    </r>
    <r>
      <rPr>
        <i/>
        <vertAlign val="superscript"/>
        <sz val="11"/>
        <color rgb="FF7F7F7F"/>
        <rFont val="Calibri"/>
        <family val="2"/>
        <scheme val="minor"/>
      </rPr>
      <t>-1</t>
    </r>
  </si>
  <si>
    <t>Equation of plane:</t>
  </si>
  <si>
    <t>Check if our plane gives the correct values for portfolios A, B &amp; C:</t>
  </si>
  <si>
    <t>Ex # 3 Ch 8 in D. Luenberger</t>
  </si>
  <si>
    <t>Year</t>
  </si>
  <si>
    <t>Stock 1</t>
  </si>
  <si>
    <t>Stock 2</t>
  </si>
  <si>
    <t>Stock 3</t>
  </si>
  <si>
    <t>Stock 4</t>
  </si>
  <si>
    <t>Market</t>
  </si>
  <si>
    <t>Riskless</t>
  </si>
  <si>
    <t>aver</t>
  </si>
  <si>
    <t>cov</t>
  </si>
  <si>
    <t>β</t>
  </si>
  <si>
    <t>α</t>
  </si>
  <si>
    <r>
      <t>e</t>
    </r>
    <r>
      <rPr>
        <sz val="11"/>
        <color theme="1"/>
        <rFont val="Calibri"/>
        <family val="2"/>
        <scheme val="minor"/>
      </rPr>
      <t>-var</t>
    </r>
  </si>
  <si>
    <t>Finding the eigenvalues (sort of)</t>
  </si>
  <si>
    <r>
      <t>Covariance Matrix (</t>
    </r>
    <r>
      <rPr>
        <b/>
        <i/>
        <sz val="11"/>
        <color theme="0"/>
        <rFont val="Calibri"/>
        <family val="2"/>
        <scheme val="minor"/>
      </rPr>
      <t>S</t>
    </r>
    <r>
      <rPr>
        <b/>
        <sz val="11"/>
        <color theme="0"/>
        <rFont val="Calibri"/>
        <family val="2"/>
        <scheme val="minor"/>
      </rPr>
      <t>)</t>
    </r>
  </si>
  <si>
    <r>
      <t>Identity Matrix (</t>
    </r>
    <r>
      <rPr>
        <b/>
        <i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</t>
    </r>
  </si>
  <si>
    <t>λ</t>
  </si>
  <si>
    <t>dummy value, just to start</t>
  </si>
  <si>
    <r>
      <rPr>
        <b/>
        <i/>
        <sz val="11"/>
        <color theme="0"/>
        <rFont val="Calibri"/>
        <family val="2"/>
        <scheme val="minor"/>
      </rPr>
      <t xml:space="preserve">S - </t>
    </r>
    <r>
      <rPr>
        <b/>
        <sz val="11"/>
        <color theme="0"/>
        <rFont val="Calibri"/>
        <family val="2"/>
      </rPr>
      <t>λ</t>
    </r>
    <r>
      <rPr>
        <b/>
        <i/>
        <sz val="11"/>
        <color theme="0"/>
        <rFont val="Calibri"/>
        <family val="2"/>
      </rPr>
      <t>I</t>
    </r>
  </si>
  <si>
    <r>
      <t>remember that an eigenvalue (</t>
    </r>
    <r>
      <rPr>
        <i/>
        <sz val="11"/>
        <color rgb="FF7F7F7F"/>
        <rFont val="Calibri"/>
        <family val="2"/>
      </rPr>
      <t>λ</t>
    </r>
    <r>
      <rPr>
        <i/>
        <sz val="11"/>
        <color rgb="FF7F7F7F"/>
        <rFont val="Calibri"/>
        <family val="2"/>
        <scheme val="minor"/>
      </rPr>
      <t>) is a solution to the equation: det(S - λI) = 0</t>
    </r>
  </si>
  <si>
    <r>
      <t>|</t>
    </r>
    <r>
      <rPr>
        <b/>
        <i/>
        <sz val="11"/>
        <color theme="0"/>
        <rFont val="Calibri"/>
        <family val="2"/>
      </rPr>
      <t>S</t>
    </r>
    <r>
      <rPr>
        <b/>
        <sz val="11"/>
        <color theme="0"/>
        <rFont val="Calibri"/>
        <family val="2"/>
      </rPr>
      <t xml:space="preserve"> - λ</t>
    </r>
    <r>
      <rPr>
        <b/>
        <i/>
        <sz val="11"/>
        <color theme="0"/>
        <rFont val="Calibri"/>
        <family val="2"/>
      </rPr>
      <t>I</t>
    </r>
    <r>
      <rPr>
        <b/>
        <sz val="11"/>
        <color theme="0"/>
        <rFont val="Calibri"/>
        <family val="2"/>
      </rPr>
      <t>|</t>
    </r>
  </si>
  <si>
    <t>we want this = 0</t>
  </si>
  <si>
    <r>
      <t xml:space="preserve">now use a data table to see where the determinant is zero (look for sign changes). We want the </t>
    </r>
    <r>
      <rPr>
        <b/>
        <i/>
        <sz val="11"/>
        <color rgb="FF7F7F7F"/>
        <rFont val="Calibri"/>
        <family val="2"/>
        <scheme val="minor"/>
      </rPr>
      <t>first</t>
    </r>
    <r>
      <rPr>
        <i/>
        <sz val="11"/>
        <color rgb="FF7F7F7F"/>
        <rFont val="Calibri"/>
        <family val="2"/>
        <scheme val="minor"/>
      </rPr>
      <t xml:space="preserve"> principle component, which corresponds to the </t>
    </r>
    <r>
      <rPr>
        <b/>
        <i/>
        <sz val="11"/>
        <color rgb="FF7F7F7F"/>
        <rFont val="Calibri"/>
        <family val="2"/>
        <scheme val="minor"/>
      </rPr>
      <t>largest</t>
    </r>
    <r>
      <rPr>
        <i/>
        <sz val="11"/>
        <color rgb="FF7F7F7F"/>
        <rFont val="Calibri"/>
        <family val="2"/>
        <scheme val="minor"/>
      </rPr>
      <t xml:space="preserve"> eigenvalue</t>
    </r>
  </si>
  <si>
    <t>I've used conditional formatting here to make it easier to spot the sign changes</t>
  </si>
  <si>
    <t>sign change here, so we know one eigenvalue is between 20 &amp; 25</t>
  </si>
  <si>
    <t>sign change here, so we know another eigenvalue is between 35 &amp; 40</t>
  </si>
  <si>
    <t>sign change here, so we know yet another eigenvalue is between 55 &amp; 60</t>
  </si>
  <si>
    <t>last sign change here, so we know our final (and largest) eigenvalue is between 310 &amp; 315. This is the one we want</t>
  </si>
  <si>
    <t xml:space="preserve">remember that the number of eigenvalues of a square matrix is the same as the number of rows (or columns) </t>
  </si>
  <si>
    <t>Finding the largest eigenvalue</t>
  </si>
  <si>
    <t>now we can use solver to find the exact value of the largest eigenvalue</t>
  </si>
  <si>
    <t>start off by setting lambda equal to a value close to the value we want. We know the eigenvalue is between 310 &amp; 315, so let's set this to 315</t>
  </si>
  <si>
    <t>now use solver to get this determinant to equal 0 (see screenshot to the right)</t>
  </si>
  <si>
    <t>note: if you are not happy with |S - λI| = -37,0575, then you can run solver again</t>
  </si>
  <si>
    <t>(this does not change the final answer for lambda by much though:</t>
  </si>
  <si>
    <t>311,167366618141 vs 311,167368463099)</t>
  </si>
  <si>
    <t>Finding the corresponding eigenvector</t>
  </si>
  <si>
    <t>remember that an eigenvector (v) satisfies Sv = λv, which we can rewrite as (S - λI)v = 0</t>
  </si>
  <si>
    <t>since |S - λI| = 0, S - λI does not have an inverse and we cannot use the method from the example</t>
  </si>
  <si>
    <t>instead, we can use Excel to help us perform Gaussian elimination to solve the equation</t>
  </si>
  <si>
    <t>Our matrix:</t>
  </si>
  <si>
    <t>(note that since the RHS of the equation is a zero vector, it will stay a zero vector no matter which elementary row operations we use, so we can leave it out of our workings)</t>
  </si>
  <si>
    <t>Performing Gauss-Jordan elimination:</t>
  </si>
  <si>
    <t>R2 -</t>
  </si>
  <si>
    <t>*R1</t>
  </si>
  <si>
    <t>R3 -</t>
  </si>
  <si>
    <t>R4 -</t>
  </si>
  <si>
    <t>*R2</t>
  </si>
  <si>
    <t>*R3</t>
  </si>
  <si>
    <t>note: this number is essentially zero, so we have a zero row (the only reason it's not 0 is because of the way computers do math)</t>
  </si>
  <si>
    <t>R1 -</t>
  </si>
  <si>
    <t>This gives a vector of:</t>
  </si>
  <si>
    <t>set this equal to 1 (as a dummy entry), since we have a zero row</t>
  </si>
  <si>
    <t>Our resultant (normalised) eigenvector:</t>
  </si>
  <si>
    <t>v1</t>
  </si>
  <si>
    <t>v2</t>
  </si>
  <si>
    <t>v3</t>
  </si>
  <si>
    <t>v4</t>
  </si>
  <si>
    <t>just to check :)</t>
  </si>
  <si>
    <t>Checking if first principal component is a good factor</t>
  </si>
  <si>
    <t>Factor*</t>
  </si>
  <si>
    <t>*Factor = First Principal Component</t>
  </si>
  <si>
    <t>b</t>
  </si>
  <si>
    <t>a</t>
  </si>
  <si>
    <t>compare these e-var values to the values in the textbook (where the market return is used as the factor). Which would you say is a better factor?</t>
  </si>
  <si>
    <t>Comparing first principal component to market returns</t>
  </si>
  <si>
    <t>Factor</t>
  </si>
  <si>
    <t>Diff*</t>
  </si>
  <si>
    <t>*Difference = Factor - Market</t>
  </si>
  <si>
    <t>note that the difference between the factor (first principal component) and the market returns is really not that much</t>
  </si>
  <si>
    <t>also note that since we normalised the eigenvector, the first principal component is actually a valid portfolio!</t>
  </si>
  <si>
    <t>therefore, if we wish to track/replicate the market portfolio, we could use this first principal component portfolio :)</t>
  </si>
  <si>
    <t>Utility function</t>
  </si>
  <si>
    <t>U(x)=x^(1/4)</t>
  </si>
  <si>
    <t>Base salary</t>
  </si>
  <si>
    <t>Bonus distribution</t>
  </si>
  <si>
    <t>Bonus</t>
  </si>
  <si>
    <t>Probability</t>
  </si>
  <si>
    <t>Total distribution</t>
  </si>
  <si>
    <t>Total</t>
  </si>
  <si>
    <t>Utility distribution</t>
  </si>
  <si>
    <t>Utility</t>
  </si>
  <si>
    <t>Expected utility</t>
  </si>
  <si>
    <t>=E[U(X)]</t>
  </si>
  <si>
    <t>Certainty equivalent calculation (inverse function)</t>
  </si>
  <si>
    <t>U(c)</t>
  </si>
  <si>
    <t>set = E[U(X)]</t>
  </si>
  <si>
    <t>c</t>
  </si>
  <si>
    <t>=U(c)^4   from   U(c)=c^(1/4)</t>
  </si>
  <si>
    <t>Certainty equivalent calculation (goal seek)</t>
  </si>
  <si>
    <t>value for goal seek</t>
  </si>
  <si>
    <t>Question D</t>
  </si>
  <si>
    <t>Question E</t>
  </si>
  <si>
    <t>Parameters</t>
  </si>
  <si>
    <t>Annual contribution</t>
  </si>
  <si>
    <t>Loan amount</t>
  </si>
  <si>
    <t>Loan rate</t>
  </si>
  <si>
    <t>Asset returns p.a.</t>
  </si>
  <si>
    <t>Simulation</t>
  </si>
  <si>
    <t>1.</t>
  </si>
  <si>
    <t>Fund values</t>
  </si>
  <si>
    <t>Average</t>
  </si>
  <si>
    <t>2.</t>
  </si>
  <si>
    <t>P(X &gt; 70000)</t>
  </si>
  <si>
    <t>3.</t>
  </si>
  <si>
    <t>1/1000*x</t>
  </si>
  <si>
    <t>for x &lt;= 70000</t>
  </si>
  <si>
    <t>for x &gt; 70000</t>
  </si>
  <si>
    <t>Distribution of utility</t>
  </si>
  <si>
    <t>Expected Utility</t>
  </si>
  <si>
    <t>4.</t>
  </si>
  <si>
    <t>Outstanding loan amounts</t>
  </si>
  <si>
    <t>Final retirement fund values</t>
  </si>
  <si>
    <t>Final amount</t>
  </si>
  <si>
    <t>Uniform distribution</t>
  </si>
  <si>
    <t>Single premium</t>
  </si>
  <si>
    <t>Annual premium</t>
  </si>
  <si>
    <t>t</t>
  </si>
  <si>
    <r>
      <t>E(A</t>
    </r>
    <r>
      <rPr>
        <b/>
        <vertAlign val="subscript"/>
        <sz val="11"/>
        <color theme="0"/>
        <rFont val="Calibri"/>
        <family val="2"/>
        <scheme val="minor"/>
      </rPr>
      <t>t</t>
    </r>
    <r>
      <rPr>
        <b/>
        <sz val="11"/>
        <color theme="0"/>
        <rFont val="Calibri"/>
        <family val="2"/>
        <scheme val="minor"/>
      </rPr>
      <t>) = µ</t>
    </r>
    <r>
      <rPr>
        <b/>
        <vertAlign val="subscript"/>
        <sz val="11"/>
        <color theme="0"/>
        <rFont val="Calibri"/>
        <family val="2"/>
        <scheme val="minor"/>
      </rPr>
      <t>t</t>
    </r>
  </si>
  <si>
    <r>
      <t>E(A</t>
    </r>
    <r>
      <rPr>
        <b/>
        <vertAlign val="subscript"/>
        <sz val="11"/>
        <color theme="0"/>
        <rFont val="Calibri"/>
        <family val="2"/>
        <scheme val="minor"/>
      </rPr>
      <t>t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 = m</t>
    </r>
    <r>
      <rPr>
        <b/>
        <vertAlign val="subscript"/>
        <sz val="11"/>
        <color theme="0"/>
        <rFont val="Calibri"/>
        <family val="2"/>
        <scheme val="minor"/>
      </rPr>
      <t>t</t>
    </r>
  </si>
  <si>
    <r>
      <t>var(A</t>
    </r>
    <r>
      <rPr>
        <b/>
        <vertAlign val="subscript"/>
        <sz val="11"/>
        <color theme="0"/>
        <rFont val="Calibri"/>
        <family val="2"/>
        <scheme val="minor"/>
      </rPr>
      <t>t</t>
    </r>
    <r>
      <rPr>
        <b/>
        <sz val="11"/>
        <color theme="0"/>
        <rFont val="Calibri"/>
        <family val="2"/>
        <scheme val="minor"/>
      </rPr>
      <t>)</t>
    </r>
  </si>
  <si>
    <t>j</t>
  </si>
  <si>
    <r>
      <t>s</t>
    </r>
    <r>
      <rPr>
        <b/>
        <vertAlign val="superscript"/>
        <sz val="11"/>
        <color theme="0"/>
        <rFont val="Calibri"/>
        <family val="2"/>
        <scheme val="minor"/>
      </rPr>
      <t>2</t>
    </r>
  </si>
  <si>
    <r>
      <t>(1 + 2j + j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+s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</si>
  <si>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t>Discrete distribution</t>
  </si>
  <si>
    <t>Annual premium of 1</t>
  </si>
  <si>
    <t>Annual premium of 50 000</t>
  </si>
  <si>
    <t>i</t>
  </si>
  <si>
    <t>p(i)</t>
  </si>
  <si>
    <t>Annual amount</t>
  </si>
  <si>
    <t>Uniform Distribution</t>
  </si>
  <si>
    <t>Discrete Distribution</t>
  </si>
  <si>
    <r>
      <t>E(A</t>
    </r>
    <r>
      <rPr>
        <b/>
        <vertAlign val="subscript"/>
        <sz val="10"/>
        <color theme="0"/>
        <rFont val="Calibri"/>
        <family val="2"/>
        <scheme val="minor"/>
      </rPr>
      <t>t</t>
    </r>
    <r>
      <rPr>
        <b/>
        <sz val="10"/>
        <color theme="0"/>
        <rFont val="Calibri"/>
        <family val="2"/>
        <scheme val="minor"/>
      </rPr>
      <t>) = µ</t>
    </r>
    <r>
      <rPr>
        <b/>
        <vertAlign val="subscript"/>
        <sz val="10"/>
        <color theme="0"/>
        <rFont val="Calibri"/>
        <family val="2"/>
        <scheme val="minor"/>
      </rPr>
      <t>t</t>
    </r>
  </si>
  <si>
    <r>
      <t>E(A</t>
    </r>
    <r>
      <rPr>
        <b/>
        <vertAlign val="subscript"/>
        <sz val="10"/>
        <color theme="0"/>
        <rFont val="Calibri"/>
        <family val="2"/>
        <scheme val="minor"/>
      </rPr>
      <t>t</t>
    </r>
    <r>
      <rPr>
        <b/>
        <vertAlign val="superscript"/>
        <sz val="10"/>
        <color theme="0"/>
        <rFont val="Calibri"/>
        <family val="2"/>
        <scheme val="minor"/>
      </rPr>
      <t>2</t>
    </r>
    <r>
      <rPr>
        <b/>
        <sz val="10"/>
        <color theme="0"/>
        <rFont val="Calibri"/>
        <family val="2"/>
        <scheme val="minor"/>
      </rPr>
      <t>) = m</t>
    </r>
    <r>
      <rPr>
        <b/>
        <vertAlign val="subscript"/>
        <sz val="10"/>
        <color theme="0"/>
        <rFont val="Calibri"/>
        <family val="2"/>
        <scheme val="minor"/>
      </rPr>
      <t>t</t>
    </r>
  </si>
  <si>
    <r>
      <t>var(A</t>
    </r>
    <r>
      <rPr>
        <b/>
        <vertAlign val="subscript"/>
        <sz val="10"/>
        <color theme="0"/>
        <rFont val="Calibri"/>
        <family val="2"/>
        <scheme val="minor"/>
      </rPr>
      <t>t</t>
    </r>
    <r>
      <rPr>
        <b/>
        <sz val="10"/>
        <color theme="0"/>
        <rFont val="Calibri"/>
        <family val="2"/>
        <scheme val="minor"/>
      </rPr>
      <t>)</t>
    </r>
  </si>
  <si>
    <r>
      <t>E(S</t>
    </r>
    <r>
      <rPr>
        <b/>
        <vertAlign val="subscript"/>
        <sz val="10"/>
        <color theme="0"/>
        <rFont val="Calibri"/>
        <family val="2"/>
        <scheme val="minor"/>
      </rPr>
      <t>t</t>
    </r>
    <r>
      <rPr>
        <b/>
        <sz val="10"/>
        <color theme="0"/>
        <rFont val="Calibri"/>
        <family val="2"/>
        <scheme val="minor"/>
      </rPr>
      <t>) = µ</t>
    </r>
    <r>
      <rPr>
        <b/>
        <vertAlign val="subscript"/>
        <sz val="10"/>
        <color theme="0"/>
        <rFont val="Calibri"/>
        <family val="2"/>
        <scheme val="minor"/>
      </rPr>
      <t>t</t>
    </r>
  </si>
  <si>
    <r>
      <t>var(S</t>
    </r>
    <r>
      <rPr>
        <b/>
        <vertAlign val="subscript"/>
        <sz val="10"/>
        <color theme="0"/>
        <rFont val="Calibri"/>
        <family val="2"/>
        <scheme val="minor"/>
      </rPr>
      <t>t</t>
    </r>
    <r>
      <rPr>
        <b/>
        <sz val="10"/>
        <color theme="0"/>
        <rFont val="Calibri"/>
        <family val="2"/>
        <scheme val="minor"/>
      </rPr>
      <t>)</t>
    </r>
  </si>
  <si>
    <t>Stochastic Interest Rate Models</t>
  </si>
  <si>
    <t>Risk Measures</t>
  </si>
  <si>
    <t>Models of Asset Returns</t>
  </si>
  <si>
    <t>CAPM</t>
  </si>
  <si>
    <t>MVP Theory 2</t>
  </si>
  <si>
    <t>MVP Theory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</si>
</sst>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R&quot;#,##0;[Red]\-&quot;R&quot;#,##0"/>
    <numFmt numFmtId="43" formatCode="_-* #,##0.00_-;\-* #,##0.00_-;_-* &quot;-&quot;??_-;_-@_-"/>
    <numFmt numFmtId="164" formatCode="0.000"/>
    <numFmt numFmtId="165" formatCode="0.0000"/>
    <numFmt numFmtId="166" formatCode="0.000000"/>
    <numFmt numFmtId="167" formatCode="0.0"/>
    <numFmt numFmtId="168" formatCode="0.00000"/>
    <numFmt numFmtId="169" formatCode="_-[$$-409]* #,##0.00_ ;_-[$$-409]* \-#,##0.00\ ;_-[$$-409]* &quot;-&quot;??_ ;_-@_ "/>
    <numFmt numFmtId="170" formatCode="0.00_);\(0.00\)"/>
    <numFmt numFmtId="171" formatCode="_-* #,##0.00000_-;\-* #,##0.00000_-;_-* &quot;-&quot;??_-;_-@_-"/>
    <numFmt numFmtId="172" formatCode="_-* #,##0.000000_-;\-* #,##0.000000_-;_-* &quot;-&quot;??_-;_-@_-"/>
    <numFmt numFmtId="173" formatCode="_-[$£-809]* #,##0.00_-;\-[$£-809]* #,##0.00_-;_-[$£-809]* &quot;-&quot;??_-;_-@_-"/>
    <numFmt numFmtId="174" formatCode="_-[$£-809]* #,##0_-;\-[$£-809]* #,##0_-;_-[$£-809]* &quot;-&quot;??_-;_-@_-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vertAlign val="superscript"/>
      <sz val="11"/>
      <color rgb="FF7F7F7F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  <font>
      <sz val="11"/>
      <color rgb="FF7F7F7F"/>
      <name val="Calibri"/>
      <family val="2"/>
    </font>
    <font>
      <i/>
      <vertAlign val="subscript"/>
      <sz val="11"/>
      <color rgb="FF7F7F7F"/>
      <name val="Calibri"/>
      <family val="2"/>
      <scheme val="minor"/>
    </font>
    <font>
      <sz val="11"/>
      <color rgb="FF7F7F7F"/>
      <name val="Calibri"/>
      <family val="2"/>
      <scheme val="minor"/>
    </font>
    <font>
      <i/>
      <sz val="11"/>
      <color rgb="FF7F7F7F"/>
      <name val="Calibri"/>
      <family val="2"/>
    </font>
    <font>
      <vertAlign val="subscript"/>
      <sz val="11"/>
      <color rgb="FF7F7F7F"/>
      <name val="Calibri"/>
      <family val="2"/>
      <scheme val="minor"/>
    </font>
    <font>
      <i/>
      <vertAlign val="superscript"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3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vertAlign val="subscript"/>
      <sz val="11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</font>
    <font>
      <b/>
      <i/>
      <sz val="11"/>
      <color theme="0"/>
      <name val="Calibri"/>
      <family val="2"/>
    </font>
    <font>
      <b/>
      <i/>
      <sz val="11"/>
      <color rgb="FF7F7F7F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vertAlign val="subscript"/>
      <sz val="10"/>
      <color theme="0"/>
      <name val="Calibri"/>
      <family val="2"/>
      <scheme val="minor"/>
    </font>
    <font>
      <b/>
      <vertAlign val="superscript"/>
      <sz val="10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6"/>
        <bgColor theme="4"/>
      </patternFill>
    </fill>
    <fill>
      <patternFill patternType="solid">
        <fgColor theme="6" tint="0.79998168889431442"/>
        <bgColor theme="0" tint="-0.14999847407452621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auto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1"/>
      </left>
      <right/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34" fillId="0" borderId="0" applyNumberFormat="0" applyFill="0" applyBorder="0" applyAlignment="0" applyProtection="0"/>
    <xf numFmtId="0" fontId="41" fillId="0" borderId="38" applyNumberFormat="0" applyFill="0" applyAlignment="0" applyProtection="0"/>
    <xf numFmtId="43" fontId="1" fillId="0" borderId="0" applyFont="0" applyFill="0" applyBorder="0" applyAlignment="0" applyProtection="0"/>
  </cellStyleXfs>
  <cellXfs count="264">
    <xf numFmtId="0" fontId="0" fillId="0" borderId="0" xfId="0"/>
    <xf numFmtId="10" fontId="0" fillId="0" borderId="0" xfId="0" applyNumberFormat="1"/>
    <xf numFmtId="0" fontId="3" fillId="0" borderId="3" xfId="0" applyFont="1" applyBorder="1" applyAlignment="1">
      <alignment horizontal="center" vertical="center" wrapText="1"/>
    </xf>
    <xf numFmtId="10" fontId="4" fillId="0" borderId="3" xfId="0" applyNumberFormat="1" applyFont="1" applyBorder="1" applyAlignment="1">
      <alignment vertical="center" wrapText="1"/>
    </xf>
    <xf numFmtId="0" fontId="4" fillId="0" borderId="4" xfId="0" applyFont="1" applyBorder="1" applyAlignment="1">
      <alignment horizontal="center"/>
    </xf>
    <xf numFmtId="15" fontId="4" fillId="0" borderId="4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10" fontId="4" fillId="0" borderId="4" xfId="0" applyNumberFormat="1" applyFont="1" applyBorder="1" applyAlignment="1">
      <alignment horizontal="right"/>
    </xf>
    <xf numFmtId="10" fontId="4" fillId="0" borderId="4" xfId="0" applyNumberFormat="1" applyFont="1" applyBorder="1"/>
    <xf numFmtId="0" fontId="4" fillId="0" borderId="5" xfId="0" applyFont="1" applyBorder="1" applyAlignment="1">
      <alignment horizontal="center"/>
    </xf>
    <xf numFmtId="15" fontId="4" fillId="0" borderId="5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10" fontId="4" fillId="0" borderId="5" xfId="0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0" fontId="4" fillId="0" borderId="0" xfId="0" applyNumberFormat="1" applyFont="1"/>
    <xf numFmtId="0" fontId="6" fillId="0" borderId="0" xfId="0" applyFont="1"/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2" fillId="0" borderId="2" xfId="0" applyFont="1" applyBorder="1"/>
    <xf numFmtId="15" fontId="4" fillId="0" borderId="0" xfId="0" applyNumberFormat="1" applyFont="1" applyAlignment="1">
      <alignment horizontal="center"/>
    </xf>
    <xf numFmtId="0" fontId="4" fillId="0" borderId="0" xfId="0" applyFont="1"/>
    <xf numFmtId="0" fontId="8" fillId="0" borderId="0" xfId="0" applyFont="1"/>
    <xf numFmtId="0" fontId="0" fillId="2" borderId="0" xfId="0" applyFill="1"/>
    <xf numFmtId="0" fontId="9" fillId="0" borderId="0" xfId="0" applyFont="1"/>
    <xf numFmtId="0" fontId="0" fillId="0" borderId="9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13" fillId="0" borderId="0" xfId="0" applyFont="1"/>
    <xf numFmtId="0" fontId="12" fillId="0" borderId="0" xfId="0" applyFont="1" applyAlignment="1">
      <alignment horizontal="left" vertical="center"/>
    </xf>
    <xf numFmtId="0" fontId="0" fillId="0" borderId="17" xfId="0" applyBorder="1"/>
    <xf numFmtId="0" fontId="12" fillId="0" borderId="0" xfId="0" applyFont="1"/>
    <xf numFmtId="0" fontId="14" fillId="0" borderId="0" xfId="0" applyFont="1"/>
    <xf numFmtId="0" fontId="15" fillId="0" borderId="0" xfId="0" applyFont="1"/>
    <xf numFmtId="10" fontId="0" fillId="0" borderId="0" xfId="1" applyNumberFormat="1" applyFont="1"/>
    <xf numFmtId="9" fontId="0" fillId="0" borderId="0" xfId="1" applyFont="1"/>
    <xf numFmtId="0" fontId="16" fillId="0" borderId="0" xfId="0" applyFont="1"/>
    <xf numFmtId="0" fontId="10" fillId="3" borderId="18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19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7" fillId="0" borderId="0" xfId="2" applyAlignment="1"/>
    <xf numFmtId="0" fontId="17" fillId="0" borderId="0" xfId="2" applyAlignment="1">
      <alignment horizontal="right"/>
    </xf>
    <xf numFmtId="164" fontId="0" fillId="0" borderId="4" xfId="0" applyNumberFormat="1" applyBorder="1"/>
    <xf numFmtId="164" fontId="0" fillId="0" borderId="5" xfId="0" applyNumberFormat="1" applyBorder="1"/>
    <xf numFmtId="0" fontId="19" fillId="0" borderId="26" xfId="0" applyFont="1" applyBorder="1" applyAlignment="1">
      <alignment horizontal="center"/>
    </xf>
    <xf numFmtId="0" fontId="19" fillId="0" borderId="26" xfId="1" applyNumberFormat="1" applyFont="1" applyFill="1" applyBorder="1" applyAlignment="1">
      <alignment horizontal="center"/>
    </xf>
    <xf numFmtId="164" fontId="0" fillId="0" borderId="16" xfId="0" applyNumberFormat="1" applyBorder="1"/>
    <xf numFmtId="0" fontId="3" fillId="5" borderId="26" xfId="0" applyFont="1" applyFill="1" applyBorder="1" applyAlignment="1">
      <alignment horizontal="center" vertical="center"/>
    </xf>
    <xf numFmtId="0" fontId="20" fillId="6" borderId="6" xfId="0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/>
    </xf>
    <xf numFmtId="0" fontId="20" fillId="6" borderId="8" xfId="0" applyFont="1" applyFill="1" applyBorder="1" applyAlignment="1">
      <alignment horizontal="center" vertical="center"/>
    </xf>
    <xf numFmtId="0" fontId="20" fillId="6" borderId="3" xfId="0" applyFont="1" applyFill="1" applyBorder="1" applyAlignment="1">
      <alignment horizontal="center" vertical="center"/>
    </xf>
    <xf numFmtId="0" fontId="20" fillId="6" borderId="29" xfId="0" applyFont="1" applyFill="1" applyBorder="1" applyAlignment="1">
      <alignment horizontal="left"/>
    </xf>
    <xf numFmtId="0" fontId="20" fillId="6" borderId="30" xfId="0" applyFont="1" applyFill="1" applyBorder="1" applyAlignment="1">
      <alignment horizontal="left"/>
    </xf>
    <xf numFmtId="0" fontId="20" fillId="6" borderId="31" xfId="0" applyFont="1" applyFill="1" applyBorder="1" applyAlignment="1">
      <alignment horizontal="left"/>
    </xf>
    <xf numFmtId="0" fontId="21" fillId="0" borderId="0" xfId="0" applyFont="1"/>
    <xf numFmtId="0" fontId="0" fillId="0" borderId="26" xfId="0" applyBorder="1"/>
    <xf numFmtId="0" fontId="20" fillId="6" borderId="26" xfId="0" applyFont="1" applyFill="1" applyBorder="1"/>
    <xf numFmtId="0" fontId="0" fillId="0" borderId="33" xfId="0" applyBorder="1"/>
    <xf numFmtId="0" fontId="0" fillId="0" borderId="32" xfId="0" applyBorder="1"/>
    <xf numFmtId="0" fontId="7" fillId="6" borderId="0" xfId="0" applyFont="1" applyFill="1" applyAlignment="1">
      <alignment horizontal="center"/>
    </xf>
    <xf numFmtId="0" fontId="22" fillId="0" borderId="0" xfId="0" applyFont="1"/>
    <xf numFmtId="0" fontId="0" fillId="7" borderId="0" xfId="0" applyFill="1"/>
    <xf numFmtId="0" fontId="7" fillId="0" borderId="0" xfId="0" applyFont="1"/>
    <xf numFmtId="0" fontId="23" fillId="0" borderId="0" xfId="0" applyFont="1" applyAlignment="1">
      <alignment horizontal="center" vertical="center"/>
    </xf>
    <xf numFmtId="164" fontId="0" fillId="0" borderId="26" xfId="1" applyNumberFormat="1" applyFont="1" applyFill="1" applyBorder="1"/>
    <xf numFmtId="0" fontId="7" fillId="6" borderId="0" xfId="0" applyFont="1" applyFill="1" applyAlignment="1">
      <alignment horizontal="right"/>
    </xf>
    <xf numFmtId="0" fontId="7" fillId="6" borderId="0" xfId="0" applyFont="1" applyFill="1" applyAlignment="1">
      <alignment horizontal="right" vertical="center"/>
    </xf>
    <xf numFmtId="165" fontId="0" fillId="0" borderId="26" xfId="0" applyNumberFormat="1" applyBorder="1"/>
    <xf numFmtId="0" fontId="7" fillId="6" borderId="0" xfId="0" applyFont="1" applyFill="1" applyAlignment="1">
      <alignment horizontal="center" vertical="center"/>
    </xf>
    <xf numFmtId="0" fontId="7" fillId="6" borderId="0" xfId="0" applyFont="1" applyFill="1"/>
    <xf numFmtId="0" fontId="12" fillId="0" borderId="0" xfId="0" applyFont="1" applyAlignment="1">
      <alignment horizontal="center" vertical="center"/>
    </xf>
    <xf numFmtId="0" fontId="11" fillId="0" borderId="0" xfId="0" applyFont="1"/>
    <xf numFmtId="0" fontId="7" fillId="6" borderId="26" xfId="0" applyFont="1" applyFill="1" applyBorder="1" applyAlignment="1">
      <alignment horizontal="center"/>
    </xf>
    <xf numFmtId="0" fontId="7" fillId="6" borderId="26" xfId="0" applyFont="1" applyFill="1" applyBorder="1" applyAlignment="1">
      <alignment horizontal="center" vertical="center"/>
    </xf>
    <xf numFmtId="0" fontId="0" fillId="0" borderId="35" xfId="0" applyBorder="1"/>
    <xf numFmtId="2" fontId="0" fillId="0" borderId="26" xfId="0" applyNumberFormat="1" applyBorder="1"/>
    <xf numFmtId="2" fontId="0" fillId="0" borderId="0" xfId="0" applyNumberFormat="1"/>
    <xf numFmtId="0" fontId="7" fillId="6" borderId="27" xfId="0" applyFont="1" applyFill="1" applyBorder="1" applyAlignment="1">
      <alignment horizontal="center" vertical="center"/>
    </xf>
    <xf numFmtId="164" fontId="0" fillId="0" borderId="27" xfId="1" applyNumberFormat="1" applyFont="1" applyFill="1" applyBorder="1"/>
    <xf numFmtId="0" fontId="7" fillId="6" borderId="28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4" xfId="0" applyBorder="1"/>
    <xf numFmtId="165" fontId="0" fillId="0" borderId="26" xfId="1" applyNumberFormat="1" applyFont="1" applyFill="1" applyBorder="1"/>
    <xf numFmtId="2" fontId="0" fillId="0" borderId="34" xfId="0" applyNumberFormat="1" applyBorder="1"/>
    <xf numFmtId="0" fontId="0" fillId="0" borderId="19" xfId="0" applyBorder="1" applyAlignment="1">
      <alignment horizontal="center"/>
    </xf>
    <xf numFmtId="0" fontId="17" fillId="0" borderId="0" xfId="2" applyAlignment="1">
      <alignment horizontal="center"/>
    </xf>
    <xf numFmtId="0" fontId="0" fillId="0" borderId="15" xfId="0" applyBorder="1" applyAlignment="1">
      <alignment horizontal="center"/>
    </xf>
    <xf numFmtId="0" fontId="17" fillId="0" borderId="0" xfId="2"/>
    <xf numFmtId="0" fontId="10" fillId="8" borderId="25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66" fontId="0" fillId="0" borderId="2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4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10" fillId="8" borderId="20" xfId="0" applyFont="1" applyFill="1" applyBorder="1" applyAlignment="1">
      <alignment horizontal="center"/>
    </xf>
    <xf numFmtId="166" fontId="0" fillId="9" borderId="18" xfId="0" applyNumberFormat="1" applyFill="1" applyBorder="1" applyAlignment="1">
      <alignment horizontal="center"/>
    </xf>
    <xf numFmtId="166" fontId="0" fillId="9" borderId="0" xfId="0" applyNumberFormat="1" applyFill="1" applyAlignment="1">
      <alignment horizontal="center"/>
    </xf>
    <xf numFmtId="166" fontId="0" fillId="9" borderId="19" xfId="0" applyNumberFormat="1" applyFill="1" applyBorder="1" applyAlignment="1">
      <alignment horizontal="center"/>
    </xf>
    <xf numFmtId="2" fontId="0" fillId="10" borderId="18" xfId="0" applyNumberFormat="1" applyFill="1" applyBorder="1" applyAlignment="1">
      <alignment horizontal="center"/>
    </xf>
    <xf numFmtId="164" fontId="0" fillId="10" borderId="0" xfId="0" applyNumberFormat="1" applyFill="1" applyAlignment="1">
      <alignment horizontal="center"/>
    </xf>
    <xf numFmtId="164" fontId="0" fillId="10" borderId="19" xfId="0" applyNumberFormat="1" applyFill="1" applyBorder="1" applyAlignment="1">
      <alignment horizontal="center"/>
    </xf>
    <xf numFmtId="0" fontId="17" fillId="0" borderId="0" xfId="2" applyFill="1"/>
    <xf numFmtId="2" fontId="0" fillId="10" borderId="0" xfId="0" applyNumberFormat="1" applyFill="1" applyAlignment="1">
      <alignment horizontal="center"/>
    </xf>
    <xf numFmtId="0" fontId="10" fillId="8" borderId="18" xfId="0" applyFont="1" applyFill="1" applyBorder="1" applyAlignment="1">
      <alignment horizontal="center"/>
    </xf>
    <xf numFmtId="166" fontId="0" fillId="0" borderId="20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9" xfId="0" applyNumberFormat="1" applyBorder="1" applyAlignment="1">
      <alignment horizontal="center"/>
    </xf>
    <xf numFmtId="166" fontId="0" fillId="11" borderId="20" xfId="0" applyNumberFormat="1" applyFill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0" fontId="10" fillId="12" borderId="18" xfId="0" applyFont="1" applyFill="1" applyBorder="1" applyAlignment="1">
      <alignment horizontal="center"/>
    </xf>
    <xf numFmtId="0" fontId="10" fillId="12" borderId="20" xfId="0" applyFont="1" applyFill="1" applyBorder="1" applyAlignment="1">
      <alignment horizontal="center"/>
    </xf>
    <xf numFmtId="166" fontId="0" fillId="13" borderId="20" xfId="0" applyNumberFormat="1" applyFill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66" fontId="0" fillId="0" borderId="19" xfId="0" applyNumberFormat="1" applyBorder="1" applyAlignment="1">
      <alignment horizontal="center"/>
    </xf>
    <xf numFmtId="166" fontId="0" fillId="14" borderId="20" xfId="0" applyNumberForma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4" fontId="0" fillId="0" borderId="15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21" fillId="0" borderId="0" xfId="2" applyFont="1"/>
    <xf numFmtId="0" fontId="23" fillId="0" borderId="0" xfId="0" applyFont="1"/>
    <xf numFmtId="0" fontId="23" fillId="0" borderId="0" xfId="0" applyFont="1" applyAlignment="1">
      <alignment horizontal="center"/>
    </xf>
    <xf numFmtId="0" fontId="34" fillId="0" borderId="0" xfId="4" applyAlignment="1"/>
    <xf numFmtId="0" fontId="34" fillId="0" borderId="0" xfId="4"/>
    <xf numFmtId="0" fontId="17" fillId="0" borderId="0" xfId="2" applyBorder="1" applyAlignment="1">
      <alignment horizontal="center"/>
    </xf>
    <xf numFmtId="0" fontId="17" fillId="9" borderId="0" xfId="2" applyFill="1" applyBorder="1" applyAlignment="1">
      <alignment horizontal="center"/>
    </xf>
    <xf numFmtId="0" fontId="17" fillId="10" borderId="0" xfId="2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167" fontId="0" fillId="16" borderId="18" xfId="0" applyNumberForma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15" borderId="39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40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9" borderId="41" xfId="0" applyFill="1" applyBorder="1" applyAlignment="1">
      <alignment horizontal="center"/>
    </xf>
    <xf numFmtId="0" fontId="0" fillId="10" borderId="41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167" fontId="0" fillId="16" borderId="19" xfId="0" applyNumberFormat="1" applyFill="1" applyBorder="1" applyAlignment="1">
      <alignment horizontal="center"/>
    </xf>
    <xf numFmtId="165" fontId="0" fillId="15" borderId="39" xfId="0" applyNumberFormat="1" applyFill="1" applyBorder="1"/>
    <xf numFmtId="165" fontId="0" fillId="15" borderId="0" xfId="0" applyNumberFormat="1" applyFill="1"/>
    <xf numFmtId="165" fontId="0" fillId="15" borderId="40" xfId="0" applyNumberFormat="1" applyFill="1" applyBorder="1"/>
    <xf numFmtId="0" fontId="39" fillId="0" borderId="0" xfId="0" applyFont="1"/>
    <xf numFmtId="0" fontId="0" fillId="10" borderId="0" xfId="0" applyFill="1" applyAlignment="1">
      <alignment horizontal="center"/>
    </xf>
    <xf numFmtId="0" fontId="0" fillId="0" borderId="18" xfId="0" applyBorder="1"/>
    <xf numFmtId="2" fontId="0" fillId="0" borderId="18" xfId="0" applyNumberFormat="1" applyBorder="1"/>
    <xf numFmtId="2" fontId="0" fillId="0" borderId="18" xfId="0" applyNumberFormat="1" applyBorder="1" applyAlignment="1">
      <alignment horizontal="center"/>
    </xf>
    <xf numFmtId="0" fontId="0" fillId="0" borderId="19" xfId="0" applyBorder="1"/>
    <xf numFmtId="2" fontId="0" fillId="0" borderId="19" xfId="0" applyNumberFormat="1" applyBorder="1"/>
    <xf numFmtId="0" fontId="0" fillId="0" borderId="0" xfId="0" applyAlignment="1">
      <alignment horizontal="right"/>
    </xf>
    <xf numFmtId="0" fontId="33" fillId="0" borderId="0" xfId="0" applyFont="1" applyAlignment="1">
      <alignment horizontal="right"/>
    </xf>
    <xf numFmtId="0" fontId="40" fillId="0" borderId="19" xfId="0" applyFont="1" applyBorder="1" applyAlignment="1">
      <alignment horizontal="right"/>
    </xf>
    <xf numFmtId="2" fontId="0" fillId="17" borderId="18" xfId="6" applyNumberFormat="1" applyFont="1" applyFill="1" applyBorder="1"/>
    <xf numFmtId="2" fontId="0" fillId="17" borderId="0" xfId="6" applyNumberFormat="1" applyFont="1" applyFill="1"/>
    <xf numFmtId="2" fontId="0" fillId="17" borderId="19" xfId="6" applyNumberFormat="1" applyFont="1" applyFill="1" applyBorder="1"/>
    <xf numFmtId="1" fontId="0" fillId="0" borderId="18" xfId="6" applyNumberFormat="1" applyFont="1" applyFill="1" applyBorder="1" applyAlignment="1">
      <alignment horizontal="center"/>
    </xf>
    <xf numFmtId="1" fontId="0" fillId="0" borderId="0" xfId="6" applyNumberFormat="1" applyFont="1" applyAlignment="1">
      <alignment horizontal="center"/>
    </xf>
    <xf numFmtId="1" fontId="0" fillId="0" borderId="19" xfId="6" applyNumberFormat="1" applyFont="1" applyFill="1" applyBorder="1" applyAlignment="1">
      <alignment horizontal="center"/>
    </xf>
    <xf numFmtId="0" fontId="42" fillId="8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18" xfId="6" applyNumberFormat="1" applyFont="1" applyFill="1" applyBorder="1"/>
    <xf numFmtId="2" fontId="0" fillId="0" borderId="0" xfId="6" applyNumberFormat="1" applyFont="1"/>
    <xf numFmtId="2" fontId="0" fillId="0" borderId="19" xfId="6" applyNumberFormat="1" applyFont="1" applyFill="1" applyBorder="1"/>
    <xf numFmtId="0" fontId="42" fillId="3" borderId="7" xfId="0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2" fontId="0" fillId="0" borderId="39" xfId="0" applyNumberFormat="1" applyBorder="1"/>
    <xf numFmtId="2" fontId="0" fillId="0" borderId="40" xfId="0" applyNumberFormat="1" applyBorder="1"/>
    <xf numFmtId="0" fontId="0" fillId="0" borderId="39" xfId="0" applyBorder="1"/>
    <xf numFmtId="0" fontId="0" fillId="0" borderId="40" xfId="0" applyBorder="1"/>
    <xf numFmtId="6" fontId="17" fillId="0" borderId="0" xfId="2" applyNumberFormat="1" applyAlignment="1">
      <alignment horizontal="right"/>
    </xf>
    <xf numFmtId="168" fontId="0" fillId="0" borderId="0" xfId="0" applyNumberFormat="1"/>
    <xf numFmtId="0" fontId="0" fillId="0" borderId="42" xfId="0" applyBorder="1"/>
    <xf numFmtId="168" fontId="0" fillId="9" borderId="0" xfId="0" applyNumberFormat="1" applyFill="1"/>
    <xf numFmtId="168" fontId="0" fillId="9" borderId="42" xfId="0" applyNumberFormat="1" applyFill="1" applyBorder="1"/>
    <xf numFmtId="2" fontId="0" fillId="10" borderId="18" xfId="0" applyNumberFormat="1" applyFill="1" applyBorder="1"/>
    <xf numFmtId="2" fontId="0" fillId="10" borderId="0" xfId="0" applyNumberFormat="1" applyFill="1"/>
    <xf numFmtId="2" fontId="0" fillId="10" borderId="19" xfId="0" applyNumberFormat="1" applyFill="1" applyBorder="1"/>
    <xf numFmtId="0" fontId="17" fillId="0" borderId="0" xfId="2" applyFill="1" applyBorder="1" applyAlignment="1"/>
    <xf numFmtId="169" fontId="0" fillId="0" borderId="0" xfId="0" applyNumberFormat="1"/>
    <xf numFmtId="0" fontId="17" fillId="0" borderId="0" xfId="2" quotePrefix="1"/>
    <xf numFmtId="170" fontId="7" fillId="6" borderId="0" xfId="0" applyNumberFormat="1" applyFont="1" applyFill="1"/>
    <xf numFmtId="0" fontId="7" fillId="18" borderId="0" xfId="0" applyFont="1" applyFill="1"/>
    <xf numFmtId="0" fontId="46" fillId="0" borderId="0" xfId="0" applyFont="1"/>
    <xf numFmtId="173" fontId="17" fillId="0" borderId="0" xfId="2" applyNumberFormat="1" applyFill="1" applyBorder="1" applyAlignment="1">
      <alignment horizontal="left"/>
    </xf>
    <xf numFmtId="0" fontId="10" fillId="19" borderId="26" xfId="0" applyFont="1" applyFill="1" applyBorder="1" applyAlignment="1">
      <alignment horizontal="center"/>
    </xf>
    <xf numFmtId="166" fontId="0" fillId="0" borderId="26" xfId="0" applyNumberFormat="1" applyBorder="1"/>
    <xf numFmtId="174" fontId="0" fillId="0" borderId="26" xfId="0" applyNumberFormat="1" applyBorder="1" applyAlignment="1">
      <alignment horizontal="left"/>
    </xf>
    <xf numFmtId="0" fontId="10" fillId="21" borderId="26" xfId="0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173" fontId="4" fillId="0" borderId="26" xfId="0" applyNumberFormat="1" applyFont="1" applyBorder="1" applyAlignment="1">
      <alignment horizontal="left"/>
    </xf>
    <xf numFmtId="43" fontId="4" fillId="0" borderId="26" xfId="0" applyNumberFormat="1" applyFont="1" applyBorder="1" applyAlignment="1">
      <alignment horizontal="left"/>
    </xf>
    <xf numFmtId="173" fontId="4" fillId="17" borderId="26" xfId="0" applyNumberFormat="1" applyFont="1" applyFill="1" applyBorder="1" applyAlignment="1">
      <alignment horizontal="left"/>
    </xf>
    <xf numFmtId="0" fontId="44" fillId="0" borderId="0" xfId="2" applyFont="1" applyFill="1" applyBorder="1" applyAlignment="1">
      <alignment horizontal="center"/>
    </xf>
    <xf numFmtId="0" fontId="44" fillId="0" borderId="0" xfId="2" applyFont="1" applyBorder="1" applyAlignment="1">
      <alignment horizontal="center"/>
    </xf>
    <xf numFmtId="171" fontId="17" fillId="0" borderId="0" xfId="2" applyNumberFormat="1" applyBorder="1" applyAlignment="1">
      <alignment horizontal="left"/>
    </xf>
    <xf numFmtId="0" fontId="47" fillId="21" borderId="26" xfId="0" applyFont="1" applyFill="1" applyBorder="1" applyAlignment="1">
      <alignment horizontal="center"/>
    </xf>
    <xf numFmtId="171" fontId="4" fillId="0" borderId="26" xfId="0" applyNumberFormat="1" applyFont="1" applyBorder="1" applyAlignment="1">
      <alignment horizontal="left"/>
    </xf>
    <xf numFmtId="172" fontId="4" fillId="0" borderId="26" xfId="0" applyNumberFormat="1" applyFont="1" applyBorder="1" applyAlignment="1">
      <alignment horizontal="left"/>
    </xf>
    <xf numFmtId="0" fontId="47" fillId="20" borderId="26" xfId="0" applyFont="1" applyFill="1" applyBorder="1" applyAlignment="1">
      <alignment horizontal="center"/>
    </xf>
    <xf numFmtId="0" fontId="44" fillId="10" borderId="0" xfId="2" applyFont="1" applyFill="1" applyBorder="1" applyAlignment="1">
      <alignment horizontal="center"/>
    </xf>
    <xf numFmtId="171" fontId="17" fillId="10" borderId="0" xfId="2" applyNumberFormat="1" applyFill="1" applyBorder="1" applyAlignment="1">
      <alignment horizontal="left"/>
    </xf>
    <xf numFmtId="0" fontId="0" fillId="10" borderId="0" xfId="0" applyFill="1"/>
    <xf numFmtId="168" fontId="0" fillId="0" borderId="26" xfId="0" applyNumberFormat="1" applyBorder="1"/>
    <xf numFmtId="166" fontId="4" fillId="0" borderId="26" xfId="0" applyNumberFormat="1" applyFont="1" applyBorder="1" applyAlignment="1">
      <alignment horizontal="right"/>
    </xf>
    <xf numFmtId="166" fontId="4" fillId="9" borderId="26" xfId="0" applyNumberFormat="1" applyFont="1" applyFill="1" applyBorder="1" applyAlignment="1">
      <alignment horizontal="right"/>
    </xf>
    <xf numFmtId="166" fontId="4" fillId="17" borderId="26" xfId="0" applyNumberFormat="1" applyFont="1" applyFill="1" applyBorder="1" applyAlignment="1">
      <alignment horizontal="right"/>
    </xf>
    <xf numFmtId="0" fontId="9" fillId="10" borderId="0" xfId="0" applyFont="1" applyFill="1"/>
    <xf numFmtId="0" fontId="13" fillId="10" borderId="0" xfId="0" applyFont="1" applyFill="1"/>
    <xf numFmtId="0" fontId="6" fillId="10" borderId="0" xfId="0" applyFont="1" applyFill="1" applyAlignment="1">
      <alignment vertical="top" wrapText="1"/>
    </xf>
    <xf numFmtId="0" fontId="18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20" fillId="6" borderId="6" xfId="0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/>
    </xf>
    <xf numFmtId="0" fontId="20" fillId="6" borderId="8" xfId="0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right"/>
    </xf>
    <xf numFmtId="0" fontId="20" fillId="6" borderId="27" xfId="0" applyFont="1" applyFill="1" applyBorder="1" applyAlignment="1">
      <alignment horizontal="right"/>
    </xf>
    <xf numFmtId="0" fontId="20" fillId="5" borderId="26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6" borderId="26" xfId="0" applyFont="1" applyFill="1" applyBorder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0" fillId="6" borderId="2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24" fillId="0" borderId="1" xfId="3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7" fillId="0" borderId="0" xfId="2" applyBorder="1" applyAlignment="1">
      <alignment horizontal="left" vertical="top" wrapText="1"/>
    </xf>
    <xf numFmtId="0" fontId="0" fillId="9" borderId="0" xfId="0" applyFill="1" applyAlignment="1">
      <alignment horizontal="center"/>
    </xf>
    <xf numFmtId="0" fontId="34" fillId="0" borderId="0" xfId="4" applyAlignment="1">
      <alignment horizontal="center"/>
    </xf>
    <xf numFmtId="0" fontId="0" fillId="0" borderId="0" xfId="0" applyAlignment="1">
      <alignment horizontal="center"/>
    </xf>
    <xf numFmtId="0" fontId="17" fillId="15" borderId="0" xfId="2" applyFill="1" applyBorder="1" applyAlignment="1">
      <alignment horizontal="center"/>
    </xf>
    <xf numFmtId="0" fontId="10" fillId="3" borderId="18" xfId="0" applyFont="1" applyFill="1" applyBorder="1" applyAlignment="1">
      <alignment horizontal="center"/>
    </xf>
    <xf numFmtId="0" fontId="41" fillId="0" borderId="38" xfId="5" applyAlignment="1">
      <alignment horizontal="center"/>
    </xf>
    <xf numFmtId="0" fontId="10" fillId="12" borderId="20" xfId="0" applyFont="1" applyFill="1" applyBorder="1" applyAlignment="1">
      <alignment horizontal="center"/>
    </xf>
    <xf numFmtId="0" fontId="10" fillId="12" borderId="18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44" fillId="0" borderId="0" xfId="2" applyFont="1" applyFill="1" applyBorder="1" applyAlignment="1">
      <alignment horizontal="center"/>
    </xf>
    <xf numFmtId="0" fontId="45" fillId="2" borderId="0" xfId="0" applyFont="1" applyFill="1" applyAlignment="1">
      <alignment horizontal="center" vertical="center"/>
    </xf>
    <xf numFmtId="0" fontId="10" fillId="19" borderId="26" xfId="0" applyFont="1" applyFill="1" applyBorder="1" applyAlignment="1">
      <alignment horizontal="center"/>
    </xf>
    <xf numFmtId="0" fontId="47" fillId="20" borderId="26" xfId="0" applyFont="1" applyFill="1" applyBorder="1" applyAlignment="1">
      <alignment horizontal="center"/>
    </xf>
    <xf numFmtId="0" fontId="10" fillId="21" borderId="26" xfId="0" applyFont="1" applyFill="1" applyBorder="1" applyAlignment="1">
      <alignment horizontal="center"/>
    </xf>
    <xf numFmtId="0" fontId="47" fillId="21" borderId="26" xfId="0" applyFont="1" applyFill="1" applyBorder="1" applyAlignment="1">
      <alignment horizontal="center"/>
    </xf>
  </cellXfs>
  <cellStyles count="7">
    <cellStyle name="Comma 2" xfId="6" xr:uid="{6D4FCD1B-FED7-4012-89A1-CB8DA9DA0183}"/>
    <cellStyle name="Explanatory Text 2" xfId="2" xr:uid="{51F4BB8F-D145-4BEF-B124-36F0B0DCD0BD}"/>
    <cellStyle name="Heading 1 2" xfId="3" xr:uid="{59AAEE08-6BB2-42F9-AE67-66F3E609651E}"/>
    <cellStyle name="Heading 2 2" xfId="5" xr:uid="{9D678842-EA3E-43BF-9AFE-F273A844D3E4}"/>
    <cellStyle name="Heading 4 2" xfId="4" xr:uid="{8C5438D7-5E40-4F85-B682-C8AA9AD1BF7F}"/>
    <cellStyle name="Normal" xfId="0" builtinId="0"/>
    <cellStyle name="Percent" xfId="1" builtinId="5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42038495188095E-2"/>
          <c:y val="0.15782407407407409"/>
          <c:w val="0.861738626421697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'Mean Variance Portfolio Theory2'!$F$45:$F$62</c:f>
              <c:numCache>
                <c:formatCode>0.00</c:formatCode>
                <c:ptCount val="18"/>
                <c:pt idx="0">
                  <c:v>0.23000000227177264</c:v>
                </c:pt>
                <c:pt idx="1">
                  <c:v>0.24000000188495399</c:v>
                </c:pt>
                <c:pt idx="2">
                  <c:v>0.2500000010907461</c:v>
                </c:pt>
                <c:pt idx="3" formatCode="0.0000">
                  <c:v>0.26</c:v>
                </c:pt>
                <c:pt idx="4" formatCode="0.0000">
                  <c:v>0.27</c:v>
                </c:pt>
                <c:pt idx="5" formatCode="0.0000">
                  <c:v>0.28000000000000003</c:v>
                </c:pt>
                <c:pt idx="6" formatCode="0.0000">
                  <c:v>0.28999999999999998</c:v>
                </c:pt>
                <c:pt idx="7" formatCode="0.0000">
                  <c:v>0.3</c:v>
                </c:pt>
                <c:pt idx="8" formatCode="0.0000">
                  <c:v>0.31</c:v>
                </c:pt>
                <c:pt idx="9" formatCode="0.0000">
                  <c:v>0.32</c:v>
                </c:pt>
                <c:pt idx="10" formatCode="0.0000">
                  <c:v>0.33</c:v>
                </c:pt>
                <c:pt idx="11" formatCode="0.0000">
                  <c:v>0.34</c:v>
                </c:pt>
                <c:pt idx="12" formatCode="0.0000">
                  <c:v>0.35</c:v>
                </c:pt>
                <c:pt idx="13" formatCode="0.0000">
                  <c:v>0.36</c:v>
                </c:pt>
                <c:pt idx="14" formatCode="0.0000">
                  <c:v>0.37</c:v>
                </c:pt>
                <c:pt idx="15" formatCode="0.0000">
                  <c:v>0.38</c:v>
                </c:pt>
                <c:pt idx="16" formatCode="0.0000">
                  <c:v>0.39</c:v>
                </c:pt>
                <c:pt idx="17" formatCode="0.0000">
                  <c:v>0.4</c:v>
                </c:pt>
              </c:numCache>
            </c:numRef>
          </c:xVal>
          <c:yVal>
            <c:numRef>
              <c:f>'Mean Variance Portfolio Theory2'!$G$45:$G$62</c:f>
              <c:numCache>
                <c:formatCode>General</c:formatCode>
                <c:ptCount val="18"/>
                <c:pt idx="0">
                  <c:v>0.21343280183926788</c:v>
                </c:pt>
                <c:pt idx="1">
                  <c:v>0.23118589445173493</c:v>
                </c:pt>
                <c:pt idx="2">
                  <c:v>0.2424752640119473</c:v>
                </c:pt>
                <c:pt idx="3" formatCode="0.0000">
                  <c:v>0.25168913102994761</c:v>
                </c:pt>
                <c:pt idx="4" formatCode="0.0000">
                  <c:v>0.25978740836647501</c:v>
                </c:pt>
                <c:pt idx="5" formatCode="0.0000">
                  <c:v>0.26717266912922522</c:v>
                </c:pt>
                <c:pt idx="6" formatCode="0.0000">
                  <c:v>0.27405709611340368</c:v>
                </c:pt>
                <c:pt idx="7" formatCode="0.0000">
                  <c:v>0.28056952514339278</c:v>
                </c:pt>
                <c:pt idx="8" formatCode="0.0000">
                  <c:v>0.28679267176296153</c:v>
                </c:pt>
                <c:pt idx="9" formatCode="0.0000">
                  <c:v>0.2927839423467139</c:v>
                </c:pt>
                <c:pt idx="10" formatCode="0.0000">
                  <c:v>0.29858700058500864</c:v>
                </c:pt>
                <c:pt idx="11" formatCode="0.0000">
                  <c:v>0.30423143665524033</c:v>
                </c:pt>
                <c:pt idx="12" formatCode="0.0000">
                  <c:v>0.30974326722864903</c:v>
                </c:pt>
                <c:pt idx="13" formatCode="0.0000">
                  <c:v>0.31514036600847606</c:v>
                </c:pt>
                <c:pt idx="14" formatCode="0.0000">
                  <c:v>0.32043839428002097</c:v>
                </c:pt>
                <c:pt idx="15" formatCode="0.0000">
                  <c:v>0.32564966963071085</c:v>
                </c:pt>
                <c:pt idx="16" formatCode="0.0000">
                  <c:v>0.33078491819604755</c:v>
                </c:pt>
                <c:pt idx="17" formatCode="0.0000">
                  <c:v>0.33585254912422124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A9-4AC4-8415-7E38E9888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271023"/>
        <c:axId val="1663273935"/>
      </c:scatterChart>
      <c:valAx>
        <c:axId val="166327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273935"/>
        <c:crosses val="autoZero"/>
        <c:crossBetween val="midCat"/>
      </c:valAx>
      <c:valAx>
        <c:axId val="166327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271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NULL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NULL"/><Relationship Id="rId2" Type="http://schemas.openxmlformats.org/officeDocument/2006/relationships/image" Target="NULL"/><Relationship Id="rId16" Type="http://schemas.openxmlformats.org/officeDocument/2006/relationships/image" Target="../media/image4.png"/><Relationship Id="rId1" Type="http://schemas.openxmlformats.org/officeDocument/2006/relationships/customXml" Target="../ink/ink1.xml"/><Relationship Id="rId6" Type="http://schemas.openxmlformats.org/officeDocument/2006/relationships/image" Target="NULL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image" Target="../media/image3.png"/><Relationship Id="rId10" Type="http://schemas.openxmlformats.org/officeDocument/2006/relationships/image" Target="NULL"/><Relationship Id="rId4" Type="http://schemas.openxmlformats.org/officeDocument/2006/relationships/image" Target="NULL"/><Relationship Id="rId9" Type="http://schemas.openxmlformats.org/officeDocument/2006/relationships/customXml" Target="../ink/ink5.xml"/><Relationship Id="rId14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135082</xdr:colOff>
      <xdr:row>1</xdr:row>
      <xdr:rowOff>158462</xdr:rowOff>
    </xdr:from>
    <xdr:to>
      <xdr:col>18</xdr:col>
      <xdr:colOff>588917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576FBF-20A0-45D8-8EBF-FF362265D7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6385"/>
        <a:stretch/>
      </xdr:blipFill>
      <xdr:spPr>
        <a:xfrm>
          <a:off x="6023264" y="348962"/>
          <a:ext cx="6108221" cy="45867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243353</xdr:colOff>
      <xdr:row>1</xdr:row>
      <xdr:rowOff>148789</xdr:rowOff>
    </xdr:from>
    <xdr:to>
      <xdr:col>27</xdr:col>
      <xdr:colOff>32829</xdr:colOff>
      <xdr:row>24</xdr:row>
      <xdr:rowOff>2922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9E67DA-2D71-4ADC-98E1-195CC77EB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40028" y="339289"/>
          <a:ext cx="5799751" cy="4521383"/>
        </a:xfrm>
        <a:prstGeom prst="rect">
          <a:avLst/>
        </a:prstGeom>
      </xdr:spPr>
    </xdr:pic>
    <xdr:clientData/>
  </xdr:twoCellAnchor>
  <xdr:twoCellAnchor>
    <xdr:from>
      <xdr:col>7</xdr:col>
      <xdr:colOff>752475</xdr:colOff>
      <xdr:row>43</xdr:row>
      <xdr:rowOff>104775</xdr:rowOff>
    </xdr:from>
    <xdr:to>
      <xdr:col>15</xdr:col>
      <xdr:colOff>104775</xdr:colOff>
      <xdr:row>57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9F66CC7-3E9F-BE9F-6554-B0B457EF8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546870</xdr:colOff>
      <xdr:row>115</xdr:row>
      <xdr:rowOff>170355</xdr:rowOff>
    </xdr:from>
    <xdr:to>
      <xdr:col>5</xdr:col>
      <xdr:colOff>1203150</xdr:colOff>
      <xdr:row>118</xdr:row>
      <xdr:rowOff>3165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154D476-D6E6-4276-A8AF-9A829F4894C0}"/>
                </a:ext>
              </a:extLst>
            </xdr14:cNvPr>
            <xdr14:cNvContentPartPr/>
          </xdr14:nvContentPartPr>
          <xdr14:nvPr macro=""/>
          <xdr14:xfrm>
            <a:off x="4033020" y="23020830"/>
            <a:ext cx="656280" cy="48051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D4D697F6-100A-4C64-B5A7-33B81FF5B97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14885" y="3752640"/>
              <a:ext cx="673910" cy="44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280950</xdr:colOff>
      <xdr:row>114</xdr:row>
      <xdr:rowOff>127380</xdr:rowOff>
    </xdr:from>
    <xdr:to>
      <xdr:col>8</xdr:col>
      <xdr:colOff>300270</xdr:colOff>
      <xdr:row>119</xdr:row>
      <xdr:rowOff>60180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35A7263-E985-4C7A-B843-D1C65494AAB8}"/>
                </a:ext>
              </a:extLst>
            </xdr14:cNvPr>
            <xdr14:cNvContentPartPr/>
          </xdr14:nvContentPartPr>
          <xdr14:nvPr macro=""/>
          <xdr14:xfrm>
            <a:off x="6491250" y="22777830"/>
            <a:ext cx="628920" cy="990075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4D7A8869-7699-45AD-A149-117F30AC908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68160" y="3509637"/>
              <a:ext cx="646560" cy="9410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581790</xdr:colOff>
      <xdr:row>108</xdr:row>
      <xdr:rowOff>97740</xdr:rowOff>
    </xdr:from>
    <xdr:to>
      <xdr:col>5</xdr:col>
      <xdr:colOff>1463790</xdr:colOff>
      <xdr:row>110</xdr:row>
      <xdr:rowOff>44010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26E7DB2-22AD-4D6E-A43B-A94C0CF5723A}"/>
                </a:ext>
              </a:extLst>
            </xdr14:cNvPr>
            <xdr14:cNvContentPartPr/>
          </xdr14:nvContentPartPr>
          <xdr14:nvPr macro=""/>
          <xdr14:xfrm>
            <a:off x="4067940" y="21528990"/>
            <a:ext cx="882000" cy="36537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C686EFAA-4111-4BA3-9351-895DE0F038D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249440" y="2260791"/>
              <a:ext cx="899640" cy="3639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397590</xdr:colOff>
      <xdr:row>106</xdr:row>
      <xdr:rowOff>173265</xdr:rowOff>
    </xdr:from>
    <xdr:to>
      <xdr:col>9</xdr:col>
      <xdr:colOff>487710</xdr:colOff>
      <xdr:row>109</xdr:row>
      <xdr:rowOff>82590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F91C977-57BC-493D-96C0-E42D3A90A0BB}"/>
                </a:ext>
              </a:extLst>
            </xdr14:cNvPr>
            <xdr14:cNvContentPartPr/>
          </xdr14:nvContentPartPr>
          <xdr14:nvPr macro=""/>
          <xdr14:xfrm>
            <a:off x="6607890" y="21213990"/>
            <a:ext cx="1309320" cy="52845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64660771-8745-46C6-A9F9-EBD1149FA5A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284800" y="1945440"/>
              <a:ext cx="1326960" cy="52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85830</xdr:colOff>
      <xdr:row>108</xdr:row>
      <xdr:rowOff>158940</xdr:rowOff>
    </xdr:from>
    <xdr:to>
      <xdr:col>10</xdr:col>
      <xdr:colOff>156390</xdr:colOff>
      <xdr:row>109</xdr:row>
      <xdr:rowOff>81315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1CDC6017-238F-4B9E-9A9F-59B84F6D944A}"/>
                </a:ext>
              </a:extLst>
            </xdr14:cNvPr>
            <xdr14:cNvContentPartPr/>
          </xdr14:nvContentPartPr>
          <xdr14:nvPr macro=""/>
          <xdr14:xfrm>
            <a:off x="8124930" y="21590190"/>
            <a:ext cx="70560" cy="131925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566D7E01-E6E2-4360-8710-A7A46F01020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801480" y="2321640"/>
              <a:ext cx="8820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366990</xdr:colOff>
      <xdr:row>106</xdr:row>
      <xdr:rowOff>98025</xdr:rowOff>
    </xdr:from>
    <xdr:to>
      <xdr:col>11</xdr:col>
      <xdr:colOff>273630</xdr:colOff>
      <xdr:row>109</xdr:row>
      <xdr:rowOff>36870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C71D2E0C-E163-41CD-B069-875DBE40A6AE}"/>
                </a:ext>
              </a:extLst>
            </xdr14:cNvPr>
            <xdr14:cNvContentPartPr/>
          </xdr14:nvContentPartPr>
          <xdr14:nvPr macro=""/>
          <xdr14:xfrm>
            <a:off x="8406090" y="21138750"/>
            <a:ext cx="516240" cy="55797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7F30BB9B-7327-444C-9226-D851EE420DF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083000" y="1870200"/>
              <a:ext cx="533880" cy="55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385245</xdr:colOff>
      <xdr:row>135</xdr:row>
      <xdr:rowOff>7905</xdr:rowOff>
    </xdr:from>
    <xdr:to>
      <xdr:col>5</xdr:col>
      <xdr:colOff>881955</xdr:colOff>
      <xdr:row>138</xdr:row>
      <xdr:rowOff>108030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F7CA6FDE-5BE1-4164-9037-0BCA46744E65}"/>
                </a:ext>
              </a:extLst>
            </xdr14:cNvPr>
            <xdr14:cNvContentPartPr/>
          </xdr14:nvContentPartPr>
          <xdr14:nvPr macro=""/>
          <xdr14:xfrm>
            <a:off x="2556945" y="26839830"/>
            <a:ext cx="1811160" cy="71925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EFB4AA6A-44C2-42A2-BAA2-5D83385572D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815005" y="7571636"/>
              <a:ext cx="1828800" cy="7178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180975</xdr:colOff>
      <xdr:row>5</xdr:row>
      <xdr:rowOff>28575</xdr:rowOff>
    </xdr:from>
    <xdr:to>
      <xdr:col>17</xdr:col>
      <xdr:colOff>399413</xdr:colOff>
      <xdr:row>15</xdr:row>
      <xdr:rowOff>133080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914977-DEA7-A5A3-EA8B-44EFE81A0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10475" y="1000125"/>
          <a:ext cx="5095238" cy="21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100</xdr:row>
      <xdr:rowOff>0</xdr:rowOff>
    </xdr:from>
    <xdr:to>
      <xdr:col>20</xdr:col>
      <xdr:colOff>475600</xdr:colOff>
      <xdr:row>114</xdr:row>
      <xdr:rowOff>66302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52BC9D6-4E96-06F4-3556-5449632DB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410700" y="20754975"/>
          <a:ext cx="5200000" cy="29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152</xdr:row>
      <xdr:rowOff>1</xdr:rowOff>
    </xdr:from>
    <xdr:to>
      <xdr:col>17</xdr:col>
      <xdr:colOff>341883</xdr:colOff>
      <xdr:row>170</xdr:row>
      <xdr:rowOff>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59929-CCD7-45ED-879A-B4CF44E7A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29479876"/>
          <a:ext cx="3389883" cy="3562350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133350</xdr:colOff>
      <xdr:row>32</xdr:row>
      <xdr:rowOff>123825</xdr:rowOff>
    </xdr:from>
    <xdr:to>
      <xdr:col>19</xdr:col>
      <xdr:colOff>504169</xdr:colOff>
      <xdr:row>43</xdr:row>
      <xdr:rowOff>28321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F9A43A-53DE-4C2B-B9FB-1200C241B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2725" y="6429375"/>
          <a:ext cx="5247619" cy="20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161925</xdr:colOff>
      <xdr:row>45</xdr:row>
      <xdr:rowOff>95250</xdr:rowOff>
    </xdr:from>
    <xdr:to>
      <xdr:col>19</xdr:col>
      <xdr:colOff>494801</xdr:colOff>
      <xdr:row>65</xdr:row>
      <xdr:rowOff>75711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F10AA7-CA55-4C8A-A219-18468061F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0" y="8915400"/>
          <a:ext cx="3990476" cy="3914286"/>
        </a:xfrm>
        <a:prstGeom prst="rect">
          <a:avLst/>
        </a:prstGeom>
      </xdr:spPr>
    </xdr:pic>
    <xdr:clientData/>
  </xdr:twoCellAnchor>
  <xdr:oneCellAnchor>
    <xdr:from>
      <xdr:col>7</xdr:col>
      <xdr:colOff>161925</xdr:colOff>
      <xdr:row>5</xdr:row>
      <xdr:rowOff>42862</xdr:rowOff>
    </xdr:from>
    <xdr:ext cx="139480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77A6BD7-F006-460C-92FD-01A11603181A}"/>
                </a:ext>
              </a:extLst>
            </xdr:cNvPr>
            <xdr:cNvSpPr txBox="1"/>
          </xdr:nvSpPr>
          <xdr:spPr>
            <a:xfrm>
              <a:off x="3924300" y="1014412"/>
              <a:ext cx="13948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ZA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</m:acc>
                      </m:e>
                      <m:sub>
                        <m:r>
                          <m:rPr>
                            <m:sty m:val="p"/>
                          </m:rPr>
                          <a:rPr lang="en-ZA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  <m:r>
                      <a:rPr lang="en-ZA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ZA" sz="1100" i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77A6BD7-F006-460C-92FD-01A11603181A}"/>
                </a:ext>
              </a:extLst>
            </xdr:cNvPr>
            <xdr:cNvSpPr txBox="1"/>
          </xdr:nvSpPr>
          <xdr:spPr>
            <a:xfrm>
              <a:off x="3924300" y="1014412"/>
              <a:ext cx="13948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ZA" sz="1100" b="0" i="0">
                  <a:latin typeface="Cambria Math" panose="02040503050406030204" pitchFamily="18" charset="0"/>
                </a:rPr>
                <a:t>𝑟 ̅_i=𝜆_0+𝑏_𝑖1</a:t>
              </a:r>
              <a:r>
                <a:rPr lang="en-Z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𝜆_1</a:t>
              </a:r>
              <a:r>
                <a:rPr lang="en-ZA" sz="1100" b="0" i="0">
                  <a:latin typeface="Cambria Math" panose="02040503050406030204" pitchFamily="18" charset="0"/>
                </a:rPr>
                <a:t>+</a:t>
              </a:r>
              <a:r>
                <a:rPr lang="en-Z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𝑏_𝑖2 𝜆_2</a:t>
              </a:r>
              <a:endParaRPr lang="en-ZA" sz="1100" i="1"/>
            </a:p>
          </xdr:txBody>
        </xdr:sp>
      </mc:Fallback>
    </mc:AlternateContent>
    <xdr:clientData/>
  </xdr:oneCellAnchor>
  <xdr:oneCellAnchor>
    <xdr:from>
      <xdr:col>7</xdr:col>
      <xdr:colOff>0</xdr:colOff>
      <xdr:row>17</xdr:row>
      <xdr:rowOff>9525</xdr:rowOff>
    </xdr:from>
    <xdr:ext cx="15872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7B0D4F9-9E37-4596-99FB-215570113B28}"/>
                </a:ext>
              </a:extLst>
            </xdr:cNvPr>
            <xdr:cNvSpPr txBox="1"/>
          </xdr:nvSpPr>
          <xdr:spPr>
            <a:xfrm>
              <a:off x="3762375" y="3467100"/>
              <a:ext cx="15872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ZA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</m:acc>
                      </m:e>
                      <m:sub>
                        <m:r>
                          <m:rPr>
                            <m:sty m:val="p"/>
                          </m:rPr>
                          <a:rPr lang="en-ZA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  <m:r>
                      <a:rPr lang="en-ZA" sz="1100" b="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n-ZA" sz="1100" b="0" i="1">
                        <a:latin typeface="Cambria Math" panose="02040503050406030204" pitchFamily="18" charset="0"/>
                      </a:rPr>
                      <m:t>7,75+5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+3,75</m:t>
                    </m:r>
                    <m:sSub>
                      <m:sSubPr>
                        <m:ctrlP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ZA" sz="1100" i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7B0D4F9-9E37-4596-99FB-215570113B28}"/>
                </a:ext>
              </a:extLst>
            </xdr:cNvPr>
            <xdr:cNvSpPr txBox="1"/>
          </xdr:nvSpPr>
          <xdr:spPr>
            <a:xfrm>
              <a:off x="3762375" y="3467100"/>
              <a:ext cx="15872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ZA" sz="1100" b="0" i="0">
                  <a:latin typeface="Cambria Math" panose="02040503050406030204" pitchFamily="18" charset="0"/>
                </a:rPr>
                <a:t>𝑟 ̅_i=7,75+5𝑏_𝑖1+3,75</a:t>
              </a:r>
              <a:r>
                <a:rPr lang="en-Z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𝑏_𝑖2</a:t>
              </a:r>
              <a:endParaRPr lang="en-ZA" sz="1100" i="1"/>
            </a:p>
          </xdr:txBody>
        </xdr:sp>
      </mc:Fallback>
    </mc:AlternateContent>
    <xdr:clientData/>
  </xdr:oneCellAnchor>
  <xdr:oneCellAnchor>
    <xdr:from>
      <xdr:col>7</xdr:col>
      <xdr:colOff>19050</xdr:colOff>
      <xdr:row>19</xdr:row>
      <xdr:rowOff>9525</xdr:rowOff>
    </xdr:from>
    <xdr:ext cx="23010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8833599-7CF4-477B-82D0-3589412D42E7}"/>
                </a:ext>
              </a:extLst>
            </xdr:cNvPr>
            <xdr:cNvSpPr txBox="1"/>
          </xdr:nvSpPr>
          <xdr:spPr>
            <a:xfrm>
              <a:off x="3781425" y="3848100"/>
              <a:ext cx="23010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/>
                <a:t>Finding </a:t>
              </a:r>
              <a14:m>
                <m:oMath xmlns:m="http://schemas.openxmlformats.org/officeDocument/2006/math">
                  <m:sSub>
                    <m:sSubPr>
                      <m:ctrlPr>
                        <a:rPr lang="en-Z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̅"/>
                          <m:ctrlPr>
                            <a:rPr lang="en-ZA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en-ZA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</m:acc>
                    </m:e>
                    <m:sub>
                      <m:r>
                        <m:rPr>
                          <m:sty m:val="p"/>
                        </m:rPr>
                        <a:rPr lang="en-ZA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i</m:t>
                      </m:r>
                    </m:sub>
                  </m:sSub>
                </m:oMath>
              </a14:m>
              <a:r>
                <a:rPr lang="en-ZA" sz="1100" b="0" i="0"/>
                <a:t> for given values of </a:t>
              </a:r>
              <a14:m>
                <m:oMath xmlns:m="http://schemas.openxmlformats.org/officeDocument/2006/math">
                  <m:sSub>
                    <m:sSubPr>
                      <m:ctrlPr>
                        <a:rPr lang="en-Z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Z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</m:e>
                    <m:sub>
                      <m:r>
                        <a:rPr lang="en-Z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n-Z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ZA" sz="1100" b="0" i="0"/>
                <a:t> 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Z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Z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</m:e>
                    <m:sub>
                      <m:r>
                        <a:rPr lang="en-Z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n-Z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ZA" sz="1100" i="0"/>
                <a:t>:</a:t>
              </a: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8833599-7CF4-477B-82D0-3589412D42E7}"/>
                </a:ext>
              </a:extLst>
            </xdr:cNvPr>
            <xdr:cNvSpPr txBox="1"/>
          </xdr:nvSpPr>
          <xdr:spPr>
            <a:xfrm>
              <a:off x="3781425" y="3848100"/>
              <a:ext cx="23010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/>
                <a:t>Finding </a:t>
              </a:r>
              <a:r>
                <a:rPr lang="en-Z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 ̅_i</a:t>
              </a:r>
              <a:r>
                <a:rPr lang="en-ZA" sz="1100" b="0" i="0"/>
                <a:t> for given values of </a:t>
              </a:r>
              <a:r>
                <a:rPr lang="en-Z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𝑏_𝑖1</a:t>
              </a:r>
              <a:r>
                <a:rPr lang="en-ZA" sz="1100" b="0" i="0"/>
                <a:t> and </a:t>
              </a:r>
              <a:r>
                <a:rPr lang="en-Z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𝑏_𝑖2</a:t>
              </a:r>
              <a:r>
                <a:rPr lang="en-ZA" sz="1100" i="0"/>
                <a:t>:</a:t>
              </a:r>
            </a:p>
          </xdr:txBody>
        </xdr:sp>
      </mc:Fallback>
    </mc:AlternateContent>
    <xdr:clientData/>
  </xdr:oneCellAnchor>
  <xdr:oneCellAnchor>
    <xdr:from>
      <xdr:col>7</xdr:col>
      <xdr:colOff>9525</xdr:colOff>
      <xdr:row>20</xdr:row>
      <xdr:rowOff>19050</xdr:rowOff>
    </xdr:from>
    <xdr:ext cx="144084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A2CB0A5-542E-4C48-BC46-2ECA05477E82}"/>
                </a:ext>
              </a:extLst>
            </xdr:cNvPr>
            <xdr:cNvSpPr txBox="1"/>
          </xdr:nvSpPr>
          <xdr:spPr>
            <a:xfrm>
              <a:off x="3771900" y="4048125"/>
              <a:ext cx="14408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100" b="0" i="0">
                        <a:latin typeface="Cambria Math" panose="02040503050406030204" pitchFamily="18" charset="0"/>
                      </a:rPr>
                      <m:t>   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ZA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</m:acc>
                      </m:e>
                      <m:sub>
                        <m:r>
                          <m:rPr>
                            <m:sty m:val="p"/>
                          </m:rPr>
                          <a:rPr lang="en-ZA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  <m:r>
                      <a:rPr lang="en-ZA" sz="1100" b="0" i="0">
                        <a:latin typeface="Cambria Math" panose="02040503050406030204" pitchFamily="18" charset="0"/>
                      </a:rPr>
                      <m:t>        1          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        </m:t>
                    </m:r>
                    <m:sSub>
                      <m:sSubPr>
                        <m:ctrlP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Z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ZA" sz="1100" i="1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A2CB0A5-542E-4C48-BC46-2ECA05477E82}"/>
                </a:ext>
              </a:extLst>
            </xdr:cNvPr>
            <xdr:cNvSpPr txBox="1"/>
          </xdr:nvSpPr>
          <xdr:spPr>
            <a:xfrm>
              <a:off x="3771900" y="4048125"/>
              <a:ext cx="14408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ZA" sz="1100" b="0" i="0">
                  <a:latin typeface="Cambria Math" panose="02040503050406030204" pitchFamily="18" charset="0"/>
                </a:rPr>
                <a:t>   𝑟 ̅_i         1          𝑏_𝑖1         </a:t>
              </a:r>
              <a:r>
                <a:rPr lang="en-Z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𝑏_𝑖2</a:t>
              </a:r>
              <a:endParaRPr lang="en-ZA" sz="1100" i="1"/>
            </a:p>
          </xdr:txBody>
        </xdr:sp>
      </mc:Fallback>
    </mc:AlternateContent>
    <xdr:clientData/>
  </xdr:oneCellAnchor>
  <xdr:twoCellAnchor editAs="oneCell">
    <xdr:from>
      <xdr:col>21</xdr:col>
      <xdr:colOff>85725</xdr:colOff>
      <xdr:row>5</xdr:row>
      <xdr:rowOff>133350</xdr:rowOff>
    </xdr:from>
    <xdr:to>
      <xdr:col>31</xdr:col>
      <xdr:colOff>567060</xdr:colOff>
      <xdr:row>21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D33161-A175-D7B1-EA2B-2F8FD68B6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11100" y="1219200"/>
          <a:ext cx="6577335" cy="2990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133350</xdr:colOff>
      <xdr:row>6</xdr:row>
      <xdr:rowOff>142875</xdr:rowOff>
    </xdr:from>
    <xdr:to>
      <xdr:col>19</xdr:col>
      <xdr:colOff>418455</xdr:colOff>
      <xdr:row>12</xdr:row>
      <xdr:rowOff>57018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88804B-E9E9-44C2-B4F1-AE6429384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0550" y="1285875"/>
          <a:ext cx="5161905" cy="10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37</xdr:row>
      <xdr:rowOff>57150</xdr:rowOff>
    </xdr:from>
    <xdr:to>
      <xdr:col>16</xdr:col>
      <xdr:colOff>345094</xdr:colOff>
      <xdr:row>65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19CC4A5-F9DB-46AA-9AA2-5DD3D99A1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7105650"/>
          <a:ext cx="4393219" cy="5372100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76200</xdr:colOff>
      <xdr:row>37</xdr:row>
      <xdr:rowOff>133349</xdr:rowOff>
    </xdr:from>
    <xdr:to>
      <xdr:col>23</xdr:col>
      <xdr:colOff>414021</xdr:colOff>
      <xdr:row>65</xdr:row>
      <xdr:rowOff>38099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3507DB8-31F6-4183-8088-286A8230E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91975" y="7181849"/>
          <a:ext cx="3995421" cy="52863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259772</xdr:colOff>
      <xdr:row>12</xdr:row>
      <xdr:rowOff>190501</xdr:rowOff>
    </xdr:from>
    <xdr:to>
      <xdr:col>22</xdr:col>
      <xdr:colOff>164523</xdr:colOff>
      <xdr:row>23</xdr:row>
      <xdr:rowOff>135972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43DFCA-FD98-D15E-29A4-0C808E043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40886" y="2511137"/>
          <a:ext cx="4779819" cy="2066949"/>
        </a:xfrm>
        <a:prstGeom prst="rect">
          <a:avLst/>
        </a:prstGeom>
      </xdr:spPr>
    </xdr:pic>
    <xdr:clientData/>
  </xdr:twoCellAnchor>
  <xdr:twoCellAnchor editAs="oneCell">
    <xdr:from>
      <xdr:col>2</xdr:col>
      <xdr:colOff>233796</xdr:colOff>
      <xdr:row>50</xdr:row>
      <xdr:rowOff>155862</xdr:rowOff>
    </xdr:from>
    <xdr:to>
      <xdr:col>10</xdr:col>
      <xdr:colOff>450272</xdr:colOff>
      <xdr:row>68</xdr:row>
      <xdr:rowOff>65693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30C756-9223-7062-A6D5-827B5CA36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8864" y="9836726"/>
          <a:ext cx="5611090" cy="3338831"/>
        </a:xfrm>
        <a:prstGeom prst="rect">
          <a:avLst/>
        </a:prstGeom>
      </xdr:spPr>
    </xdr:pic>
    <xdr:clientData/>
  </xdr:twoCellAnchor>
  <xdr:twoCellAnchor editAs="oneCell">
    <xdr:from>
      <xdr:col>13</xdr:col>
      <xdr:colOff>406978</xdr:colOff>
      <xdr:row>55</xdr:row>
      <xdr:rowOff>164522</xdr:rowOff>
    </xdr:from>
    <xdr:to>
      <xdr:col>18</xdr:col>
      <xdr:colOff>632115</xdr:colOff>
      <xdr:row>61</xdr:row>
      <xdr:rowOff>40427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436610-28EB-69D1-EF1F-75EDC342F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66069" y="10797886"/>
          <a:ext cx="4424796" cy="1018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ropbox\Y3S1\WTW%20354%20-%20Fin%20Engineering%201\Assessments\Tutorials\Tut%207%20-%20Excel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ut7 Ex1 Verify"/>
      <sheetName val="Tut7 Q5"/>
    </sheetNames>
    <sheetDataSet>
      <sheetData sheetId="0" refreshError="1"/>
      <sheetData sheetId="1">
        <row r="23">
          <cell r="C23">
            <v>90.264654444444446</v>
          </cell>
          <cell r="D23">
            <v>50.894968888888897</v>
          </cell>
          <cell r="E23">
            <v>79.024093333333354</v>
          </cell>
          <cell r="F23">
            <v>40.179897777777782</v>
          </cell>
        </row>
        <row r="24">
          <cell r="C24">
            <v>50.894968888888897</v>
          </cell>
          <cell r="D24">
            <v>107.22566222222223</v>
          </cell>
          <cell r="E24">
            <v>105.37893555555559</v>
          </cell>
          <cell r="F24">
            <v>30.985904444444444</v>
          </cell>
        </row>
        <row r="25">
          <cell r="C25">
            <v>79.024093333333354</v>
          </cell>
          <cell r="D25">
            <v>105.37893555555559</v>
          </cell>
          <cell r="E25">
            <v>162.20478222222224</v>
          </cell>
          <cell r="F25">
            <v>56.536797777777792</v>
          </cell>
        </row>
        <row r="26">
          <cell r="C26">
            <v>40.179897777777782</v>
          </cell>
          <cell r="D26">
            <v>30.985904444444444</v>
          </cell>
          <cell r="E26">
            <v>56.536797777777792</v>
          </cell>
          <cell r="F26">
            <v>68.254773333333333</v>
          </cell>
        </row>
      </sheetData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6-21T17:47:59.1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1335 356 0 0,'0'0'3848'0'0,"0"-14"1469"0"0,0-14-2578 0 0,8-86-561 0 0,-6 70-1896 0 0,0 35-252 0 0,-2-1 0 0 0,1 1 1 0 0,-1 0-1 0 0,0-2 0 0 0,-1 2 1 0 0,-2-13-1 0 0,2 11-32 0 0,0 1-1 0 0,0-1 1 0 0,1 1-1 0 0,0-1 1 0 0,0 1 0 0 0,1 0-1 0 0,3-12 1 0 0,1-37-10 0 0,3-80 1 0 0,-8-188-66 0 0,1 312 76 0 0,0 1 1 0 0,1 0-1 0 0,1 0 0 0 0,0-1 0 0 0,1 2 0 0 0,0-1 0 0 0,1 0 0 0 0,0 2 1 0 0,1-2-1 0 0,0 2 0 0 0,0-1 0 0 0,13-15 0 0 0,-1 1-11 0 0,13-14-12 0 0,18-22 63 0 0,-38 53-39 0 0,0 1 0 0 0,0 1 0 0 0,1 0 0 0 0,0 0 0 0 0,0 1 0 0 0,1 2 0 0 0,25-10 0 0 0,1 5-2 0 0,55-7 1 0 0,-62 12 16 0 0,-10 1-20 0 0,0 0 1 0 0,1 3 0 0 0,-1 0-1 0 0,1 1 1 0 0,-1 1-1 0 0,1 3 1 0 0,-1-1 0 0 0,25 8-1 0 0,-38-7 4 0 0,-1 0-1 0 0,1 2 0 0 0,-1-2 1 0 0,0 2-1 0 0,0 1 0 0 0,7 7 1 0 0,-12-12 0 0 0,0 1 0 0 0,0 0 0 0 0,-1 0 0 0 0,1 0 0 0 0,-1 1 0 0 0,0-1 0 0 0,1 1 0 0 0,-1 0 0 0 0,-1-1 0 0 0,1 1 0 0 0,0 0 0 0 0,-1 0 0 0 0,0 0 0 0 0,0 1 0 0 0,0-2 0 0 0,0 2 0 0 0,0 4 0 0 0,2 25-33 0 0,-2-28 31 0 0,-1-1 0 0 0,1 1 0 0 0,-1 1 0 0 0,0-1 0 0 0,0-1 0 0 0,-1 1 0 0 0,1 0 0 0 0,-1-1 0 0 0,0 1 0 0 0,-2 6 0 0 0,-1-1 5 0 0,1-2 0 0 0,-1 0 0 0 0,-1 0-1 0 0,-6 12 1 0 0,9-18-3 0 0,1-1 0 0 0,-1 1 0 0 0,0 0 0 0 0,1-1-1 0 0,-1 0 1 0 0,0-1 0 0 0,0 2 0 0 0,0-1 0 0 0,0-1 0 0 0,-1 1 0 0 0,1-1 0 0 0,0 1-1 0 0,-1 0 1 0 0,1-1 0 0 0,-1 0 0 0 0,1-1 0 0 0,-1 1 0 0 0,-4 1 0 0 0,-8-2-17 0 0,7 0 17 0 0,-1 2 1 0 0,1-4-1 0 0,0 2 1 0 0,0-1-1 0 0,-9-2 1 0 0,16 3 0 0 0,-10-3-4 0 0,-1-1 0 0 0,0 2-1 0 0,0 0 1 0 0,0 0 0 0 0,0 2-1 0 0,-21 2 1 0 0,32-2 27 0 0,-30-21-23 0 0,-10 15 13 0 0,40 6-11 0 0,-2-2-11 0 0,0 1 7 0 0,1 0 0 0 0,-1 0 0 0 0,0 0 0 0 0,0 0 0 0 0,0-1 0 0 0,0 1 0 0 0,0 1 0 0 0,0-1-1 0 0,0 1 1 0 0,0 0 0 0 0,0 0 0 0 0,0 0 0 0 0,-5 1 0 0 0,-80-11 21 0 0,81 8-26 0 0,-30-2-5 0 0,27 4 23 0 0,14-1-30 0 0,21 8-30 0 0,55 28 71 0 0,-59-27-25 0 0,0 1 1 0 0,-1 0 0 0 0,0 3 0 0 0,-1-1-1 0 0,0 3 1 0 0,-1-1 0 0 0,0 2 0 0 0,-1 0-1 0 0,0 1 1 0 0,-1 2 0 0 0,-1-1 0 0 0,16 25-1 0 0,-23-30 2 0 0,-1 0 0 0 0,-1 0 1 0 0,0 1-1 0 0,-1-1 0 0 0,0 1 0 0 0,0 0 0 0 0,-2 1 0 0 0,1 0 0 0 0,-1-1 0 0 0,-1 1 0 0 0,1 20 0 0 0,1 0 9 0 0,-4-31-2 0 0,1 2 0 0 0,0-1 0 0 0,-1 1 1 0 0,0-1-1 0 0,0 1 0 0 0,0-2 0 0 0,0 2 0 0 0,-1 0 1 0 0,1-1-1 0 0,-3 9 0 0 0,1-9 0 0 0,0 1 0 0 0,0-1 0 0 0,0 1 1 0 0,-1-1-1 0 0,1 1 0 0 0,-1-2 0 0 0,0 2 0 0 0,0-2 0 0 0,0 1 1 0 0,0 0-1 0 0,-1-2 0 0 0,1 2 0 0 0,-1-1 0 0 0,0-1 0 0 0,0 2 1 0 0,0-2-1 0 0,0 0 0 0 0,0 0 0 0 0,0 0 0 0 0,-6 1 0 0 0,-10 3 71 0 0,0-3 0 0 0,-1 1 0 0 0,-28 0 0 0 0,17-2 33 0 0,6-2-96 0 0,0 0 1 0 0,0-2 0 0 0,0 0-1 0 0,0-3 1 0 0,0 0 0 0 0,1-2-1 0 0,0-1 1 0 0,0-2 0 0 0,0 0-1 0 0,1-3 1 0 0,-28-18 0 0 0,35 21-11 0 0,12 8-4 0 0,0-1 0 0 0,0 0 0 0 0,1 0 0 0 0,-1-1 0 0 0,1 1 0 0 0,-1 0 0 0 0,1-2 1 0 0,0 1-1 0 0,0 0 0 0 0,1 0 0 0 0,-6-11 0 0 0,-1 1 7 0 0,8 13-6 0 0,1 0 0 0 0,0 0-1 0 0,0 0 1 0 0,0-2 0 0 0,0 2 0 0 0,0 0 0 0 0,0-1 0 0 0,1 1 0 0 0,-1 0 0 0 0,0-2-1 0 0,1 2 1 0 0,-1-1 0 0 0,1 1 0 0 0,-1-1 0 0 0,1 0 0 0 0,0 0 0 0 0,0 1 0 0 0,0-4-1 0 0,0 5-91 0 0,0 0-1 0 0,0-1 1 0 0,0 1 0 0 0,0 0-1 0 0,0 0 1 0 0,0 0-1 0 0,0 0 1 0 0,0-1-1 0 0,-1 1 1 0 0,1 0-1 0 0,0 0 1 0 0,0 0-1 0 0,0 0 1 0 0,0-1-1 0 0,0 1 1 0 0,0 0-1 0 0,0 0 1 0 0,0 0 0 0 0,0 0-1 0 0,0 0 1 0 0,-1 0-1 0 0,1-1 1 0 0,0 1-1 0 0,0 0 1 0 0,0 0-1 0 0,0 0 1 0 0,0 0-1 0 0,0 0 1 0 0,-1 0-1 0 0,1 0 1 0 0,0 0-1 0 0,0 0 1 0 0,0-1-1 0 0,0 1 1 0 0,-1 0 0 0 0,1 0-1 0 0,0 0 1 0 0,0 0-1 0 0,0 0 1 0 0,0 0-1 0 0,-1 0 1 0 0,1 0-1 0 0,0 0 1 0 0,0 0-1 0 0,0 0 1 0 0,-1 0-1 0 0,1 1 1 0 0,0-1-1 0 0,0 0 1 0 0,0 0 0 0 0,0 0-1 0 0,-1 0 1 0 0,2 1-89 0 0,-1-1 1 0 0,0 1 0 0 0,0-1 0 0 0,1 1-1 0 0,-1-1 1 0 0,0 0 0 0 0,1 1-1 0 0,-1-1 1 0 0,0 2 0 0 0,1-2 0 0 0,-1 0-1 0 0,1 1 1 0 0,-1-1 0 0 0,0 0 0 0 0,1 1-1 0 0,-1-1 1 0 0,1 0 0 0 0,-1 0 0 0 0,1 1-1 0 0,-1-1 1 0 0,1 0 0 0 0,0 0-1 0 0,-1 0 1 0 0,1 0 0 0 0,-1 0 0 0 0,1 0-1 0 0,-1 0 1 0 0,1 0 0 0 0,-1 0 0 0 0,1 0-1 0 0,-1 0 1 0 0,2 0 0 0 0,13 1-1805 0 0,1-1 318 0 0</inkml:trace>
  <inkml:trace contextRef="#ctx0" brushRef="#br0" timeOffset="1">912 831 336 0 0,'13'-1'1575'0'0,"-3"3"1163"0"0,-9 18-2072 0 0,-1-14-911 0 0,-10 24 453 0 0,8-27-179 0 0,0 0 0 0 0,0 1 0 0 0,1-1 0 0 0,0 2 0 0 0,-1-2 1 0 0,1 1-1 0 0,0 0 0 0 0,0 0 0 0 0,0 6 0 0 0,-15 103 207 0 0,16-106-224 0 0,0 0 1 0 0,0 0-1 0 0,1-1 1 0 0,0 1-1 0 0,0 0 1 0 0,1 0-1 0 0,0 0 1 0 0,4 11 0 0 0,-5-16-8 0 0,1 2 1 0 0,-1-2-1 0 0,0 0 0 0 0,1 0 1 0 0,-1 1-1 0 0,1-2 1 0 0,0 1-1 0 0,0 0 1 0 0,-1-1-1 0 0,1 2 1 0 0,0-2-1 0 0,1 1 0 0 0,-1-1 1 0 0,0 0-1 0 0,0 1 1 0 0,0-1-1 0 0,1 0 1 0 0,-1 0-1 0 0,0-1 1 0 0,1 1-1 0 0,-1-1 1 0 0,1 1-1 0 0,-1-1 0 0 0,4 0 1 0 0,1-1 5 0 0,0 1-1 0 0,0-2 1 0 0,0 1 0 0 0,-1-2-1 0 0,1 1 1 0 0,0 0-1 0 0,11-7 1 0 0,21-8-525 0 0,-38 17 347 0 0,0-1-1 0 0,0 0 1 0 0,0 1 0 0 0,0-2-1 0 0,0 1 1 0 0,0 1-1 0 0,-1-1 1 0 0,1 0 0 0 0,0 0-1 0 0,0 0 1 0 0,0 0-1 0 0,-1-1 1 0 0,1 1 0 0 0,0 0-1 0 0,-1 0 1 0 0,1 0-1 0 0,-1 0 1 0 0,0 0 0 0 0,1-1-1 0 0,-1 1 1 0 0,0 0-1 0 0,1-1 1 0 0,-1 1 0 0 0,0 0-1 0 0,0-3 1 0 0,0-1-838 0 0</inkml:trace>
  <inkml:trace contextRef="#ctx0" brushRef="#br0" timeOffset="2">945 675 264 0 0,'0'0'4108'0'0,"8"0"-8420"0"0</inkml:trace>
  <inkml:trace contextRef="#ctx0" brushRef="#br0" timeOffset="3">1335 321 140 0 0,'15'6'5087'0'0,"28"-6"-5173"0"0,-36 0 458 0 0,197-2 48 0 0,-1-2-4580 0 0</inkml:trace>
  <inkml:trace contextRef="#ctx0" brushRef="#br0" timeOffset="4">1441 659 76 0 0,'8'6'5879'0'0,"270"-6"-3566"0"0,-245 6-2731 0 0,-28-5-200 0 0,0 0 1 0 0,0 0-1 0 0,0 0 1 0 0,0-1-1 0 0,0 1 1 0 0,0-1-1 0 0,0 0 0 0 0,0-1 1 0 0,5 0-1 0 0,-2-3-636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6-21T17:47:59.1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657 1839 8 0 0,'-1'-1'103'0'0,"0"1"0"0"0,1-1-1 0 0,-1 1 1 0 0,0-1 0 0 0,1 1 0 0 0,-1 0-1 0 0,0-1 1 0 0,0 1 0 0 0,1 0 0 0 0,-1-1-1 0 0,0 1 1 0 0,0 0 0 0 0,0 0 0 0 0,1 0 0 0 0,-1 0-1 0 0,0 0 1 0 0,0 0 0 0 0,0 0 0 0 0,0 0-1 0 0,1 0 1 0 0,-1 0 0 0 0,0 0 0 0 0,0 0-1 0 0,0 1 1 0 0,1-1 0 0 0,-1 0 0 0 0,0 1 0 0 0,0-1-1 0 0,1 0 1 0 0,-1 1 0 0 0,0-1 0 0 0,0 2-1 0 0,-30 12 1926 0 0,10 0-1177 0 0,1 0 0 0 0,1 0 0 0 0,0 2 0 0 0,1 1 0 0 0,0 0 0 0 0,2 1 0 0 0,-27 37 0 0 0,36-44-807 0 0,-1 1 0 0 0,1-1 1 0 0,1 2-1 0 0,0-1 0 0 0,1 1 1 0 0,0 0-1 0 0,1 1 1 0 0,0-1-1 0 0,1 1 0 0 0,0 0 1 0 0,1 0-1 0 0,0-1 0 0 0,1 1 1 0 0,1 0-1 0 0,2 24 1 0 0,0-29-44 0 0,1-1 1 0 0,-1 1-1 0 0,2-1 1 0 0,-1 0-1 0 0,1 0 1 0 0,0 0-1 0 0,1-1 1 0 0,0 1 0 0 0,0-1-1 0 0,0 0 1 0 0,1-1-1 0 0,0 1 1 0 0,0-1-1 0 0,0 0 1 0 0,1-1-1 0 0,11 8 1 0 0,-5-5-4 0 0,1 2 0 0 0,0-2 0 0 0,1-1-1 0 0,-1-1 1 0 0,1 1 0 0 0,1-2 0 0 0,27 6 0 0 0,-20-8 4 0 0,1-1 0 0 0,-1-1 0 0 0,1-2 0 0 0,0 0 1 0 0,24-4-1 0 0,-35 2 9 0 0,-1 1 0 0 0,1-3 0 0 0,-1 2 0 0 0,1-2 0 0 0,-1-1-1 0 0,0 1 1 0 0,-1-1 0 0 0,0-1 0 0 0,0 0 0 0 0,19-17 0 0 0,-26 20 1 0 0,0-1 0 0 0,0 1-1 0 0,-1 0 1 0 0,1-2 0 0 0,-1 1-1 0 0,0 0 1 0 0,0-1 0 0 0,0 1-1 0 0,-1 0 1 0 0,0-1 0 0 0,0 0 0 0 0,0 0-1 0 0,-1 0 1 0 0,0 1 0 0 0,0-2-1 0 0,0 1 1 0 0,0 0 0 0 0,-1 0-1 0 0,0 0 1 0 0,-1 0 0 0 0,1 0 0 0 0,-1-1-1 0 0,0 2 1 0 0,0-2 0 0 0,-4-9-1 0 0,-4-9-1 0 0,-1 0 0 0 0,-1 0 0 0 0,-1 1 0 0 0,-22-32-1 0 0,27 44-12 0 0,-11-13 2 0 0,-1 2 1 0 0,-1-1 0 0 0,-1 3 0 0 0,-1 0 0 0 0,-1 1 0 0 0,-1 2 0 0 0,0-1 0 0 0,-34-16 0 0 0,47 29-12 0 0,0 0-1 0 0,-1 1 1 0 0,0 1 0 0 0,0 0 0 0 0,0 1-1 0 0,0 0 1 0 0,0 1 0 0 0,0 1-1 0 0,-25 0 1 0 0,38 1 12 0 0,-1 0 0 0 0,0 0 0 0 0,0 1-1 0 0,0-1 1 0 0,1 0 0 0 0,-1 0 0 0 0,0 0 0 0 0,0 1-1 0 0,0-1 1 0 0,0 0 0 0 0,0 0 0 0 0,0 1 0 0 0,0-1-1 0 0,1 0 1 0 0,-1 0 0 0 0,0 1 0 0 0,0-1 0 0 0,0 0 0 0 0,0 1-1 0 0,0-1 1 0 0,0 0 0 0 0,0 0 0 0 0,0 1 0 0 0,0-1-1 0 0,-1 0 1 0 0,1 0 0 0 0,0 1 0 0 0,0-1 0 0 0,0 0-1 0 0,0 0 1 0 0,0 1 0 0 0,0-1 0 0 0,-1 0 0 0 0,1 0-1 0 0,0 1 1 0 0,0-1 0 0 0,0 0 0 0 0,0 0 0 0 0,-1 0-1 0 0,1 1 1 0 0,0-1 0 0 0,0 0 0 0 0,-1 0 0 0 0,1 0-1 0 0,0 0 1 0 0,0 0 0 0 0,-1 0 0 0 0,1 1 0 0 0,0-1-1 0 0,0 0 1 0 0,-1 0 0 0 0,1 0 0 0 0,0 0 0 0 0,0 0-1 0 0,-1 0 1 0 0,1 0 0 0 0,0 0 0 0 0,-1 0 0 0 0,20 13 19 0 0,12-5-2 0 0,1-2-1 0 0,0 0 0 0 0,62 0 1 0 0,98-13 29 0 0,-21-2-794 0 0,-146 8 38 0 0,9 0-2937 0 0,-30 1 824 0 0,-17 3-580 0 0,-3 0 1781 0 0</inkml:trace>
  <inkml:trace contextRef="#ctx0" brushRef="#br0" timeOffset="1">665 36 80 0 0,'1'-1'249'0'0,"1"-1"1"0"0,-1 1-1 0 0,0 0 1 0 0,0-1-1 0 0,1 1 0 0 0,-1 0 1 0 0,0-1-1 0 0,0-1 1 0 0,0 2-1 0 0,-1-1 0 0 0,1 0 1 0 0,0 1-1 0 0,-1-1 1 0 0,1 0-1 0 0,0-4 0 0 0,-2 6-209 0 0,0-1 0 0 0,-1 0-1 0 0,1 1 1 0 0,0-1 0 0 0,-1 0 0 0 0,1 1-1 0 0,0 0 1 0 0,-1-1 0 0 0,1 1-1 0 0,-1 0 1 0 0,1 0 0 0 0,-1 0-1 0 0,1 0 1 0 0,0 0 0 0 0,-1 0-1 0 0,1 0 1 0 0,-1 0 0 0 0,1 1-1 0 0,-2-1 1 0 0,-35 5-21 0 0,-64 23-79 0 0,74-18 196 0 0,0 2 0 0 0,0 1 0 0 0,-40 25 0 0 0,55-30-18 0 0,0 1 0 0 0,0 0 0 0 0,1 2 0 0 0,0 0 0 0 0,1-1 1 0 0,0 2-1 0 0,1 0 0 0 0,0 1 0 0 0,1 0 0 0 0,0-1 0 0 0,1 2 1 0 0,0 0-1 0 0,1 1 0 0 0,1 0 0 0 0,-9 29 0 0 0,11-28-42 0 0,0 2-1 0 0,2-2 1 0 0,0 0 0 0 0,0 1-1 0 0,2 0 1 0 0,1 16-1 0 0,0-25-27 0 0,0 1 0 0 0,0-2-1 0 0,1 2 1 0 0,0-2 0 0 0,1 1-1 0 0,0-1 1 0 0,5 12 0 0 0,-4-12 0 0 0,0-1 0 0 0,1 1 0 0 0,-1-1 0 0 0,1 0 0 0 0,7 6 0 0 0,-1-2 2 0 0,1 0 0 0 0,1-1 1 0 0,-1-1-1 0 0,1 1 0 0 0,1-3 0 0 0,-1 0 0 0 0,1 1 0 0 0,0-2 1 0 0,0-1-1 0 0,1 1 0 0 0,-1-2 0 0 0,1-1 0 0 0,0 0 1 0 0,15-1-1 0 0,-7 0-38 0 0,-1-2 0 0 0,0-1 0 0 0,0-1 0 0 0,0-1 0 0 0,-1-1 0 0 0,1-1 0 0 0,-1 0 0 0 0,38-20 1 0 0,-44 18-1 0 0,-1 0 1 0 0,0-2 0 0 0,0 0 0 0 0,-1 0 0 0 0,23-23-1 0 0,-31 28-7 0 0,-1 0 0 0 0,1-1 0 0 0,-1 0 0 0 0,0 1 0 0 0,0-2 0 0 0,-1 1 0 0 0,1-1 0 0 0,-1 1 0 0 0,-1-1-1 0 0,1 0 1 0 0,-1 0 0 0 0,0 0 0 0 0,-1-1 0 0 0,1 2 0 0 0,0-15 0 0 0,-2 13-2 0 0,-1 0 1 0 0,0 1 0 0 0,0-1-1 0 0,0 2 1 0 0,-1-1 0 0 0,0-1-1 0 0,0 2 1 0 0,-1-1-1 0 0,0 0 1 0 0,0 0 0 0 0,0 1-1 0 0,-6-9 1 0 0,-4-4-3 0 0,-1 2 0 0 0,-27-25 1 0 0,18 18-4 0 0,10 13-1 0 0,0 0 1 0 0,-1 2 0 0 0,1-1 0 0 0,-2 1 0 0 0,-22-9 0 0 0,-13-9-2 0 0,42 24 2 0 0,-1-1 0 0 0,1 1 0 0 0,-1 1 1 0 0,0-1-1 0 0,0 1 0 0 0,0 0 0 0 0,0 1 1 0 0,0 1-1 0 0,0 0 0 0 0,0 0 0 0 0,0 0 0 0 0,0 1 1 0 0,0 1-1 0 0,0-1 0 0 0,-11 6 0 0 0,19-7 0 0 0,0 0 0 0 0,0 1 0 0 0,0-1 0 0 0,0 0 1 0 0,1 0-1 0 0,-1 1 0 0 0,0-1 0 0 0,0 1 0 0 0,0-1 0 0 0,1 1 0 0 0,-1-1 0 0 0,0 1 0 0 0,0-1 0 0 0,1 1 0 0 0,-1 0 0 0 0,1-1 0 0 0,-1 1 0 0 0,0 0 0 0 0,1 0 1 0 0,0-1-1 0 0,-1 2 0 0 0,1-1 0 0 0,-1 1 0 0 0,1-1 1 0 0,0-1 0 0 0,0 1 0 0 0,1 0 0 0 0,-1 0 1 0 0,0-1-1 0 0,1 1 0 0 0,-1 0 0 0 0,0-1 0 0 0,1 1 0 0 0,-1 0 0 0 0,1-1 1 0 0,-1 1-1 0 0,1-1 0 0 0,-1 1 0 0 0,1 1 0 0 0,0-2 0 0 0,-1 0 1 0 0,1 1-1 0 0,0-1 0 0 0,1 1 0 0 0,2 2 3 0 0,0-1 1 0 0,0 0-1 0 0,1-1 1 0 0,-1 1-1 0 0,1 0 1 0 0,-1-1-1 0 0,1 0 1 0 0,5 0-1 0 0,41 0-3 0 0,1-3 0 0 0,-1-3-1 0 0,81-17 1 0 0,126-30-29 0 0,-206 44 3 0 0,10-1-742 0 0,30 1-2485 0 0,-20 1-618 0 0,-48 6 2731 0 0</inkml:trace>
  <inkml:trace contextRef="#ctx0" brushRef="#br0" timeOffset="2">1104 768 308 0 0,'-6'2'371'0'0,"0"2"1"0"0,-1-1-1 0 0,1 0 0 0 0,1 0 1 0 0,-1 1-1 0 0,0 1 0 0 0,1-1 1 0 0,0 0-1 0 0,0 2 0 0 0,0-1 1 0 0,1 0-1 0 0,-8 12 0 0 0,0-2-151 0 0,1 1 0 0 0,0 0-1 0 0,1 0 1 0 0,-14 33-1 0 0,23-46-208 0 0,-3 7 28 0 0,0 1 1 0 0,0 1-1 0 0,2-2 0 0 0,-1 1 1 0 0,-1 19-1 0 0,4-28-34 0 0,0 0 1 0 0,0 1-1 0 0,0-1 0 0 0,0 1 1 0 0,0-1-1 0 0,1 0 0 0 0,-1 0 1 0 0,1 0-1 0 0,-1 1 0 0 0,1-1 1 0 0,0 0-1 0 0,0 0 1 0 0,0 0-1 0 0,0 0 0 0 0,0 0 1 0 0,0 1-1 0 0,0-2 0 0 0,1 1 1 0 0,-1 0-1 0 0,1-1 0 0 0,-1 1 1 0 0,1-1-1 0 0,0 0 0 0 0,0 2 1 0 0,-1-2-1 0 0,1 0 0 0 0,0 0 1 0 0,0 0-1 0 0,0 0 0 0 0,0-1 1 0 0,0 1-1 0 0,0 0 1 0 0,0-1-1 0 0,1 1 0 0 0,-1-1 1 0 0,3 0-1 0 0,0 1-251 0 0,1 0 0 0 0,-1 0-1 0 0,1 0 1 0 0,0-1 0 0 0,-1 0 0 0 0,1-1 0 0 0,-1 1-1 0 0,1-1 1 0 0,-1 0 0 0 0,1 0 0 0 0,-1 0 0 0 0,1-1 0 0 0,-1 0-1 0 0,0 0 1 0 0,0-2 0 0 0,0 2 0 0 0,0-1 0 0 0,0 0 0 0 0,-1 0-1 0 0,8-8 1 0 0,-3-4-966 0 0</inkml:trace>
  <inkml:trace contextRef="#ctx0" brushRef="#br0" timeOffset="3">1080 488 12 0 0,'-8'0'1248'0'0,"8"-5"1244"0"0,0 0-1988 0 0,8 5-360 0 0,-8-5-60 0 0,8 5-192 0 0</inkml:trace>
  <inkml:trace contextRef="#ctx0" brushRef="#br0" timeOffset="4">1324 709 264 0 0,'1'40'3234'0'0,"4"-17"-2651"0"0,-1 2 0 0 0,0 0 0 0 0,-2 1 0 0 0,-2 41 0 0 0,0-63-531 0 0,8 101 536 0 0,0 28-577 0 0,-8-133-61 0 0,0 1-1 0 0,0-1 1 0 0,0 0-1 0 0,0 0 1 0 0,0 1-1 0 0,0-1 1 0 0,0 0-1 0 0,-1 0 1 0 0,1 0-1 0 0,0 1 1 0 0,0-1 0 0 0,0 0-1 0 0,-1 0 1 0 0,1 0-1 0 0,0 1 1 0 0,0-1-1 0 0,0 0 1 0 0,-1 0-1 0 0,1 0 1 0 0,0 0 0 0 0,0 0-1 0 0,-1 0 1 0 0,1 0-1 0 0,0 0 1 0 0,0 0-1 0 0,-1 1 1 0 0,1-1-1 0 0,0 0 1 0 0,0 0-1 0 0,-1 0 1 0 0,1 0 0 0 0,0-1-1 0 0,0 1 1 0 0,-1 0-1 0 0,1 0 1 0 0,0 0-1 0 0,0 0 1 0 0,-1 0-1 0 0,1 0 1 0 0,0 0 0 0 0,0 0-1 0 0,-1 0 1 0 0,1-1-1 0 0,0 1 1 0 0,0 0-1 0 0,0 0 1 0 0,-1-1-1 0 0,-13-8-2470 0 0,6 1 1228 0 0</inkml:trace>
  <inkml:trace contextRef="#ctx0" brushRef="#br0" timeOffset="5">1299 709 92 0 0,'64'40'4019'0'0,"-49"-28"-3790"0"0,-1-1-1 0 0,-1 2 1 0 0,0 0-1 0 0,0 1 1 0 0,-1 1-1 0 0,-1 0 1 0 0,13 23-1 0 0,48 46 420 0 0,-71-82-569 0 0,-1-2-1 0 0,0 1 0 0 0,1-1 1 0 0,-1 1-1 0 0,1-1 1 0 0,-1 1-1 0 0,0-1 0 0 0,1 1 1 0 0,-1-1-1 0 0,1 1 1 0 0,0-1-1 0 0,-1 0 0 0 0,1 1 1 0 0,-1-1-1 0 0,1 0 0 0 0,-1 1 1 0 0,1-1-1 0 0,0 0 1 0 0,-1 0-1 0 0,1 1 0 0 0,0-1 1 0 0,-1 0-1 0 0,1 0 1 0 0,0 0-1 0 0,-1 0 0 0 0,1 0 1 0 0,0 0-1 0 0,-1 0 1 0 0,1 0-1 0 0,0 0 0 0 0,-1-1 1 0 0,1 1-1 0 0,0 0 0 0 0,-1 0 1 0 0,1-1-1 0 0,0 1 1 0 0,-1 0-1 0 0,1 0 0 0 0,-1-1 1 0 0,1 1-1 0 0,0-1 1 0 0,18-35 609 0 0,-15 25-678 0 0,1-2 0 0 0,-2 1 0 0 0,0-1 0 0 0,0 0 0 0 0,-1 0 0 0 0,-1-1 0 0 0,1-13 0 0 0,-2 21-8 0 0,1 2 0 0 0,0 0 0 0 0,0-1 0 0 0,0 1 0 0 0,1 0 0 0 0,-1-1 0 0 0,1 1 0 0 0,0 1 0 0 0,3-7 1 0 0,-2 7-2 0 0,-1-1 1 0 0,0 0-1 0 0,-1 0 1 0 0,1 1 0 0 0,0-1-1 0 0,-1-1 1 0 0,0 1 0 0 0,0 0-1 0 0,0-6 1 0 0,7-4-5 0 0,-7 13 3 0 0,0 1 0 0 0,-1-1-1 0 0,1 1 1 0 0,-1-1 0 0 0,1 1 0 0 0,-1-1-1 0 0,1 1 1 0 0,-1-1 0 0 0,1 0 0 0 0,-1 1-1 0 0,1-1 1 0 0,-1 0 0 0 0,0 0 0 0 0,1 1-1 0 0,-1-2 1 0 0,0 1 0 0 0,0 0 0 0 0,0 1-1 0 0,1-1 1 0 0,-1-1 0 0 0,3-5-8 0 0,9-5 4 0 0,-11 28-25 0 0,0-1-1 0 0,-1 1 1 0 0,-1 0 0 0 0,0-1-1 0 0,-5 26 1 0 0,-2 76 112 0 0,6-104-46 0 0,1 1 0 0 0,1 0 0 0 0,0 0 0 0 0,0 0 0 0 0,5 24 0 0 0,0 24 259 0 0,3 4 228 0 0,-7-61-182 0 0,4 17-1650 0 0,-9-20-1240 0 0,-8-13-1828 0 0,4 4 2403 0 0,-7 1 334 0 0</inkml:trace>
  <inkml:trace contextRef="#ctx0" brushRef="#br0" timeOffset="6">30 1397 240 0 0,'-29'4'2609'0'0,"46"5"-303"0"0,53 6-58 0 0,270-11 240 0 0,-175-7-1933 0 0,236 3-70 0 0,351 0 254 0 0,-751 0-652 0 0,-2 1-135 0 0,0 0-1 0 0,-1 0 0 0 0,1 0 1 0 0,-1 0-1 0 0,1 0 1 0 0,0 0-1 0 0,-1-1 0 0 0,1 1 1 0 0,-1 1-1 0 0,0-2 1 0 0,1 1-1 0 0,-1-1 1 0 0,1 0-1 0 0,-1 0 0 0 0,0 1 1 0 0,1-1-1 0 0,-1 0 1 0 0,0 0-1 0 0,-2-1 1 0 0,-36 0-7154 0 0,32-3 5361 0 0,0 3 322 0 0</inkml:trace>
  <inkml:trace contextRef="#ctx0" brushRef="#br0" timeOffset="7">1226 2295 396 0 0,'0'0'4916'0'0,"0"50"-2455"0"0,0 180-50 0 0,1-220-2352 0 0,0-1 0 0 0,0 2 0 0 0,1-1 0 0 0,6 18 0 0 0,-5-20-36 0 0,-1 1 0 0 0,0 0 0 0 0,0 0 0 0 0,1 16 0 0 0,0-9 64 0 0,-3-3-2359 0 0,-21-18-1886 0 0,6 0 2351 0 0,-1-4 179 0 0</inkml:trace>
  <inkml:trace contextRef="#ctx0" brushRef="#br0" timeOffset="8">1202 2335 16 0 0,'34'35'3646'0'0,"36"115"-976"0"0,-67-144-2658 0 0,18 24 178 0 0,-19-29-181 0 0,-1-1 1 0 0,0 1-1 0 0,0-1 0 0 0,1 0 1 0 0,-1 1-1 0 0,0-1 0 0 0,0 0 1 0 0,1 0-1 0 0,-1 0 0 0 0,0 0 1 0 0,1 0-1 0 0,-1 0 1 0 0,0 0-1 0 0,1 0 0 0 0,-1-1 1 0 0,0 1-1 0 0,1 0 0 0 0,-1-1 1 0 0,0 1-1 0 0,0-1 0 0 0,0 1 1 0 0,0-1-1 0 0,1 0 1 0 0,0-2-1 0 0,1 0-4 0 0,0 0 1 0 0,-1 0-1 0 0,0-1 0 0 0,0 0 1 0 0,1 1-1 0 0,-2-1 0 0 0,1 0 1 0 0,0 0-1 0 0,-1 0 0 0 0,0 0 1 0 0,0-1-1 0 0,0 1 0 0 0,0 0 1 0 0,-1-1-1 0 0,1-6 0 0 0,15-77-18 0 0,-15 85 8 0 0,0 1-1 0 0,0 0 1 0 0,0 1-1 0 0,0-1 1 0 0,0-1 0 0 0,0 1-1 0 0,-1-1 1 0 0,1 1 0 0 0,-1 0-1 0 0,0 0 1 0 0,0 0-1 0 0,1 0 1 0 0,-2-5 0 0 0,3 8-1 0 0,0 2 0 0 0,0-2 0 0 0,0 1 0 0 0,0 0 0 0 0,-1-1 0 0 0,1 1 1 0 0,-1 0-1 0 0,1 0 0 0 0,-1 1 0 0 0,0-1 0 0 0,0 0 0 0 0,0 0 0 0 0,0 1 0 0 0,0-1 1 0 0,0 0-1 0 0,-1 1 0 0 0,1 0 0 0 0,-1-1 0 0 0,0 1 0 0 0,1 3 0 0 0,7 44-2 0 0,0 67 68 0 0,0-13 12 0 0,0-41-31 0 0,-5-54-1169 0 0,-7-9-2080 0 0,-4-3 2850 0 0,-7-3-938 0 0</inkml:trace>
  <inkml:trace contextRef="#ctx0" brushRef="#br0" timeOffset="9">1251 1740 268 0 0,'0'0'2991'0'0,"16"-20"-1706"0"0,-8 17-1205 0 0,0-1-1 0 0,0 0 0 0 0,-1 0 1 0 0,1-2-1 0 0,7-5 0 0 0,27-15 787 0 0,-24 16-401 0 0,-15 9-420 0 0,-1 0 0 0 0,1-1 0 0 0,-1 1-1 0 0,1 0 1 0 0,-1 1 0 0 0,1-1 0 0 0,0 0 0 0 0,-1 1-1 0 0,1-1 1 0 0,3 1 0 0 0,3-1 93 0 0,-8 1-128 0 0,1 0-1 0 0,-1 0 0 0 0,1 0 0 0 0,-1-2 0 0 0,1 2 1 0 0,-1 2-1 0 0,1-2 0 0 0,-1 0 0 0 0,1 0 0 0 0,-1 0 0 0 0,1 1 1 0 0,-1-1-1 0 0,1 1 0 0 0,-1-1 0 0 0,1 1 0 0 0,-1 0 0 0 0,0 0 1 0 0,1-1-1 0 0,-1 1 0 0 0,0 0 0 0 0,0 0 0 0 0,0 0 1 0 0,1 0-1 0 0,-1 0 0 0 0,0 1 0 0 0,0 0 0 0 0,-1-1 0 0 0,1 0 1 0 0,0 1-1 0 0,0-1 0 0 0,-1 0 0 0 0,2 3 0 0 0,1 2 75 0 0,-1 0-1 0 0,1 1 0 0 0,-1-1 0 0 0,0 0 0 0 0,0 1 1 0 0,-1-1-1 0 0,0 2 0 0 0,0-2 0 0 0,0 1 0 0 0,-1 0 1 0 0,0 0-1 0 0,0 0 0 0 0,-2 10 0 0 0,-6 21 157 0 0,7-30-207 0 0,0 2-1 0 0,-1-1 0 0 0,0-1 0 0 0,-1 1 0 0 0,0-1 1 0 0,0 1-1 0 0,-1 0 0 0 0,0-1 0 0 0,0 0 0 0 0,0-1 1 0 0,-7 9-1 0 0,1-3-12 0 0,-16 15 36 0 0,25-27-53 0 0,-1 0 0 0 0,1-1 1 0 0,-1 1-1 0 0,1-1 1 0 0,-1 1-1 0 0,1-1 1 0 0,-1 0-1 0 0,0 0 1 0 0,1 1-1 0 0,-1-1 1 0 0,0 0-1 0 0,1 0 0 0 0,-1-1 1 0 0,1 1-1 0 0,-1 0 1 0 0,0 0-1 0 0,1-1 1 0 0,-1 1-1 0 0,1-1 1 0 0,-1 0-1 0 0,1 1 1 0 0,-1-1-1 0 0,-1-1 1 0 0,-3-1 7 0 0,5 3-10 0 0,1 0-1 0 0,0 0 1 0 0,-1 0 0 0 0,1 0-1 0 0,-1 0 1 0 0,1 0 0 0 0,0 0-1 0 0,-1 0 1 0 0,1-1 0 0 0,0 1-1 0 0,-1 0 1 0 0,1 0 0 0 0,0 0-1 0 0,-1-1 1 0 0,1 1 0 0 0,0 0 0 0 0,-1 0-1 0 0,1-2 1 0 0,0 2 0 0 0,0 0-1 0 0,-1-1 1 0 0,1 1 0 0 0,0 0-1 0 0,0-1 1 0 0,0 1 0 0 0,0-1-1 0 0,-1 1 1 0 0,1 0 0 0 0,0-1-1 0 0,0 1 1 0 0,0 0 0 0 0,0-1-1 0 0,0 1 1 0 0,0-1 0 0 0,0 1 0 0 0,0-1-1 0 0,-5-8-4 0 0,5 9 3 0 0,0 0 1 0 0,0 0 0 0 0,0-1-1 0 0,-1 1 1 0 0,1 0 0 0 0,0 0-1 0 0,0 0 1 0 0,0-1-1 0 0,-1 1 1 0 0,1 0 0 0 0,0 0-1 0 0,0 0 1 0 0,0-1 0 0 0,0 1-1 0 0,0 0 1 0 0,0 0-1 0 0,0-1 1 0 0,-1 1 0 0 0,1 0-1 0 0,0 0 1 0 0,0-1 0 0 0,0 1-1 0 0,0 0 1 0 0,0 0 0 0 0,0-1-1 0 0,0 1 1 0 0,0 0-1 0 0,0 0 1 0 0,0-1 0 0 0,0 1-1 0 0,1 0 1 0 0,-1 0 0 0 0,0-1-1 0 0,0 1 1 0 0,0 0-1 0 0,0 0 1 0 0,0 0 0 0 0,0-1-1 0 0,0 1 1 0 0,1 0 0 0 0,-1 0-1 0 0,0 0 1 0 0,0-1 0 0 0,0 1-1 0 0,1 0 1 0 0,-1 0-1 0 0,0 0 1 0 0,0 0 0 0 0,0-1-1 0 0,1 1 1 0 0,-1 0 0 0 0,0 0-1 0 0,0 0 1 0 0,1 0-1 0 0,-1 0 1 0 0,0 0 0 0 0,0 0-1 0 0,1 0 1 0 0,-1 0 0 0 0,0 0-1 0 0,1 0 1 0 0,5-4-7 0 0,1 2 0 0 0,0-1 0 0 0,0 2 1 0 0,0-1-1 0 0,0 1 0 0 0,0 0 0 0 0,1 0 0 0 0,-1 1 1 0 0,13 1-1 0 0,13-1 222 0 0,97-5-1590 0 0,-116 4 552 0 0,-1-1-1 0 0,0 0 1 0 0,1-1 0 0 0,-1-2-1 0 0,0 1 1 0 0,-1-1-1 0 0,16-9 1 0 0,-10 0-467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6-21T17:47:59.1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685 44 864 0 0,'1'0'137'0'0,"-1"-1"0"0"0,1 1 1 0 0,0-1-1 0 0,-1 1 0 0 0,1-1 0 0 0,0 1 0 0 0,-1-1 1 0 0,1 1-1 0 0,-1-1 0 0 0,1 0 0 0 0,0 1 0 0 0,-1-1 1 0 0,0 0-1 0 0,1 1 0 0 0,-1-1 0 0 0,1 0 0 0 0,-1 0 1 0 0,0 0-1 0 0,0 1 0 0 0,1-1 0 0 0,-1 0 0 0 0,0-1 1 0 0,0 1-1 0 0,0 0 0 0 0,0 1 0 0 0,0-1 1 0 0,0 0-1 0 0,0 0 0 0 0,0 0 0 0 0,0 0 0 0 0,-1 1 1 0 0,1-1-1 0 0,0 0 0 0 0,0 0 0 0 0,-1 0 0 0 0,1 1 1 0 0,0-1-1 0 0,-1 0 0 0 0,1 0 0 0 0,-1 1 0 0 0,1-1 1 0 0,-1 0-1 0 0,0 1 0 0 0,1-1 0 0 0,-1 1 0 0 0,1-2 1 0 0,-1 2-1 0 0,0-1 0 0 0,0 0 0 0 0,-18-5 324 0 0,-7 9-349 0 0,-1 1 0 0 0,1 3 1 0 0,0-1-1 0 0,0 3 0 0 0,1 0 1 0 0,-27 14-1 0 0,23-11 93 0 0,-12 5-31 0 0,1 2 1 0 0,0 1-1 0 0,1 2 0 0 0,2 2 0 0 0,0 2 0 0 0,2 1 0 0 0,-50 50 1 0 0,76-67-162 0 0,1 0 0 0 0,1 1 0 0 0,0-1 0 0 0,0 2 0 0 0,1 0 0 0 0,0-1 0 0 0,1 1 0 0 0,1 0 1 0 0,-6 18-1 0 0,8-22-6 0 0,1-2 1 0 0,-1 1 0 0 0,1 1-1 0 0,1-1 1 0 0,-1 0-1 0 0,1 1 1 0 0,0-2 0 0 0,1 2-1 0 0,0-1 1 0 0,0 0 0 0 0,0 1-1 0 0,1-2 1 0 0,0 1-1 0 0,0 0 1 0 0,1 0 0 0 0,-1 0-1 0 0,1-1 1 0 0,5 8 0 0 0,-1-5 17 0 0,1 1 1 0 0,0-1 0 0 0,1 0-1 0 0,0-1 1 0 0,0 0-1 0 0,1 0 1 0 0,0-1 0 0 0,0 0-1 0 0,1-1 1 0 0,-1-1-1 0 0,1 1 1 0 0,1-2 0 0 0,-1 0-1 0 0,0-1 1 0 0,1 0 0 0 0,0 0-1 0 0,16 1 1 0 0,-2-2 102 0 0,1-1 1 0 0,-1-1-1 0 0,1-1 1 0 0,-1-2-1 0 0,1-1 1 0 0,47-14-1 0 0,-64 15-107 0 0,0-1 0 0 0,0 0 0 0 0,0 0-1 0 0,-1-2 1 0 0,1 1 0 0 0,-1-1-1 0 0,0-1 1 0 0,-1 1 0 0 0,0-1 0 0 0,0-1-1 0 0,0 0 1 0 0,-1 0 0 0 0,0-1-1 0 0,0 0 1 0 0,-1 0 0 0 0,0-1 0 0 0,-1 1-1 0 0,0-1 1 0 0,0 0 0 0 0,-1-1-1 0 0,0 1 1 0 0,-1-1 0 0 0,0 1 0 0 0,0-1-1 0 0,-1-1 1 0 0,-1 1 0 0 0,1-22 0 0 0,-3 16-17 0 0,0 1 0 0 0,-1 0 1 0 0,0 0-1 0 0,-2 0 1 0 0,0 0-1 0 0,0 0 1 0 0,-1 1-1 0 0,-1-1 1 0 0,-1 2-1 0 0,0 0 1 0 0,-1-1-1 0 0,0 1 1 0 0,-1 1-1 0 0,-19-23 1 0 0,12 13-10 0 0,15 19 1 0 0,-1 1-1 0 0,0 1 0 0 0,0-1 0 0 0,0 1 0 0 0,0-1 0 0 0,0 1 0 0 0,0-2 0 0 0,-1 2 0 0 0,-4-3 1 0 0,-5-6-55 0 0,11 10 52 0 0,0 0 0 0 0,1 1 0 0 0,-1-1 0 0 0,0 0-1 0 0,1 1 1 0 0,-1-1 0 0 0,0 0 0 0 0,0 1 0 0 0,0-1 0 0 0,1 1 0 0 0,-1 0-1 0 0,0-1 1 0 0,0 1 0 0 0,0 0 0 0 0,0-1 0 0 0,0 1 0 0 0,0 0 0 0 0,0 0 0 0 0,0 0-1 0 0,0 0 1 0 0,-2 0 0 0 0,3 0 5 0 0,0 0-1 0 0,0 1 1 0 0,-1-1-1 0 0,1 0 0 0 0,0 0 1 0 0,0 1-1 0 0,0-1 1 0 0,-1 0-1 0 0,1 0 1 0 0,0 1-1 0 0,0-1 1 0 0,0 0-1 0 0,0 1 1 0 0,0-1-1 0 0,0 0 1 0 0,0 1-1 0 0,-1-1 1 0 0,1 0-1 0 0,0 1 1 0 0,0-1-1 0 0,0 0 0 0 0,0 0 1 0 0,0 1-1 0 0,1-1 1 0 0,-1 0-1 0 0,0 1 1 0 0,0-1-1 0 0,0 0 1 0 0,0 1-1 0 0,0-1 1 0 0,0 0-1 0 0,0 1 1 0 0,1-1-1 0 0,-1 0 1 0 0,0 0-1 0 0,0 2 1 0 0,0-2-1 0 0,1 0 0 0 0,-1 0 1 0 0,0 1-1 0 0,0-1 1 0 0,1 0-1 0 0,-1 0 1 0 0,0 0-1 0 0,0 1 1 0 0,1-1-1 0 0,-1 0 1 0 0,1 0-1 0 0,11 14 31 0 0,-1-8-2 0 0,1-1-1 0 0,-1-1 0 0 0,1 0 1 0 0,0 0-1 0 0,0-2 1 0 0,0 0-1 0 0,0 0 1 0 0,0-1-1 0 0,0-1 1 0 0,0 0-1 0 0,24-3 1 0 0,14-6-155 0 0,75-21 0 0 0,-85 19-174 0 0,-18 5-154 0 0,55-16-2335 0 0,-73 21 2233 0 0,1 0 0 0 0,-1-2 0 0 0,1 1 0 0 0,-1 0 0 0 0,0 0 0 0 0,0-1-1 0 0,0 0 1 0 0,-1 1 0 0 0,1-2 0 0 0,0 1 0 0 0,-1-1 0 0 0,5-5 0 0 0,-7 3-882 0 0</inkml:trace>
  <inkml:trace contextRef="#ctx0" brushRef="#br0" timeOffset="1">905 712 160 0 0,'-6'4'430'0'0,"1"0"0"0"0,1 2 0 0 0,-1-2 0 0 0,1 1 0 0 0,-1 0 0 0 0,1 1 0 0 0,1 0 0 0 0,-1-1 1 0 0,1 2-1 0 0,0-1 0 0 0,-3 10 0 0 0,-2 4-270 0 0,1 0 1 0 0,-7 30 0 0 0,13-43-147 0 0,1-1 1 0 0,-1 1-1 0 0,1-1 1 0 0,0 1 0 0 0,0 0-1 0 0,1-1 1 0 0,-1 0-1 0 0,2 2 1 0 0,2 9 0 0 0,-3-14-16 0 0,0 0 1 0 0,0 1-1 0 0,0-1 1 0 0,1 1 0 0 0,-1-1-1 0 0,1 0 1 0 0,0-1 0 0 0,0 1-1 0 0,0 0 1 0 0,0-1-1 0 0,0 2 1 0 0,1-2 0 0 0,-1 1-1 0 0,1-1 1 0 0,-1 0-1 0 0,1 0 1 0 0,0 0 0 0 0,4 1-1 0 0,-4 0-275 0 0,1-2-1 0 0,0 0 1 0 0,0 0-1 0 0,0 0 1 0 0,0 0 0 0 0,-1 0-1 0 0,1-1 1 0 0,0 0-1 0 0,0 0 1 0 0,0 0-1 0 0,0 0 1 0 0,0 0-1 0 0,0-1 1 0 0,0 0 0 0 0,4-1-1 0 0,0-3-793 0 0</inkml:trace>
  <inkml:trace contextRef="#ctx0" brushRef="#br0" timeOffset="2">961 543 472 0 0,'-16'3'6885'0'0,"11"16"-8661"0"0,2-7-1618 0 0,3-8 1983 0 0</inkml:trace>
  <inkml:trace contextRef="#ctx0" brushRef="#br0" timeOffset="3">1149 712 256 0 0,'6'-1'8161'0'0,"-4"2"-8036"0"0,14 57 2977 0 0,0 62-2630 0 0,-16-104-463 0 0,0-10-12 0 0,-1 1 1 0 0,2-1-1 0 0,-1 1 1 0 0,0-1-1 0 0,1 0 0 0 0,0-1 1 0 0,4 13-1 0 0,-3 4-683 0 0</inkml:trace>
  <inkml:trace contextRef="#ctx0" brushRef="#br0" timeOffset="4">1116 648 476 0 0,'5'8'4921'0'0,"13"22"-2671"0"0,-8-11-1451 0 0,-4-8-643 0 0,-1 0 1 0 0,1-2-1 0 0,1 2 1 0 0,0-2-1 0 0,0 0 1 0 0,12 11 0 0 0,-18-19-127 0 0,3 3 231 0 0,1 0 0 0 0,-1-1 0 0 0,1 2 0 0 0,0-2 0 0 0,11 5 0 0 0,-14-8-215 0 0,0 1-1 0 0,0 0 0 0 0,0-1 1 0 0,0 0-1 0 0,0 1 1 0 0,0-1-1 0 0,0 0 0 0 0,0 0 1 0 0,0 0-1 0 0,0 0 0 0 0,0-1 1 0 0,0 1-1 0 0,0 0 0 0 0,0-1 1 0 0,0 0-1 0 0,0 1 1 0 0,0-1-1 0 0,0 0 0 0 0,-1 0 1 0 0,1 0-1 0 0,0 0 0 0 0,0 0 1 0 0,2-3-1 0 0,37-58 501 0 0,-24 35-498 0 0,31-42-36 0 0,-45 65-19 0 0,1 0-1 0 0,0 0 1 0 0,0-1 0 0 0,0 1 0 0 0,0 1 0 0 0,1-1 0 0 0,0 1 0 0 0,-1-1 0 0 0,1 2 0 0 0,10-5-1 0 0,-14 7 9 0 0,0 0 0 0 0,0 1 0 0 0,0-1 0 0 0,-1 0 0 0 0,1 0 0 0 0,0 0 0 0 0,0 1 0 0 0,0-1 0 0 0,0 0 0 0 0,-1 1 0 0 0,1-1 0 0 0,0 1-1 0 0,0-1 1 0 0,0 1 0 0 0,-1-1 0 0 0,1 1 0 0 0,0 0 0 0 0,-1-1 0 0 0,1 1 0 0 0,-1 0 0 0 0,1-1 0 0 0,-1 1 0 0 0,1 1 0 0 0,-1-1 0 0 0,1 0-1 0 0,-1-1 1 0 0,0 1 0 0 0,1 0 0 0 0,-1 0 0 0 0,0 0 0 0 0,0 1 0 0 0,11 42 121 0 0,-8-30-95 0 0,29 130 124 0 0,-28-131-135 0 0,0 0 0 0 0,1 0-1 0 0,0-1 1 0 0,7 14 0 0 0,4 8-9 0 0,-14-30-143 0 0,10 29 262 0 0,-8-12-2910 0 0</inkml:trace>
  <inkml:trace contextRef="#ctx0" brushRef="#br0" timeOffset="5">2003 127 700 0 0,'8'-3'8170'0'0,"26"-8"-5564"0"0,161-9-973 0 0,-54 3-2050 0 0,-82 15-4574 0 0,-50 8-689 0 0,-15 2 4219 0 0</inkml:trace>
  <inkml:trace contextRef="#ctx0" brushRef="#br0" timeOffset="6">2036 427 836 0 0,'0'1'221'0'0,"0"-1"0"0"0,1 1 1 0 0,-1 0-1 0 0,1 0 0 0 0,-1 0 0 0 0,1-1 0 0 0,-1 1 0 0 0,1 0 0 0 0,-1-1 1 0 0,1 1-1 0 0,0 0 0 0 0,-1-1 0 0 0,1 1 0 0 0,0-1 0 0 0,-1 1 1 0 0,1-1-1 0 0,0 1 0 0 0,0-1 0 0 0,0 0 0 0 0,-1 1 0 0 0,1-1 0 0 0,0 0 1 0 0,0 0-1 0 0,0 1 0 0 0,0-1 0 0 0,0 0 0 0 0,1 0 0 0 0,32 5 1693 0 0,-23-4-990 0 0,63 3 426 0 0,36-11-2191 0 0,7-1-8051 0 0,-101 8 7577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6-21T17:47:59.1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357 723 212 0 0,'0'0'2129'0'0,"-24"1"772"0"0,2 8-2848 0 0,2 1 1 0 0,-1 1-1 0 0,1 1 1 0 0,1 0-1 0 0,0 2 1 0 0,1 0-1 0 0,-24 24 1 0 0,27-25-15 0 0,1 3-7 0 0,1 0-1 0 0,1 1 0 0 0,0 0 1 0 0,1 1-1 0 0,1 0 1 0 0,1 0-1 0 0,-14 39 1 0 0,12-31 8 0 0,7-16-20 0 0,0-1 0 0 0,1 0 0 0 0,1 1 0 0 0,-1-1 0 0 0,1 1 0 0 0,1 0 0 0 0,0 0 0 0 0,0-1 0 0 0,1 2 0 0 0,0-2 0 0 0,0 1 0 0 0,1 0 0 0 0,0-1 0 0 0,1 2 0 0 0,0-2 0 0 0,1 0 0 0 0,0 1 0 0 0,0-1 0 0 0,6 12 0 0 0,-3-12-7 0 0,-1-1-1 0 0,1 2 1 0 0,1-2 0 0 0,-1 0-1 0 0,1-1 1 0 0,1 1-1 0 0,0-1 1 0 0,0 0-1 0 0,0-1 1 0 0,0 1-1 0 0,1-2 1 0 0,0 0 0 0 0,0 0-1 0 0,1-1 1 0 0,0 1-1 0 0,-1-2 1 0 0,19 5-1 0 0,19 2 33 0 0,0-1-1 0 0,88 2 0 0 0,-109-11-707 0 0,0-1-1 0 0,0-1 0 0 0,0-1 0 0 0,-1-2 1 0 0,1-1-1 0 0,47-17 0 0 0,-42 9-610 0 0</inkml:trace>
  <inkml:trace contextRef="#ctx0" brushRef="#br0" timeOffset="1">1098 809 152 0 0,'-18'-4'1325'0'0,"11"6"-1166"0"0,0 0-1 0 0,0 1 1 0 0,0-1 0 0 0,0 3-1 0 0,1-2 1 0 0,-1 1 0 0 0,1 0 0 0 0,0 0-1 0 0,0 0 1 0 0,0 1 0 0 0,1 1-1 0 0,-6 5 1 0 0,2-1 13 0 0,0 2-1 0 0,1-1 1 0 0,0 2-1 0 0,0-2 1 0 0,-9 23-1 0 0,-7 17 112 0 0,15-32-191 0 0,0 1 1 0 0,-13 37-1 0 0,20-50-77 0 0,1 0 1 0 0,0 0-1 0 0,0 2 0 0 0,0-2 1 0 0,1 0-1 0 0,0 1 0 0 0,0-1 1 0 0,1 0-1 0 0,0 1 0 0 0,0 0 1 0 0,1-1-1 0 0,2 9 0 0 0,-2-10-3 0 0,1 0 0 0 0,-1-1-1 0 0,1 1 1 0 0,0-1 0 0 0,1 1-1 0 0,-1-1 1 0 0,1 0-1 0 0,0-1 1 0 0,0 1 0 0 0,0 0-1 0 0,0-1 1 0 0,1 0 0 0 0,0-1-1 0 0,5 4 1 0 0,-1-2-4 0 0,0 0 1 0 0,0-1-1 0 0,1 0 0 0 0,0-1 1 0 0,-1 0-1 0 0,1-1 0 0 0,18 3 1 0 0,-2-4-8 0 0,0 0 0 0 0,0-2 0 0 0,1-1 0 0 0,-1 0 0 0 0,43-12 1 0 0,-59 12 3 0 0,-1-2 1 0 0,0 1-1 0 0,0 0 1 0 0,0-1-1 0 0,0 0 1 0 0,0 0-1 0 0,-1-1 1 0 0,0-2-1 0 0,0 2 1 0 0,0-1-1 0 0,-1 0 1 0 0,11-13-1 0 0,-15 14-1 0 0,1 1 0 0 0,-1-1 0 0 0,0-1 0 0 0,-1 1-1 0 0,1 0 1 0 0,-1 0 0 0 0,0 0 0 0 0,0-2 0 0 0,-1 2-1 0 0,0-1 1 0 0,0 1 0 0 0,0-1 0 0 0,0 0 0 0 0,-1 0-1 0 0,0 0 1 0 0,0 1 0 0 0,-1-1 0 0 0,1-1 0 0 0,-1 2-1 0 0,0-1 1 0 0,-1 1 0 0 0,-3-11 0 0 0,-4-12 9 0 0,-2 0 1 0 0,0 1-1 0 0,-2 0 0 0 0,-29-45 1 0 0,38 65-20 0 0,0 2 1 0 0,-1 0 0 0 0,0 0-1 0 0,0 0 1 0 0,0-1 0 0 0,0 2-1 0 0,-1 0 1 0 0,0 0 0 0 0,1 1-1 0 0,-2-1 1 0 0,-8-4-1 0 0,11 7-21 0 0,-1 0 0 0 0,0 0-1 0 0,0 0 1 0 0,0 1-1 0 0,0 0 1 0 0,0-1-1 0 0,0 2 1 0 0,0-1-1 0 0,0 1 1 0 0,0-1 0 0 0,1 1-1 0 0,-1 1 1 0 0,0-1-1 0 0,0 2 1 0 0,1-1-1 0 0,-1 0 1 0 0,-7 5-1 0 0,-53 30-3290 0 0,48-27 2260 0 0</inkml:trace>
  <inkml:trace contextRef="#ctx0" brushRef="#br0" timeOffset="2">1570 776 428 0 0,'16'186'3498'0'0,"-15"-159"-3188"0"0,10 52-1 0 0,-6-52-215 0 0,2 53 0 0 0,4-12-16 0 0,-10-64-25 0 0,0 0 1 0 0,0 0-1 0 0,0 0 0 0 0,1 1 1 0 0,0-2-1 0 0,-1 1 0 0 0,1 0 1 0 0,1-1-1 0 0,-1 1 0 0 0,0-1 1 0 0,1 1-1 0 0,5 5 1 0 0,-6-9-38 0 0,0 0 0 0 0,0 1 0 0 0,0-1 0 0 0,1 0 0 0 0,-1 0 0 0 0,0 0 0 0 0,0 0 0 0 0,1-1 0 0 0,-1 1 0 0 0,0-1 0 0 0,0 1 0 0 0,0-1 0 0 0,1 0 0 0 0,-1 0 0 0 0,0 0 0 0 0,0 0 0 0 0,0 0 0 0 0,0 0 0 0 0,-1 0 0 0 0,1-2 0 0 0,0 2 0 0 0,-1-1 0 0 0,3-1 0 0 0,2-3 44 0 0,1 0 0 0 0,-1 0 0 0 0,0-1 0 0 0,8-13 0 0 0,-3 1-60 0 0,-1 4 1 0 0,-1 0 0 0 0,-1-1 0 0 0,0 0 0 0 0,-1-1 0 0 0,-1 0 0 0 0,0 0 0 0 0,4-26 0 0 0,-3-5 23 0 0,1-74 0 0 0,-7 99-20 0 0,-1 17-4 0 0,1 0-1 0 0,-1 0 1 0 0,0-1-1 0 0,0 2 1 0 0,-1-1-1 0 0,1 0 1 0 0,-1 0-1 0 0,-1-1 1 0 0,-3-9 0 0 0,4-1 50 0 0</inkml:trace>
  <inkml:trace contextRef="#ctx0" brushRef="#br0" timeOffset="3">2676 35 144 0 0,'0'-2'114'0'0,"0"1"0"0"0,0 0 1 0 0,0-1-1 0 0,0 1 0 0 0,0 0 0 0 0,-1-1 0 0 0,1 1 0 0 0,-1 0 0 0 0,1 0 1 0 0,-1-1-1 0 0,1 1 0 0 0,-1 0 0 0 0,1 0 0 0 0,-1 0 0 0 0,0 0 1 0 0,0-1-1 0 0,0 1 0 0 0,0 0 0 0 0,0 0 0 0 0,0 0 0 0 0,0 0 1 0 0,0 0-1 0 0,0 0 0 0 0,0 1 0 0 0,0-1 0 0 0,0 0 0 0 0,-1 1 1 0 0,1-1-1 0 0,0 1 0 0 0,0 0 0 0 0,-1-1 0 0 0,-1 1 0 0 0,-1-1-40 0 0,1 1 0 0 0,-1-1-1 0 0,0 1 1 0 0,0 0-1 0 0,0 1 1 0 0,0-1-1 0 0,0 1 1 0 0,0-1-1 0 0,1 1 1 0 0,-6 2-1 0 0,-13 8 196 0 0,0-1-1 0 0,1 1 0 0 0,0 3 0 0 0,1-1 0 0 0,1 2 0 0 0,-27 24 0 0 0,-97 116 618 0 0,133-143-871 0 0,-7 9 24 0 0,2 1-1 0 0,1 0 1 0 0,1-1-1 0 0,0 3 1 0 0,2-1-1 0 0,1 2 1 0 0,0-1-1 0 0,-6 29 1 0 0,2 2 21 0 0,3 0 0 0 0,-7 98 0 0 0,16-117-47 0 0,2 0 0 0 0,2-1 0 0 0,1 0 0 0 0,1 1 0 0 0,2-1-1 0 0,14 47 1 0 0,-14-64 1 0 0,2-1-1 0 0,0 0 1 0 0,1-1-1 0 0,0 1 0 0 0,1-1 1 0 0,1-1-1 0 0,1 0 0 0 0,16 16 1 0 0,14 11-1334 0 0,56 43 0 0 0,-91-79 635 0 0,-1-1 1 0 0,1 0-1 0 0,0-1 0 0 0,1 0 1 0 0,14 6-1 0 0,-4-4-527 0 0</inkml:trace>
  <inkml:trace contextRef="#ctx0" brushRef="#br0" timeOffset="4">2823 723 504 0 0,'2'5'197'0'0,"0"-1"-1"0"0,0 2 1 0 0,0-2 0 0 0,0 1 0 0 0,-1 0-1 0 0,1 0 1 0 0,-1-1 0 0 0,-1 2-1 0 0,1-1 1 0 0,-1 0 0 0 0,0 0-1 0 0,0 8 1 0 0,2 20 417 0 0,8 35 104 0 0,-2 1 1 0 0,-3 70-1 0 0,4-69-284 0 0,-10-69-408 0 0,1-1 1 0 0,0 1-1 0 0,0-1 1 0 0,0 2-1 0 0,0-2 1 0 0,0 0-1 0 0,0 1 1 0 0,0-1-1 0 0,0 1 1 0 0,0-1-1 0 0,0 1 1 0 0,0-1-1 0 0,0 1 1 0 0,0-1-1 0 0,0 1 1 0 0,1-1-1 0 0,-1 1 1 0 0,0-1-1 0 0,0 0 1 0 0,0 1-1 0 0,1-1 1 0 0,-1 1-1 0 0,0-1 1 0 0,1 0-1 0 0,-1 1 1 0 0,0-1-1 0 0,1 0 1 0 0,-1 1-1 0 0,0-1 1 0 0,1 1-1 0 0,10-10 445 0 0,7-25-280 0 0,-8 6-195 0 0,1 2 0 0 0,13-26 0 0 0,2-3-28 0 0,-6 14 17 0 0,1 2 1 0 0,45-62 0 0 0,-66 100 14 0 0,4-3-42 0 0,-1 0 1 0 0,1 1-1 0 0,0-2 1 0 0,1 2-1 0 0,-1-1 1 0 0,0 1-1 0 0,1 0 0 0 0,0 1 1 0 0,0-1-1 0 0,-1 1 1 0 0,1 0-1 0 0,7-3 1 0 0,73-14-3043 0 0,-45 11 583 0 0,-17 3 1418 0 0</inkml:trace>
  <inkml:trace contextRef="#ctx0" brushRef="#br0" timeOffset="5">3490 1265 588 0 0,'-4'5'235'0'0,"0"0"0"0"0,0 0 0 0 0,0 0 0 0 0,0 1 0 0 0,1-1 0 0 0,0 1 0 0 0,0 0 0 0 0,1-1-1 0 0,-1 2 1 0 0,1-1 0 0 0,1 0 0 0 0,-2 10 0 0 0,-4 6 70 0 0,5-19-299 0 0,1-1-1 0 0,0 1 1 0 0,0-1-1 0 0,0 1 1 0 0,1-1-1 0 0,-1 1 1 0 0,1-1-1 0 0,-1 1 1 0 0,1 0-1 0 0,0-1 1 0 0,0 2-1 0 0,0-1 1 0 0,0-1-1 0 0,0 1 1 0 0,1-1-1 0 0,-1 1 1 0 0,1 0-1 0 0,0-1 1 0 0,0 1-1 0 0,0-1 1 0 0,0 1-1 0 0,0 0 1 0 0,0-1-1 0 0,1 0 1 0 0,-1 0-1 0 0,1 0 1 0 0,-1 1-1 0 0,1-2 1 0 0,0 1-1 0 0,0 0 1 0 0,0 0-1 0 0,0-1 1 0 0,0 1-1 0 0,0-1 1 0 0,0 2 0 0 0,1-2-1 0 0,-1 0 1 0 0,1 0-1 0 0,-1 0 1 0 0,1 0-1 0 0,-1 0 1 0 0,1-1-1 0 0,3 1 1 0 0,4 1-254 0 0,0-1 0 0 0,0 0 0 0 0,0-1 1 0 0,0 0-1 0 0,0 0 0 0 0,1-1 1 0 0,-1 0-1 0 0,0-1 0 0 0,0 0 1 0 0,12-6-1 0 0,3-4-677 0 0</inkml:trace>
  <inkml:trace contextRef="#ctx0" brushRef="#br0" timeOffset="6">3555 999 180 0 0,'0'0'288'0'0,"-8"0"-84"0"0,8 5 108 0 0,8-5-260 0 0,-8 4-24 0 0,8-4-12 0 0,0 0-132 0 0,1 6-168 0 0,-1-6-88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6-21T17:47:59.1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196 0 208 0 0,'-49'100'2589'0'0,"33"-67"-2465"0"0,-1-1 0 0 0,-2-1 0 0 0,-42 53 1 0 0,34-30-2318 0 0,20-49 1416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6-21T17:47:59.1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25 825 432 0 0,'-8'104'1543'0'0,"0"76"-384"0"0,0-5-261 0 0,8-175-878 0 0,0 0 0 0 0,0 0 0 0 0,0 0-1 0 0,0 0 1 0 0,0 0 0 0 0,0-1 0 0 0,0 1 0 0 0,0 0 0 0 0,0 0 0 0 0,1 0 0 0 0,-1 0 0 0 0,0 0 0 0 0,0 0 0 0 0,0 0 0 0 0,0 0 0 0 0,0 0 0 0 0,0 0 0 0 0,0 0 0 0 0,0 0-1 0 0,1 0 1 0 0,-1 0 0 0 0,0 0 0 0 0,0 0 0 0 0,0 0 0 0 0,0 1 0 0 0,0-1 0 0 0,0 0 0 0 0,0 0 0 0 0,0 0 0 0 0,0 0 0 0 0,0 0 0 0 0,1 0 0 0 0,-1 0 0 0 0,0 0 0 0 0,0 0 0 0 0,0 0-1 0 0,0 0 1 0 0,0 0 0 0 0,0 0 0 0 0,0 1 0 0 0,0-1 0 0 0,0 0 0 0 0,0 0 0 0 0,0 0 0 0 0,0 0 0 0 0,0 0 0 0 0,0 0 0 0 0,0 0 0 0 0,0 0 0 0 0,0 0 0 0 0,0 1 0 0 0,0-1 0 0 0,0 0-1 0 0,0 0 1 0 0,0 0 0 0 0,0 0 0 0 0,0 0 0 0 0,0 0 0 0 0,0 0 0 0 0,0 0 0 0 0,0 1 0 0 0,0-1 0 0 0,0 0 0 0 0,7-12 307 0 0,6-17-320 0 0,21-59-4 0 0,-19 46-19 0 0,2 2 1 0 0,2 0 0 0 0,43-66 0 0 0,-51 90-1 0 0,1 1 1 0 0,0 0-1 0 0,1 1 1 0 0,0 0-1 0 0,1 1 1 0 0,0 0-1 0 0,1 2 1 0 0,1 0-1 0 0,0 0 1 0 0,0 1-1 0 0,1 2 1 0 0,0-1-1 0 0,21-6 1 0 0,-22 11-707 0 0,0-2 0 0 0,1 3 0 0 0,-1 0 1 0 0,1 1-1 0 0,21 0 0 0 0,-15 2-302 0 0</inkml:trace>
  <inkml:trace contextRef="#ctx0" brushRef="#br0" timeOffset="1">603 1100 208 0 0,'0'33'1428'0'0,"1"-6"-780"0"0,-2 0 0 0 0,-6 47 0 0 0,4-51-549 0 0,2 0 0 0 0,0-1 0 0 0,3 33 0 0 0,0 1-60 0 0,14 6-804 0 0,-8-47-1590 0 0,-8-11 1472 0 0</inkml:trace>
  <inkml:trace contextRef="#ctx0" brushRef="#br0" timeOffset="2">676 1105 244 0 0,'2'0'123'0'0,"0"0"1"0"0,0 1-1 0 0,0 0 1 0 0,0-1-1 0 0,0 1 0 0 0,0 0 1 0 0,0 0-1 0 0,0 0 1 0 0,0 0-1 0 0,0 0 0 0 0,-1 0 1 0 0,1 1-1 0 0,0-1 0 0 0,-1 1 1 0 0,1-1-1 0 0,-1 1 1 0 0,0-1-1 0 0,1 1 0 0 0,-1 1 1 0 0,0-1-1 0 0,2 3 1 0 0,22 54 882 0 0,-16-34-804 0 0,-6-19-168 0 0,1 1 0 0 0,0 0 0 0 0,1 0 0 0 0,-1 0 0 0 0,1-1 0 0 0,0-1 0 0 0,1 1 0 0 0,-1 0 0 0 0,1-1-1 0 0,12 9 1 0 0,-16-14-33 0 0,1 1-1 0 0,-1-1 0 0 0,1 1 0 0 0,0-1 1 0 0,-1 0-1 0 0,1 0 0 0 0,-1 0 0 0 0,1 0 1 0 0,-1-1-1 0 0,1 1 0 0 0,-1-1 1 0 0,1 1-1 0 0,-1-1 0 0 0,1 0 0 0 0,-1 0 1 0 0,0 0-1 0 0,1 0 0 0 0,-1 0 0 0 0,0-1 1 0 0,0 1-1 0 0,0-1 0 0 0,0 1 0 0 0,3-4 1 0 0,62-60 6 0 0,-30 28-5 0 0,11-10-2 0 0,-44 45 11 0 0,-4 2-10 0 0,0 0 0 0 0,0 0 0 0 0,0 0 0 0 0,0 0 0 0 0,0 0-1 0 0,1 0 1 0 0,-1 0 0 0 0,0 0 0 0 0,0 1 0 0 0,0-1 0 0 0,0 0 0 0 0,0 0 0 0 0,0 0 0 0 0,0 0 0 0 0,0 0 0 0 0,0 0 0 0 0,1 0 0 0 0,-1 0 0 0 0,0 0 0 0 0,0 0 0 0 0,0 0 0 0 0,0 0 0 0 0,0 0 0 0 0,0 0 0 0 0,0 0 0 0 0,1 0 0 0 0,-1 0 0 0 0,0 0 0 0 0,0 0 0 0 0,-7 14 7 0 0,2 1-3 0 0,0-1-1 0 0,1 1 1 0 0,-3 25-1 0 0,-2 10 18 0 0,1 33 44 0 0,5-66-47 0 0,1-1 0 0 0,1 0-1 0 0,1 1 1 0 0,2 29 0 0 0,0 4 1 0 0,2-37 237 0 0,0 2-3915 0 0,-4-19 2635 0 0</inkml:trace>
  <inkml:trace contextRef="#ctx0" brushRef="#br0" timeOffset="3">1271 0 372 0 0,'8'5'240'0'0,"-1"1"-1"0"0,0 1 1 0 0,0-1-1 0 0,-1 0 1 0 0,1 1 0 0 0,-1 1-1 0 0,-1-1 1 0 0,1 1-1 0 0,-1-1 1 0 0,-1 2-1 0 0,1-1 1 0 0,3 13 0 0 0,6 14 294 0 0,14 62 1 0 0,-16-44-154 0 0,-2 2 1 0 0,5 89 0 0 0,-12 110 299 0 0,-3-162-637 0 0,-3-17-13 0 0,-14 80 1 0 0,3-35-25 0 0,-5-15-67 0 0,13-77-1051 0 0,0-1 0 0 0,2 1 0 0 0,0 30 0 0 0,4-44-125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6-21T17:47:59.1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717 603 104 0 0,'-6'-19'5409'0'0,"-6"6"-3623"0"0,11 11-1719 0 0,0 1 0 0 0,-1-1-1 0 0,1 0 1 0 0,0 1-1 0 0,-1-1 1 0 0,0 1-1 0 0,1-1 1 0 0,-1 1-1 0 0,0 0 1 0 0,0 0-1 0 0,0 0 1 0 0,-3-2-1 0 0,-12-2 45 0 0,0 0-1 0 0,0 0 1 0 0,-1 2-1 0 0,0 0 1 0 0,0 1-1 0 0,1 1 1 0 0,-30 2-1 0 0,34 0-116 0 0,-1 1-1 0 0,1 0 1 0 0,0 0-1 0 0,0 2 1 0 0,0 0-1 0 0,0 1 1 0 0,0-1-1 0 0,1 2 1 0 0,0 0-1 0 0,-21 14 1 0 0,30-17 5 0 0,0-1 0 0 0,-1 1 0 0 0,1 0 0 0 0,0 0-1 0 0,1 0 1 0 0,-1 0 0 0 0,1 1 0 0 0,-1 0 0 0 0,1 0 0 0 0,0 0 0 0 0,0-1 0 0 0,0 1 0 0 0,1 0 0 0 0,-1 0 0 0 0,1 0 0 0 0,0 0 0 0 0,0 0 0 0 0,1 1 0 0 0,-1-1-1 0 0,1 1 1 0 0,0-1 0 0 0,0 0 0 0 0,0 0 0 0 0,0 0 0 0 0,1 1 0 0 0,0 0 0 0 0,0-1 0 0 0,0 0 0 0 0,0 0 0 0 0,3 6 0 0 0,6 11 2 0 0,0-2 0 0 0,1 1 0 0 0,1-1 0 0 0,24 30 1 0 0,-11-14-12 0 0,4 7 12 0 0,-2 1 0 0 0,-2 1-1 0 0,-2 1 1 0 0,28 77 0 0 0,-47-110-1 0 0,0 0 0 0 0,0 1 1 0 0,-2-1-1 0 0,1 0 0 0 0,-2 1 1 0 0,1 0-1 0 0,-2-1 0 0 0,0 15 0 0 0,0-22 20 0 0,-1-1-1 0 0,0 0 0 0 0,0 0 0 0 0,0 1 0 0 0,0-1 1 0 0,-1 0-1 0 0,0 0 0 0 0,1 0 0 0 0,-1 0 1 0 0,-1-1-1 0 0,1 1 0 0 0,0-1 0 0 0,-1 1 0 0 0,0 0 1 0 0,0-1-1 0 0,0 0 0 0 0,0 0 0 0 0,0-1 0 0 0,-1 1 1 0 0,1-1-1 0 0,-1 0 0 0 0,0 0 0 0 0,1 0 0 0 0,-1 0 1 0 0,0 0-1 0 0,0-1 0 0 0,-6 2 0 0 0,-6 0 112 0 0,0 1-1 0 0,-1-2 0 0 0,1-1 0 0 0,-1-1 1 0 0,1 0-1 0 0,-1-1 0 0 0,1-1 1 0 0,0 0-1 0 0,0-2 0 0 0,-28-8 1 0 0,-14-8-117 0 0,-81-42 0 0 0,136 60-8 0 0,-68-37-1409 0 0,44 22-1565 0 0,27 17 2813 0 0,-1 0 0 0 0,1-1 0 0 0,-1 1 0 0 0,1-1 0 0 0,-1 1 0 0 0,1 0 0 0 0,-1-1 0 0 0,1 1 0 0 0,-1-1 0 0 0,1 1 0 0 0,-1-1 0 0 0,1 1 0 0 0,0-1 0 0 0,-1 1 0 0 0,1-1 0 0 0,0 0 0 0 0,0 1 0 0 0,-1-1 0 0 0,1 1 0 0 0,0-1 0 0 0,0 0 0 0 0,0 1 0 0 0,0-1 0 0 0,0 0 0 0 0,0 1 0 0 0,0-1 0 0 0,0 0 0 0 0,0 1 0 0 0,0-1 0 0 0,0 0 0 0 0,0 0-68 0 0,0-4-1109 0 0</inkml:trace>
  <inkml:trace contextRef="#ctx0" brushRef="#br0" timeOffset="1">1116 909 408 0 0,'0'0'1278'0'0,"34"-11"2791"0"0,8 6-3520 0 0,1 2 0 0 0,82 5 0 0 0,-35 1-592 0 0,-47-3-359 0 0,-8 1-2438 0 0,58-6-1 0 0,-77 4 1761 0 0</inkml:trace>
  <inkml:trace contextRef="#ctx0" brushRef="#br0" timeOffset="2">1181 1233 200 0 0,'16'5'640'0'0,"1"-5"4"0"0,-1 0-28 0 0,8-5-44 0 0,-7 5-72 0 0,15-4-88 0 0,-7 4-104 0 0,7-5-84 0 0,1 0-80 0 0,-9 5-60 0 0,9-4-32 0 0,-9 4-44 0 0,9-5-160 0 0,-9 1-280 0 0,1 4-280 0 0,-9 0-156 0 0,8-6-80 0 0,1 2-16 0 0</inkml:trace>
  <inkml:trace contextRef="#ctx0" brushRef="#br0" timeOffset="3">2337 255 580 0 0,'16'70'3958'0'0,"-14"-33"-2762"0"0,-1-28-951 0 0,0 0-1 0 0,-1 1 0 0 0,0-2 1 0 0,-3 17-1 0 0,1-6-131 0 0,0-1 1 0 0,1 2-1 0 0,1-2 0 0 0,1 1 1 0 0,0 0-1 0 0,8 33 0 0 0,-8-43-64 0 0,0 0-1 0 0,0 1 0 0 0,0-1 1 0 0,-3 18-1 0 0,1-2 1369 0 0,1-24-917 0 0,0-29 1009 0 0,1 10-1483 0 0,1 1 1 0 0,1-1-1 0 0,0 1 1 0 0,1-1-1 0 0,1 1 0 0 0,13-33 1 0 0,-4 20-39 0 0,1 0 0 0 0,34-51 0 0 0,-39 66 0 0 0,1 1 1 0 0,1-1-1 0 0,1 2 0 0 0,-1 1 0 0 0,1-1 0 0 0,1 2 0 0 0,28-20 0 0 0,-29 24-772 0 0,0 1 1 0 0,1 0-1 0 0,0 1 0 0 0,0-1 0 0 0,27-4 1 0 0,8 4-4683 0 0,-40 6 4379 0 0</inkml:trace>
  <inkml:trace contextRef="#ctx0" brushRef="#br0" timeOffset="4">2321 58 12 0 0,'-1'-1'95'0'0,"0"1"0"0"0,1-2-1 0 0,-1 2 1 0 0,0-1 0 0 0,0 1 0 0 0,1-1-1 0 0,-1 1 1 0 0,0 0 0 0 0,0-1 0 0 0,0 1-1 0 0,1 0 1 0 0,-1 0 0 0 0,0 0 0 0 0,0-1-1 0 0,0 1 1 0 0,0 0 0 0 0,0 0 0 0 0,1 0-1 0 0,-2 1 1 0 0,-3-1 1219 0 0,18 0-771 0 0,294-26 2354 0 0,-151 6-5132 0 0,-123 16-197 0 0,-23 3 1210 0 0</inkml:trace>
  <inkml:trace contextRef="#ctx0" brushRef="#br0" timeOffset="5">3078 434 576 0 0,'0'0'1161'0'0,"-6"0"1641"0"0,92 1-300 0 0,61-1-2017 0 0,-48-5-984 0 0,23-6-4698 0 0,-98 7 4015 0 0</inkml:trace>
  <inkml:trace contextRef="#ctx0" brushRef="#br0" timeOffset="6">4315 184 252 0 0,'-4'183'3293'0'0,"0"1"-1219"0"0,0-143-631 0 0,1-30-204 0 0,2-30-564 0 0,11-34-519 0 0,-2 21-147 0 0,8-9-2 0 0,-1 7-13 0 0,-5 7 6 0 0,0-1-1 0 0,2 1 1 0 0,1 1 0 0 0,2 0-1 0 0,0 0 1 0 0,1 2 0 0 0,2 0-1 0 0,0 1 1 0 0,1 2 0 0 0,30-28-1 0 0,-42 43-187 0 0,1 1 1 0 0,-1 0-1 0 0,1 0 0 0 0,0 1 0 0 0,13-6 0 0 0,-19 9-54 0 0,0 0 1 0 0,0 0-1 0 0,0 1 0 0 0,1-1 0 0 0,-1 0 0 0 0,1 1 0 0 0,-1-1 1 0 0,0 1-1 0 0,1 0 0 0 0,-1 0 0 0 0,1 0 0 0 0,-1 0 0 0 0,1 0 1 0 0,-1 0-1 0 0,0 1 0 0 0,1-1 0 0 0,-1 1 0 0 0,0 0 0 0 0,1-1 1 0 0,-1 1-1 0 0,0 0 0 0 0,0 1 0 0 0,0-1 0 0 0,0 0 0 0 0,3 3 0 0 0,-4 1-901 0 0</inkml:trace>
  <inkml:trace contextRef="#ctx0" brushRef="#br0" timeOffset="7">5015 260 176 0 0,'-9'-25'4614'0'0,"7"24"-4584"0"0,0 1 1 0 0,1-1-1 0 0,-1 1 0 0 0,0 0 0 0 0,0 0 0 0 0,0 0 0 0 0,1 0 0 0 0,-1 0 0 0 0,0 0 0 0 0,0 0 0 0 0,0 0 0 0 0,1 1 0 0 0,-1-1 0 0 0,0 0 0 0 0,1 1 0 0 0,-1 0 0 0 0,0-1 0 0 0,1 1 0 0 0,-1 0 0 0 0,0 0 0 0 0,1 0 0 0 0,0 1 0 0 0,-1-1 0 0 0,1 0 0 0 0,0 1 0 0 0,-1-1 0 0 0,1 0 0 0 0,-2 3 0 0 0,-40 53 207 0 0,29-35 8 0 0,6-7-185 0 0,1 1 0 0 0,1 0 1 0 0,0 1-1 0 0,1-1 1 0 0,1 2-1 0 0,0-2 1 0 0,0 19-1 0 0,2-25-51 0 0,-6 88 40 0 0,-1 15-24 0 0,2-73 18 0 0,3-15-51 0 0,-13 47-1 0 0,14-64 88 0 0,-1 1-1 0 0,1-1 1 0 0,-1 0-1 0 0,-1 0 0 0 0,0-1 1 0 0,0 1-1 0 0,0-1 1 0 0,-1 0-1 0 0,-7 7 0 0 0,5-6 85 0 0,0 0 0 0 0,-1 0 0 0 0,1-2-1 0 0,-2 1 1 0 0,1-1 0 0 0,-12 5-1 0 0,18-10-146 0 0,-1 1-1 0 0,0-1 0 0 0,0 1 0 0 0,1-1 1 0 0,-1-1-1 0 0,0 1 0 0 0,0-1 0 0 0,0 0 1 0 0,0 0-1 0 0,0 0 0 0 0,0 0 0 0 0,0-1 1 0 0,0 0-1 0 0,0 1 0 0 0,1-3 0 0 0,-1 2 1 0 0,0 0-1 0 0,1-1 0 0 0,-8-3 0 0 0,10 4-123 0 0,0 0-1 0 0,1 0 0 0 0,-1 0 0 0 0,0 1 0 0 0,0-1 0 0 0,1 0 1 0 0,-1 0-1 0 0,0 0 0 0 0,1-1 0 0 0,-1 1 0 0 0,1 0 0 0 0,0 0 1 0 0,-1 0-1 0 0,1 0 0 0 0,0 0 0 0 0,0 0 0 0 0,-1-1 0 0 0,1 1 0 0 0,0 0 1 0 0,0 0-1 0 0,0 0 0 0 0,1-1 0 0 0,-1 0 0 0 0,0 0 0 0 0,8-29-4058 0 0,-7 20 2856 0 0</inkml:trace>
  <inkml:trace contextRef="#ctx0" brushRef="#br0" timeOffset="8">4673 673 220 0 0,'26'20'5088'0'0,"-10"-16"-4793"0"0,0 1-1 0 0,0-2 1 0 0,0 0 0 0 0,1-1 0 0 0,-1-1-1 0 0,32-2 1 0 0,-19-1-1492 0 0,-1-1 1 0 0,1-1-1 0 0,29-10 1 0 0,-38 5-71 0 0,3 0 133 0 0</inkml:trace>
  <inkml:trace contextRef="#ctx0" brushRef="#br0" timeOffset="9">2198 1111 92 0 0,'-15'7'1135'0'0,"12"-5"946"0"0,10 0-396 0 0,6 0-1493 0 0,250 26 581 0 0,-167-22-712 0 0,865 6 762 0 0,-517-20 788 0 0,330 4-739 0 0,-758 4-875 0 0,3 1-6 0 0,1-2-1 0 0,37-4 0 0 0,-57 5-102 0 0,0 0 1 0 0,1 0 0 0 0,-1 0-1 0 0,1 0 1 0 0,-1-1-1 0 0,0 1 1 0 0,1 0 0 0 0,-1 0-1 0 0,1 0 1 0 0,-1 0-1 0 0,0 0 1 0 0,1 0 0 0 0,-1-1-1 0 0,0 1 1 0 0,1 0-1 0 0,-1 0 1 0 0,0-1 0 0 0,1 1-1 0 0,-1 0 1 0 0,0 0-1 0 0,0-1 1 0 0,1 1 0 0 0,-1 0-1 0 0,0-1 1 0 0,0 1-1 0 0,1 0 1 0 0,-1-1-1 0 0,0 1 1 0 0,0 0 0 0 0,0-1-1 0 0,0 1 1 0 0,0-1-1 0 0,0 1 1 0 0,1 0 0 0 0,-1-1-1 0 0,0 1 1 0 0,0-1-1 0 0,0 1 1 0 0,0 0 0 0 0,-1-1-1 0 0,1 1 1 0 0,0 0-1 0 0,0-1 1 0 0,0 1 0 0 0,0-1-1 0 0,0 1 1 0 0,0 0-1 0 0,0-1 1 0 0,-1 1 0 0 0,1 0-1 0 0,0-1 1 0 0,0 1-1 0 0,-1 0 1 0 0,1-1 0 0 0,0 1-1 0 0,0 0 1 0 0,-1 0-1 0 0,1-1 1 0 0,0 1-1 0 0,-1 0 1 0 0,1 0 0 0 0,0-1-1 0 0,-1 1 1 0 0,-1-5-1204 0 0</inkml:trace>
  <inkml:trace contextRef="#ctx0" brushRef="#br0" timeOffset="10">3485 1441 108 0 0,'-4'-2'283'0'0,"1"1"0"0"0,-1 0 0 0 0,0 1 0 0 0,0-1 0 0 0,0 1 0 0 0,0 0 0 0 0,0-1 0 0 0,0 2 0 0 0,0-1 0 0 0,0 0-1 0 0,0 1 1 0 0,0 0 0 0 0,-6 2 0 0 0,-52 20 1937 0 0,49-17-2108 0 0,1 1-1 0 0,0-1 1 0 0,0 2 0 0 0,1 1-1 0 0,0-1 1 0 0,0 1-1 0 0,1 0 1 0 0,0 2 0 0 0,0-1-1 0 0,1 0 1 0 0,1 1 0 0 0,-9 15-1 0 0,12-17-109 0 0,1 1-1 0 0,-1 0 0 0 0,1 0 1 0 0,1 0-1 0 0,0 1 1 0 0,0-1-1 0 0,1 0 1 0 0,0 2-1 0 0,1-2 1 0 0,0 0-1 0 0,1 1 0 0 0,0 0 1 0 0,1 0-1 0 0,0-1 1 0 0,0 2-1 0 0,5 15 1 0 0,-3-15 4 0 0,1-1 0 0 0,0-1 0 0 0,0 2 0 0 0,1-2 0 0 0,0 0 1 0 0,1 0-1 0 0,0 1 0 0 0,0-2 0 0 0,1 1 0 0 0,1-2 0 0 0,-1 2 0 0 0,2-2 1 0 0,-1 0-1 0 0,1-1 0 0 0,0 0 0 0 0,0 1 0 0 0,1-2 0 0 0,0 0 0 0 0,13 5 1 0 0,-9-6-4 0 0,1 1 0 0 0,1-2 0 0 0,-1 0 0 0 0,0-2 0 0 0,1 1 1 0 0,0-2-1 0 0,0 0 0 0 0,-1-1 0 0 0,1-1 0 0 0,0 0 1 0 0,-1-1-1 0 0,1-1 0 0 0,22-6 0 0 0,-26 5 41 0 0,0 0 0 0 0,0-1 1 0 0,0 0-1 0 0,-1 0 0 0 0,1-1 0 0 0,11-10 0 0 0,-17 12 14 0 0,0-1-1 0 0,-1 0 1 0 0,0 0-1 0 0,0 0 1 0 0,0-1-1 0 0,-1 0 0 0 0,1 0 1 0 0,-1 0-1 0 0,-1-1 1 0 0,1 1-1 0 0,-1-2 1 0 0,3-6-1 0 0,-4 7-17 0 0,1-1 0 0 0,-1-1 0 0 0,0 0 0 0 0,0 1 0 0 0,-1 0 0 0 0,0-1 1 0 0,-1 0-1 0 0,0 1 0 0 0,0-1 0 0 0,-2-14 0 0 0,-1 12-29 0 0,-1-1 0 0 0,0 0 1 0 0,0 1-1 0 0,-1 0 0 0 0,-1 0 1 0 0,0 1-1 0 0,-7-11 1 0 0,2 7-19 0 0,1 2 1 0 0,-1 1 0 0 0,-1-2 0 0 0,0 3 0 0 0,-1 0 0 0 0,0-1 0 0 0,0 2 0 0 0,-1 1 0 0 0,0 0 0 0 0,-1 0-1 0 0,0 1 1 0 0,-17-4 0 0 0,15 3-26 0 0,-15-3-77 0 0,31 11 106 0 0,34 0 390 0 0,288-23 753 0 0,-168 8-2198 0 0,-63 8-3191 0 0,150-34-1 0 0,-198 28 3052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94CB-AC56-45B2-9686-4752E98DC418}">
  <dimension ref="A1:T31"/>
  <sheetViews>
    <sheetView showGridLines="0" tabSelected="1" zoomScale="110" zoomScaleNormal="110" workbookViewId="0">
      <selection activeCell="K38" sqref="K38"/>
    </sheetView>
  </sheetViews>
  <sheetFormatPr defaultRowHeight="15" x14ac:dyDescent="0.25"/>
  <cols>
    <col min="2" max="2" width="13.7109375" customWidth="1"/>
    <col min="4" max="4" width="12.140625" style="1" customWidth="1"/>
    <col min="5" max="5" width="11.5703125" customWidth="1"/>
    <col min="8" max="8" width="14.42578125" customWidth="1"/>
    <col min="9" max="9" width="3" customWidth="1"/>
    <col min="20" max="20" width="2.140625" customWidth="1"/>
  </cols>
  <sheetData>
    <row r="1" spans="1:20" ht="15" customHeight="1" x14ac:dyDescent="0.25">
      <c r="A1" s="225" t="s">
        <v>246</v>
      </c>
      <c r="B1" s="225"/>
      <c r="C1" s="225"/>
      <c r="D1" s="225"/>
      <c r="E1" s="225"/>
      <c r="F1" s="225"/>
      <c r="G1" s="225"/>
    </row>
    <row r="2" spans="1:20" ht="15" customHeight="1" x14ac:dyDescent="0.25">
      <c r="A2" s="225"/>
      <c r="B2" s="225"/>
      <c r="C2" s="225"/>
      <c r="D2" s="225"/>
      <c r="E2" s="225"/>
      <c r="F2" s="225"/>
      <c r="G2" s="225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</row>
    <row r="3" spans="1:20" ht="15.75" thickBot="1" x14ac:dyDescent="0.3">
      <c r="A3" s="21"/>
      <c r="B3" s="21"/>
      <c r="C3" s="228" t="s">
        <v>0</v>
      </c>
      <c r="D3" s="228"/>
      <c r="E3" s="229" t="s">
        <v>13</v>
      </c>
      <c r="F3" s="229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</row>
    <row r="4" spans="1:20" ht="27.75" customHeight="1" thickBot="1" x14ac:dyDescent="0.3">
      <c r="A4" s="2" t="s">
        <v>1</v>
      </c>
      <c r="B4" s="2" t="s">
        <v>2</v>
      </c>
      <c r="C4" s="2" t="s">
        <v>3</v>
      </c>
      <c r="D4" s="3" t="s">
        <v>4</v>
      </c>
      <c r="E4" s="17" t="s">
        <v>3</v>
      </c>
      <c r="F4" s="3" t="s">
        <v>15</v>
      </c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</row>
    <row r="5" spans="1:20" x14ac:dyDescent="0.25">
      <c r="A5" s="4">
        <v>1</v>
      </c>
      <c r="B5" s="5">
        <v>33603</v>
      </c>
      <c r="C5" s="6">
        <v>75</v>
      </c>
      <c r="D5" s="7" t="s">
        <v>5</v>
      </c>
      <c r="E5" s="6">
        <v>40</v>
      </c>
      <c r="F5" s="8" t="s">
        <v>5</v>
      </c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</row>
    <row r="6" spans="1:20" x14ac:dyDescent="0.25">
      <c r="A6" s="4">
        <v>2</v>
      </c>
      <c r="B6" s="5">
        <v>33969</v>
      </c>
      <c r="C6" s="6">
        <v>86.25</v>
      </c>
      <c r="D6" s="8">
        <f>SUM((C6-C5)/C5)</f>
        <v>0.15</v>
      </c>
      <c r="E6" s="6">
        <v>55.6</v>
      </c>
      <c r="F6" s="8">
        <f>SUM((E6-E5)/E5)</f>
        <v>0.39</v>
      </c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</row>
    <row r="7" spans="1:20" x14ac:dyDescent="0.25">
      <c r="A7" s="4">
        <v>4</v>
      </c>
      <c r="B7" s="5">
        <v>34699</v>
      </c>
      <c r="C7" s="6">
        <v>91.64</v>
      </c>
      <c r="D7" s="8">
        <f t="shared" ref="D7:D13" si="0">SUM((C7-C6)/C6)</f>
        <v>6.2492753623188416E-2</v>
      </c>
      <c r="E7" s="6">
        <v>48.37</v>
      </c>
      <c r="F7" s="8">
        <f t="shared" ref="F7:F13" si="1">SUM((E7-E6)/E6)</f>
        <v>-0.13003597122302166</v>
      </c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</row>
    <row r="8" spans="1:20" x14ac:dyDescent="0.25">
      <c r="A8" s="4">
        <v>5</v>
      </c>
      <c r="B8" s="5">
        <v>35064</v>
      </c>
      <c r="C8" s="6">
        <v>100.8</v>
      </c>
      <c r="D8" s="8">
        <f t="shared" si="0"/>
        <v>9.9956350938454785E-2</v>
      </c>
      <c r="E8" s="6">
        <v>32.880000000000003</v>
      </c>
      <c r="F8" s="8">
        <f t="shared" si="1"/>
        <v>-0.320239818069051</v>
      </c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</row>
    <row r="9" spans="1:20" x14ac:dyDescent="0.25">
      <c r="A9" s="4">
        <v>6</v>
      </c>
      <c r="B9" s="5">
        <v>35430</v>
      </c>
      <c r="C9" s="6">
        <v>145.93</v>
      </c>
      <c r="D9" s="8">
        <f t="shared" si="0"/>
        <v>0.4477182539682541</v>
      </c>
      <c r="E9" s="6">
        <v>61.64</v>
      </c>
      <c r="F9" s="8">
        <f t="shared" si="1"/>
        <v>0.87469586374695851</v>
      </c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7"/>
    </row>
    <row r="10" spans="1:20" x14ac:dyDescent="0.25">
      <c r="A10" s="4">
        <v>7</v>
      </c>
      <c r="B10" s="5">
        <v>35795</v>
      </c>
      <c r="C10" s="6">
        <v>151.21</v>
      </c>
      <c r="D10" s="8">
        <f t="shared" si="0"/>
        <v>3.6181730966901943E-2</v>
      </c>
      <c r="E10" s="6">
        <v>75.819999999999993</v>
      </c>
      <c r="F10" s="8">
        <f t="shared" si="1"/>
        <v>0.23004542504866957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</row>
    <row r="11" spans="1:20" x14ac:dyDescent="0.25">
      <c r="A11" s="4">
        <v>8</v>
      </c>
      <c r="B11" s="5">
        <v>36160</v>
      </c>
      <c r="C11" s="6">
        <v>196.57</v>
      </c>
      <c r="D11" s="8">
        <f t="shared" si="0"/>
        <v>0.29998016004232514</v>
      </c>
      <c r="E11" s="6">
        <v>97.05</v>
      </c>
      <c r="F11" s="8">
        <f t="shared" si="1"/>
        <v>0.2800052756528621</v>
      </c>
      <c r="I11" s="217"/>
      <c r="J11" s="217"/>
      <c r="K11" s="217"/>
      <c r="L11" s="217"/>
      <c r="M11" s="217"/>
      <c r="N11" s="217"/>
      <c r="O11" s="217"/>
      <c r="P11" s="217"/>
      <c r="Q11" s="217"/>
      <c r="R11" s="217"/>
      <c r="S11" s="217"/>
      <c r="T11" s="217"/>
    </row>
    <row r="12" spans="1:20" x14ac:dyDescent="0.25">
      <c r="A12" s="4">
        <v>9</v>
      </c>
      <c r="B12" s="5">
        <v>36525</v>
      </c>
      <c r="C12" s="6">
        <v>226.05</v>
      </c>
      <c r="D12" s="8">
        <f t="shared" si="0"/>
        <v>0.14997202014549535</v>
      </c>
      <c r="E12" s="6">
        <v>109.66</v>
      </c>
      <c r="F12" s="8">
        <f t="shared" si="1"/>
        <v>0.12993302421432251</v>
      </c>
      <c r="I12" s="217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</row>
    <row r="13" spans="1:20" ht="15.75" thickBot="1" x14ac:dyDescent="0.3">
      <c r="A13" s="9">
        <v>10</v>
      </c>
      <c r="B13" s="10">
        <v>36891</v>
      </c>
      <c r="C13" s="11">
        <v>89</v>
      </c>
      <c r="D13" s="12">
        <f t="shared" si="0"/>
        <v>-0.60628179606281796</v>
      </c>
      <c r="E13" s="11">
        <v>122.99</v>
      </c>
      <c r="F13" s="12">
        <f t="shared" si="1"/>
        <v>0.121557541491884</v>
      </c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</row>
    <row r="14" spans="1:20" x14ac:dyDescent="0.25">
      <c r="A14" s="13"/>
      <c r="B14" s="13"/>
      <c r="C14" s="14" t="s">
        <v>6</v>
      </c>
      <c r="D14" s="15">
        <f>AVERAGE(D5:D13)</f>
        <v>8.0002434202725209E-2</v>
      </c>
      <c r="E14" s="14" t="s">
        <v>6</v>
      </c>
      <c r="F14" s="15">
        <f>AVERAGE(F5:F13)</f>
        <v>0.19699516760782798</v>
      </c>
      <c r="G14" t="s">
        <v>7</v>
      </c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</row>
    <row r="15" spans="1:20" x14ac:dyDescent="0.25">
      <c r="A15" s="13"/>
      <c r="B15" s="13"/>
      <c r="C15" s="14" t="s">
        <v>8</v>
      </c>
      <c r="D15" s="15">
        <f>_xlfn.VAR.P(D6:D13)</f>
        <v>8.3376446574536092E-2</v>
      </c>
      <c r="E15" s="14" t="s">
        <v>8</v>
      </c>
      <c r="F15" s="1">
        <f>_xlfn.VAR.P(F6:F13)</f>
        <v>0.1111477073890563</v>
      </c>
      <c r="G15" t="s">
        <v>9</v>
      </c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</row>
    <row r="16" spans="1:20" x14ac:dyDescent="0.25">
      <c r="A16" s="13"/>
      <c r="B16" s="13"/>
      <c r="C16" s="14"/>
      <c r="D16" s="15">
        <f>_xlfn.STDEV.P(D6:D13)</f>
        <v>0.28874979926319616</v>
      </c>
      <c r="F16" s="1">
        <f>_xlfn.STDEV.P(F6:F13)</f>
        <v>0.33338822323089984</v>
      </c>
      <c r="G16" t="s">
        <v>10</v>
      </c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</row>
    <row r="17" spans="1:20" x14ac:dyDescent="0.25">
      <c r="A17" s="13"/>
      <c r="B17" s="13"/>
      <c r="C17" s="14"/>
      <c r="D17" s="15"/>
      <c r="E17" s="16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</row>
    <row r="18" spans="1:20" x14ac:dyDescent="0.25">
      <c r="A18" s="226"/>
      <c r="B18" s="226"/>
      <c r="C18" s="226"/>
      <c r="D18" s="226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</row>
    <row r="19" spans="1:20" ht="14.25" customHeight="1" x14ac:dyDescent="0.25">
      <c r="A19" s="14" t="s">
        <v>11</v>
      </c>
      <c r="B19">
        <f>CORREL(D6:D13,F6:F13)</f>
        <v>0.41812353516070139</v>
      </c>
      <c r="C19" s="24" t="s">
        <v>12</v>
      </c>
      <c r="D19"/>
      <c r="I19" s="217"/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</row>
    <row r="20" spans="1:20" x14ac:dyDescent="0.25">
      <c r="B20">
        <f>COVAR(D6:D13,F6:F13)</f>
        <v>4.0250989308393291E-2</v>
      </c>
      <c r="C20" s="24" t="s">
        <v>14</v>
      </c>
      <c r="D20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</row>
    <row r="21" spans="1:20" x14ac:dyDescent="0.25">
      <c r="A21" s="18" t="s">
        <v>16</v>
      </c>
      <c r="B21" s="227" t="s">
        <v>17</v>
      </c>
      <c r="C21" s="227"/>
      <c r="D21" s="227"/>
      <c r="E21" s="227"/>
      <c r="F21" s="227"/>
      <c r="G21" s="19"/>
      <c r="H21" s="19"/>
      <c r="I21" s="224"/>
      <c r="J21" s="224"/>
      <c r="K21" s="224"/>
      <c r="L21" s="217"/>
      <c r="M21" s="217"/>
      <c r="N21" s="217"/>
      <c r="O21" s="217"/>
      <c r="P21" s="217"/>
      <c r="Q21" s="217"/>
      <c r="R21" s="217"/>
      <c r="S21" s="217"/>
      <c r="T21" s="217"/>
    </row>
    <row r="22" spans="1:20" x14ac:dyDescent="0.25">
      <c r="A22" s="18"/>
      <c r="B22" s="227"/>
      <c r="C22" s="227"/>
      <c r="D22" s="227"/>
      <c r="E22" s="227"/>
      <c r="F22" s="227"/>
      <c r="G22" s="19"/>
      <c r="H22" s="19"/>
      <c r="I22" s="224"/>
      <c r="J22" s="224"/>
      <c r="K22" s="224"/>
      <c r="L22" s="217"/>
      <c r="M22" s="217"/>
      <c r="N22" s="217"/>
      <c r="O22" s="217"/>
      <c r="P22" s="217"/>
      <c r="Q22" s="217"/>
      <c r="R22" s="217"/>
      <c r="S22" s="217"/>
      <c r="T22" s="217"/>
    </row>
    <row r="23" spans="1:20" x14ac:dyDescent="0.25">
      <c r="A23" s="13"/>
      <c r="B23" s="22"/>
      <c r="G23" s="19"/>
      <c r="H23" s="19"/>
      <c r="I23" s="224"/>
      <c r="J23" s="224"/>
      <c r="K23" s="224"/>
      <c r="L23" s="217"/>
      <c r="M23" s="217"/>
      <c r="N23" s="217"/>
      <c r="O23" s="217"/>
      <c r="P23" s="217"/>
      <c r="Q23" s="217"/>
      <c r="R23" s="217"/>
      <c r="S23" s="217"/>
      <c r="T23" s="217"/>
    </row>
    <row r="24" spans="1:20" x14ac:dyDescent="0.25">
      <c r="A24" s="13"/>
      <c r="B24" s="22"/>
      <c r="G24" s="19"/>
      <c r="H24" s="19"/>
      <c r="I24" s="224"/>
      <c r="J24" s="224"/>
      <c r="K24" s="224"/>
      <c r="L24" s="217"/>
      <c r="M24" s="217"/>
      <c r="N24" s="217"/>
      <c r="O24" s="217"/>
      <c r="P24" s="217"/>
      <c r="Q24" s="217"/>
      <c r="R24" s="217"/>
      <c r="S24" s="217"/>
      <c r="T24" s="217"/>
    </row>
    <row r="25" spans="1:20" x14ac:dyDescent="0.25">
      <c r="A25" s="13"/>
      <c r="B25" s="22"/>
      <c r="G25" s="19"/>
      <c r="H25" s="19"/>
      <c r="I25" s="224"/>
      <c r="J25" s="224"/>
      <c r="K25" s="224"/>
      <c r="L25" s="217"/>
      <c r="M25" s="217"/>
      <c r="N25" s="217"/>
      <c r="O25" s="217"/>
      <c r="P25" s="217"/>
      <c r="Q25" s="217"/>
      <c r="R25" s="217"/>
      <c r="S25" s="217"/>
      <c r="T25" s="217"/>
    </row>
    <row r="26" spans="1:20" x14ac:dyDescent="0.25">
      <c r="A26" s="13"/>
      <c r="B26" s="22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</row>
    <row r="27" spans="1:20" x14ac:dyDescent="0.25">
      <c r="A27" s="13"/>
      <c r="B27" s="22"/>
    </row>
    <row r="28" spans="1:20" x14ac:dyDescent="0.25">
      <c r="A28" s="13"/>
      <c r="B28" s="22"/>
    </row>
    <row r="29" spans="1:20" x14ac:dyDescent="0.25">
      <c r="A29" s="23"/>
      <c r="B29" s="23"/>
      <c r="E29" s="16"/>
    </row>
    <row r="30" spans="1:20" x14ac:dyDescent="0.25">
      <c r="E30" s="16"/>
    </row>
    <row r="31" spans="1:20" x14ac:dyDescent="0.25">
      <c r="E31" s="16"/>
    </row>
  </sheetData>
  <mergeCells count="5">
    <mergeCell ref="A1:G2"/>
    <mergeCell ref="A18:D18"/>
    <mergeCell ref="B21:F22"/>
    <mergeCell ref="C3:D3"/>
    <mergeCell ref="E3:F3"/>
  </mergeCells>
  <pageMargins left="0.7" right="0.7" top="0.75" bottom="0.75" header="0.3" footer="0.3"/>
  <pageSetup paperSize="9" orientation="portrait" horizontalDpi="12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AC79-24B3-400B-8CC5-3A84B9DDACCB}">
  <dimension ref="A1:AB169"/>
  <sheetViews>
    <sheetView showGridLines="0" zoomScaleNormal="100" workbookViewId="0">
      <selection sqref="A1:M2"/>
    </sheetView>
  </sheetViews>
  <sheetFormatPr defaultRowHeight="15" x14ac:dyDescent="0.25"/>
  <cols>
    <col min="2" max="2" width="9.28515625" bestFit="1" customWidth="1"/>
    <col min="3" max="3" width="10.5703125" bestFit="1" customWidth="1"/>
    <col min="4" max="4" width="10.28515625" customWidth="1"/>
    <col min="8" max="8" width="12" customWidth="1"/>
    <col min="9" max="9" width="11.42578125" customWidth="1"/>
    <col min="27" max="27" width="7.85546875" customWidth="1"/>
    <col min="28" max="28" width="3.42578125" customWidth="1"/>
  </cols>
  <sheetData>
    <row r="1" spans="1:28" s="26" customFormat="1" ht="15" customHeight="1" x14ac:dyDescent="0.5">
      <c r="A1" s="230" t="s">
        <v>245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</row>
    <row r="2" spans="1:28" s="26" customFormat="1" ht="15" customHeight="1" x14ac:dyDescent="0.5">
      <c r="A2" s="230"/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R2" s="222"/>
      <c r="S2" s="222"/>
      <c r="T2" s="222"/>
      <c r="U2" s="222"/>
      <c r="V2" s="222"/>
      <c r="W2" s="222"/>
      <c r="X2" s="222"/>
      <c r="Y2" s="222"/>
      <c r="Z2" s="222"/>
      <c r="AA2" s="222"/>
      <c r="AB2" s="222"/>
    </row>
    <row r="3" spans="1:28" ht="15.75" thickBot="1" x14ac:dyDescent="0.3"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</row>
    <row r="4" spans="1:28" ht="15.75" thickBot="1" x14ac:dyDescent="0.3">
      <c r="C4" s="231" t="s">
        <v>18</v>
      </c>
      <c r="D4" s="232"/>
      <c r="E4" s="233"/>
      <c r="H4" s="20"/>
      <c r="I4" s="55" t="s">
        <v>38</v>
      </c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</row>
    <row r="5" spans="1:28" ht="15.75" thickBot="1" x14ac:dyDescent="0.3">
      <c r="C5" s="59">
        <v>1</v>
      </c>
      <c r="D5" s="59">
        <v>2</v>
      </c>
      <c r="E5" s="59">
        <v>3</v>
      </c>
      <c r="G5" s="236" t="s">
        <v>29</v>
      </c>
      <c r="H5" s="236"/>
      <c r="I5" s="52">
        <v>0.06</v>
      </c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</row>
    <row r="6" spans="1:28" x14ac:dyDescent="0.25">
      <c r="A6" s="234" t="s">
        <v>19</v>
      </c>
      <c r="B6" s="235"/>
      <c r="C6" s="54">
        <v>0.23</v>
      </c>
      <c r="D6" s="50">
        <v>0.185</v>
      </c>
      <c r="E6" s="50">
        <v>0.31</v>
      </c>
      <c r="G6" s="236" t="s">
        <v>30</v>
      </c>
      <c r="H6" s="236"/>
      <c r="I6" s="52">
        <v>-0.2</v>
      </c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</row>
    <row r="7" spans="1:28" x14ac:dyDescent="0.25">
      <c r="A7" s="234" t="s">
        <v>20</v>
      </c>
      <c r="B7" s="235"/>
      <c r="C7" s="50">
        <v>0.3</v>
      </c>
      <c r="D7" s="50">
        <v>0.06</v>
      </c>
      <c r="E7" s="50">
        <v>0.18</v>
      </c>
      <c r="G7" s="236" t="s">
        <v>31</v>
      </c>
      <c r="H7" s="236"/>
      <c r="I7" s="53">
        <v>0.6</v>
      </c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7"/>
    </row>
    <row r="8" spans="1:28" ht="15.75" thickBot="1" x14ac:dyDescent="0.3">
      <c r="A8" s="234" t="s">
        <v>21</v>
      </c>
      <c r="B8" s="235"/>
      <c r="C8" s="51">
        <f>SQRT(C7)</f>
        <v>0.54772255750516607</v>
      </c>
      <c r="D8" s="51">
        <f t="shared" ref="D8:E8" si="0">SQRT(D7)</f>
        <v>0.2449489742783178</v>
      </c>
      <c r="E8" s="51">
        <f t="shared" si="0"/>
        <v>0.42426406871192851</v>
      </c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217"/>
    </row>
    <row r="9" spans="1:28" ht="15.75" thickBot="1" x14ac:dyDescent="0.3">
      <c r="R9" s="217"/>
      <c r="S9" s="217"/>
      <c r="T9" s="217"/>
      <c r="U9" s="217"/>
      <c r="V9" s="217"/>
      <c r="W9" s="217"/>
      <c r="X9" s="217"/>
      <c r="Y9" s="217"/>
      <c r="Z9" s="217"/>
      <c r="AA9" s="217"/>
      <c r="AB9" s="217"/>
    </row>
    <row r="10" spans="1:28" ht="15.75" thickBot="1" x14ac:dyDescent="0.3">
      <c r="A10" s="237" t="s">
        <v>39</v>
      </c>
      <c r="B10" s="237"/>
      <c r="C10" s="56">
        <v>1</v>
      </c>
      <c r="D10" s="57">
        <v>2</v>
      </c>
      <c r="E10" s="58">
        <v>3</v>
      </c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</row>
    <row r="11" spans="1:28" x14ac:dyDescent="0.25">
      <c r="C11" s="27">
        <v>0.3</v>
      </c>
      <c r="D11" s="28">
        <f>0.06*C8*D8</f>
        <v>8.0498447189992408E-3</v>
      </c>
      <c r="E11" s="29">
        <f>-0.2*C8*E8</f>
        <v>-4.6475800154489003E-2</v>
      </c>
      <c r="F11" s="60">
        <v>1</v>
      </c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</row>
    <row r="12" spans="1:28" x14ac:dyDescent="0.25">
      <c r="C12" s="30">
        <f>0.06*C8*D8</f>
        <v>8.0498447189992408E-3</v>
      </c>
      <c r="D12">
        <v>0.06</v>
      </c>
      <c r="E12" s="31">
        <f>0.6*D8*E8</f>
        <v>6.2353829072479584E-2</v>
      </c>
      <c r="F12" s="61">
        <v>2</v>
      </c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</row>
    <row r="13" spans="1:28" ht="15.75" thickBot="1" x14ac:dyDescent="0.3">
      <c r="C13" s="32">
        <f>-0.2*C8*E8</f>
        <v>-4.6475800154489003E-2</v>
      </c>
      <c r="D13" s="33">
        <f>0.6*D8*E8</f>
        <v>6.2353829072479584E-2</v>
      </c>
      <c r="E13" s="34">
        <v>0.18</v>
      </c>
      <c r="F13" s="62">
        <v>3</v>
      </c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</row>
    <row r="14" spans="1:28" x14ac:dyDescent="0.25">
      <c r="R14" s="217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</row>
    <row r="15" spans="1:28" s="35" customFormat="1" ht="23.25" x14ac:dyDescent="0.35">
      <c r="A15" s="239" t="s">
        <v>32</v>
      </c>
      <c r="B15" s="239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</row>
    <row r="16" spans="1:28" s="35" customFormat="1" ht="14.25" customHeight="1" x14ac:dyDescent="0.3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</row>
    <row r="17" spans="1:28" x14ac:dyDescent="0.25">
      <c r="A17" s="66"/>
      <c r="B17" s="67"/>
      <c r="C17" s="65">
        <v>1</v>
      </c>
      <c r="D17" s="65">
        <v>2</v>
      </c>
      <c r="E17" s="65">
        <v>3</v>
      </c>
      <c r="G17" s="68" t="s">
        <v>40</v>
      </c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</row>
    <row r="18" spans="1:28" ht="15.75" thickBot="1" x14ac:dyDescent="0.3">
      <c r="A18" s="241" t="s">
        <v>22</v>
      </c>
      <c r="B18" s="241"/>
      <c r="C18" s="64">
        <v>0.5</v>
      </c>
      <c r="D18" s="64">
        <v>0.2</v>
      </c>
      <c r="E18" s="64">
        <v>0.3</v>
      </c>
      <c r="G18" s="37">
        <f>SUM(C18:E18)</f>
        <v>1</v>
      </c>
      <c r="I18" s="63" t="s">
        <v>42</v>
      </c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</row>
    <row r="19" spans="1:28" ht="15.75" thickTop="1" x14ac:dyDescent="0.25"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</row>
    <row r="20" spans="1:28" x14ac:dyDescent="0.25">
      <c r="A20" s="241" t="s">
        <v>41</v>
      </c>
      <c r="B20" s="241"/>
      <c r="C20" s="64">
        <f>(C18*C6)+(D18*D6)+(E18*E6)</f>
        <v>0.245</v>
      </c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</row>
    <row r="21" spans="1:28" x14ac:dyDescent="0.25">
      <c r="A21" s="241" t="s">
        <v>44</v>
      </c>
      <c r="B21" s="241"/>
      <c r="C21" s="64">
        <f>(POWER(C18,2)*C11)+(POWER(D18,2)*D12)+(POWER(E18,2)*E13)+2*PRODUCT(C18,D18,D11)+2*PRODUCT(D18,E18,E12)+2*PRODUCT(C18,E18,E11)</f>
        <v>8.8749688386150688E-2</v>
      </c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</row>
    <row r="22" spans="1:28" x14ac:dyDescent="0.25">
      <c r="A22" s="241" t="s">
        <v>45</v>
      </c>
      <c r="B22" s="241"/>
      <c r="C22" s="64">
        <f>SQRT(C21)</f>
        <v>0.29790885919379889</v>
      </c>
      <c r="R22" s="217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</row>
    <row r="23" spans="1:28" x14ac:dyDescent="0.25"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</row>
    <row r="24" spans="1:28" s="35" customFormat="1" ht="23.25" x14ac:dyDescent="0.35">
      <c r="A24" s="239" t="s">
        <v>34</v>
      </c>
      <c r="B24" s="239"/>
      <c r="C24" s="239"/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</row>
    <row r="25" spans="1:28" s="35" customFormat="1" ht="15" customHeight="1" x14ac:dyDescent="0.3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R25" s="223"/>
      <c r="S25" s="223"/>
      <c r="T25" s="223"/>
      <c r="U25" s="223"/>
      <c r="V25" s="223"/>
      <c r="W25" s="223"/>
      <c r="X25" s="223"/>
      <c r="Y25" s="223"/>
      <c r="Z25" s="223"/>
      <c r="AA25" s="223"/>
      <c r="AB25" s="223"/>
    </row>
    <row r="26" spans="1:28" x14ac:dyDescent="0.25">
      <c r="B26" s="78">
        <v>1</v>
      </c>
      <c r="C26" s="78">
        <v>2</v>
      </c>
      <c r="D26" s="78">
        <v>3</v>
      </c>
      <c r="F26" s="68" t="s">
        <v>40</v>
      </c>
    </row>
    <row r="27" spans="1:28" x14ac:dyDescent="0.25">
      <c r="A27" s="74" t="s">
        <v>48</v>
      </c>
      <c r="B27" s="73">
        <v>0.16080626516974797</v>
      </c>
      <c r="C27" s="73">
        <v>0.78027635446342891</v>
      </c>
      <c r="D27" s="73">
        <v>5.8917381299794257E-2</v>
      </c>
      <c r="F27" s="70">
        <f>SUM(B27:D27)</f>
        <v>1.000000000932971</v>
      </c>
    </row>
    <row r="28" spans="1:28" x14ac:dyDescent="0.25">
      <c r="F28" t="s">
        <v>24</v>
      </c>
    </row>
    <row r="29" spans="1:28" ht="15.75" x14ac:dyDescent="0.25">
      <c r="A29" s="75" t="s">
        <v>47</v>
      </c>
      <c r="B29" s="76">
        <f>B27^2*C11+C27^2*D12+D27^2*E13+2*B27*C27*D11+2*B27*D27*E11+2*C27*D27*E12</f>
        <v>5.1784766410788233E-2</v>
      </c>
      <c r="C29" s="72"/>
      <c r="E29" s="63" t="s">
        <v>43</v>
      </c>
      <c r="G29" s="69" t="s">
        <v>46</v>
      </c>
    </row>
    <row r="30" spans="1:28" x14ac:dyDescent="0.25">
      <c r="A30" s="74" t="s">
        <v>10</v>
      </c>
      <c r="B30" s="76">
        <f>SQRT(B29)</f>
        <v>0.22756266479980461</v>
      </c>
    </row>
    <row r="32" spans="1:28" s="38" customFormat="1" ht="23.25" x14ac:dyDescent="0.35">
      <c r="A32" s="239" t="s">
        <v>49</v>
      </c>
      <c r="B32" s="239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</row>
    <row r="33" spans="1:13" s="38" customFormat="1" ht="15" customHeight="1" x14ac:dyDescent="0.35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</row>
    <row r="34" spans="1:13" x14ac:dyDescent="0.25">
      <c r="B34" s="77">
        <v>1</v>
      </c>
      <c r="C34" s="77">
        <v>2</v>
      </c>
      <c r="D34" s="77">
        <v>3</v>
      </c>
      <c r="F34" s="68" t="s">
        <v>40</v>
      </c>
    </row>
    <row r="35" spans="1:13" x14ac:dyDescent="0.25">
      <c r="A35" s="74" t="s">
        <v>48</v>
      </c>
      <c r="B35" s="73">
        <v>0.32021084636154629</v>
      </c>
      <c r="C35" s="73">
        <v>3.0511948209420204E-2</v>
      </c>
      <c r="D35" s="73">
        <v>0.64927720542895229</v>
      </c>
      <c r="F35" s="70">
        <f>SUM(B35:D35)</f>
        <v>0.99999999999991873</v>
      </c>
    </row>
    <row r="36" spans="1:13" x14ac:dyDescent="0.25">
      <c r="A36" s="71"/>
    </row>
    <row r="37" spans="1:13" x14ac:dyDescent="0.25">
      <c r="A37" s="78" t="s">
        <v>9</v>
      </c>
      <c r="B37" s="64">
        <f>(POWER(B35,2)*C11)+(POWER(C35,2)*D12)+(POWER(D35,2)*E13)+2*PRODUCT(B35,C35,D11)+2*PRODUCT(C35,D35,E12)+2*PRODUCT(B35,D35,E11)</f>
        <v>9.0000001786676609E-2</v>
      </c>
      <c r="E37" s="240" t="s">
        <v>25</v>
      </c>
      <c r="F37" s="240"/>
      <c r="G37" s="240"/>
      <c r="H37" s="240"/>
      <c r="I37" s="240"/>
      <c r="J37" s="240"/>
      <c r="K37" s="240"/>
      <c r="L37" s="240"/>
      <c r="M37" s="240"/>
    </row>
    <row r="38" spans="1:13" x14ac:dyDescent="0.25">
      <c r="A38" s="78" t="s">
        <v>26</v>
      </c>
      <c r="B38" s="64">
        <f>SQRT(B37)</f>
        <v>0.30000000297779433</v>
      </c>
      <c r="E38" s="240"/>
      <c r="F38" s="240"/>
      <c r="G38" s="240"/>
      <c r="H38" s="240"/>
      <c r="I38" s="240"/>
      <c r="J38" s="240"/>
      <c r="K38" s="240"/>
      <c r="L38" s="240"/>
      <c r="M38" s="240"/>
    </row>
    <row r="39" spans="1:13" x14ac:dyDescent="0.25">
      <c r="A39" s="78" t="s">
        <v>23</v>
      </c>
      <c r="B39" s="64">
        <f>B35*C6+C35*D6+D35*E6</f>
        <v>0.28056913876487355</v>
      </c>
      <c r="C39" s="1"/>
    </row>
    <row r="41" spans="1:13" s="38" customFormat="1" ht="23.25" x14ac:dyDescent="0.35">
      <c r="A41" s="239" t="s">
        <v>36</v>
      </c>
      <c r="B41" s="239"/>
      <c r="C41" s="239"/>
      <c r="D41" s="239"/>
      <c r="E41" s="239"/>
      <c r="F41" s="239"/>
      <c r="G41" s="239"/>
      <c r="H41" s="239"/>
      <c r="I41" s="239"/>
      <c r="J41" s="239"/>
      <c r="K41" s="239"/>
      <c r="L41" s="239"/>
      <c r="M41" s="239"/>
    </row>
    <row r="42" spans="1:13" x14ac:dyDescent="0.25">
      <c r="A42" s="39"/>
    </row>
    <row r="43" spans="1:13" x14ac:dyDescent="0.25">
      <c r="A43" s="39"/>
      <c r="B43" s="238" t="s">
        <v>48</v>
      </c>
      <c r="C43" s="238"/>
      <c r="D43" s="238"/>
      <c r="E43" s="83"/>
      <c r="F43" s="66"/>
    </row>
    <row r="44" spans="1:13" x14ac:dyDescent="0.25">
      <c r="B44" s="82">
        <v>1</v>
      </c>
      <c r="C44" s="82">
        <v>2</v>
      </c>
      <c r="D44" s="86">
        <v>3</v>
      </c>
      <c r="E44" s="88" t="s">
        <v>27</v>
      </c>
      <c r="F44" s="81" t="s">
        <v>37</v>
      </c>
      <c r="G44" s="82" t="s">
        <v>41</v>
      </c>
    </row>
    <row r="45" spans="1:13" x14ac:dyDescent="0.25">
      <c r="B45" s="73">
        <v>0.18806087122017737</v>
      </c>
      <c r="C45" s="73">
        <v>0.65217862770174229</v>
      </c>
      <c r="D45" s="87">
        <v>0.15976050107678955</v>
      </c>
      <c r="E45" s="89">
        <f>SUM(B45:D45)</f>
        <v>0.99999999999870914</v>
      </c>
      <c r="F45" s="84">
        <f>SQRT(B45^2*$C$11+C45^2*$D$12+D45^2*$E$13+2*B45*C45*$D$11+2*B45*D45*$E$11+2*C45*D45*$E$12)</f>
        <v>0.23000000227177264</v>
      </c>
      <c r="G45" s="64">
        <f>B45*$C$6+C45*$D$6+D45*$E$6</f>
        <v>0.21343280183926788</v>
      </c>
    </row>
    <row r="46" spans="1:13" x14ac:dyDescent="0.25">
      <c r="B46" s="73">
        <v>0.22300138955447898</v>
      </c>
      <c r="C46" s="73">
        <v>0.48779195507151429</v>
      </c>
      <c r="D46" s="87">
        <v>0.28920665537411167</v>
      </c>
      <c r="E46" s="89">
        <f t="shared" ref="E46:E69" si="1">SUM(B46:D46)</f>
        <v>1.000000000000105</v>
      </c>
      <c r="F46" s="84">
        <f t="shared" ref="F46:F69" si="2">SQRT(B46^2*$C$11+C46^2*$D$12+D46^2*$E$13+2*B46*C46*$D$11+2*B46*D46*$E$11+2*C46*D46*$E$12)</f>
        <v>0.24000000188495399</v>
      </c>
      <c r="G46" s="64">
        <f t="shared" ref="G46:G69" si="3">B46*$C$6+C46*$D$6+D46*$E$6</f>
        <v>0.23118589445173493</v>
      </c>
    </row>
    <row r="47" spans="1:13" x14ac:dyDescent="0.25">
      <c r="B47" s="73">
        <v>0.24522558343292153</v>
      </c>
      <c r="C47" s="73">
        <v>0.38325351450693101</v>
      </c>
      <c r="D47" s="87">
        <v>0.37152090205997773</v>
      </c>
      <c r="E47" s="89">
        <f t="shared" si="1"/>
        <v>0.99999999999983036</v>
      </c>
      <c r="F47" s="84">
        <f t="shared" si="2"/>
        <v>0.2500000010907461</v>
      </c>
      <c r="G47" s="64">
        <f t="shared" si="3"/>
        <v>0.2424752640119473</v>
      </c>
      <c r="H47" s="80"/>
      <c r="I47" s="80"/>
      <c r="J47" s="80"/>
    </row>
    <row r="48" spans="1:13" x14ac:dyDescent="0.25">
      <c r="B48" s="73">
        <v>0.16080613674963345</v>
      </c>
      <c r="C48" s="73">
        <v>0.78027668716713305</v>
      </c>
      <c r="D48" s="87">
        <v>5.8917175203110017E-2</v>
      </c>
      <c r="E48" s="89">
        <f t="shared" si="1"/>
        <v>0.99999999911987658</v>
      </c>
      <c r="F48" s="91">
        <v>0.26</v>
      </c>
      <c r="G48" s="91">
        <v>0.25168913102994761</v>
      </c>
      <c r="K48" s="80"/>
    </row>
    <row r="49" spans="1:14" x14ac:dyDescent="0.25">
      <c r="A49" s="80"/>
      <c r="B49" s="73">
        <v>0.16080613674963345</v>
      </c>
      <c r="C49" s="73">
        <v>0.78027668716713305</v>
      </c>
      <c r="D49" s="87">
        <v>5.8917175203110017E-2</v>
      </c>
      <c r="E49" s="89">
        <f t="shared" si="1"/>
        <v>0.99999999911987658</v>
      </c>
      <c r="F49" s="91">
        <v>0.27</v>
      </c>
      <c r="G49" s="91">
        <v>0.25978740836647501</v>
      </c>
      <c r="K49" s="80"/>
    </row>
    <row r="50" spans="1:14" x14ac:dyDescent="0.25">
      <c r="A50" s="80"/>
      <c r="B50" s="73">
        <v>0.16080613674963345</v>
      </c>
      <c r="C50" s="73">
        <v>0.78027668716713305</v>
      </c>
      <c r="D50" s="87">
        <v>5.8917175203110017E-2</v>
      </c>
      <c r="E50" s="89">
        <f t="shared" si="1"/>
        <v>0.99999999911987658</v>
      </c>
      <c r="F50" s="91">
        <v>0.28000000000000003</v>
      </c>
      <c r="G50" s="91">
        <v>0.26717266912922522</v>
      </c>
      <c r="K50" s="80"/>
    </row>
    <row r="51" spans="1:14" x14ac:dyDescent="0.25">
      <c r="A51" s="80"/>
      <c r="B51" s="73">
        <v>0.16080613674963345</v>
      </c>
      <c r="C51" s="73">
        <v>0.78027668716713305</v>
      </c>
      <c r="D51" s="87">
        <v>5.8917175203110017E-2</v>
      </c>
      <c r="E51" s="89">
        <f t="shared" si="1"/>
        <v>0.99999999911987658</v>
      </c>
      <c r="F51" s="91">
        <v>0.28999999999999998</v>
      </c>
      <c r="G51" s="91">
        <v>0.27405709611340368</v>
      </c>
    </row>
    <row r="52" spans="1:14" x14ac:dyDescent="0.25">
      <c r="B52" s="73">
        <v>0.16080613674963345</v>
      </c>
      <c r="C52" s="73">
        <v>0.78027668716713305</v>
      </c>
      <c r="D52" s="87">
        <v>5.8917175203110017E-2</v>
      </c>
      <c r="E52" s="89">
        <f t="shared" si="1"/>
        <v>0.99999999911987658</v>
      </c>
      <c r="F52" s="91">
        <v>0.3</v>
      </c>
      <c r="G52" s="91">
        <v>0.28056952514339278</v>
      </c>
    </row>
    <row r="53" spans="1:14" x14ac:dyDescent="0.25">
      <c r="A53" s="40"/>
      <c r="B53" s="73">
        <v>0.16080613674963345</v>
      </c>
      <c r="C53" s="73">
        <v>0.78027668716713305</v>
      </c>
      <c r="D53" s="87">
        <v>5.8917175203110017E-2</v>
      </c>
      <c r="E53" s="89">
        <f t="shared" si="1"/>
        <v>0.99999999911987658</v>
      </c>
      <c r="F53" s="91">
        <v>0.31</v>
      </c>
      <c r="G53" s="91">
        <v>0.28679267176296153</v>
      </c>
    </row>
    <row r="54" spans="1:14" x14ac:dyDescent="0.25">
      <c r="B54" s="73">
        <v>0.16080613674963345</v>
      </c>
      <c r="C54" s="73">
        <v>0.78027668716713305</v>
      </c>
      <c r="D54" s="87">
        <v>5.8917175203110017E-2</v>
      </c>
      <c r="E54" s="89">
        <f t="shared" si="1"/>
        <v>0.99999999911987658</v>
      </c>
      <c r="F54" s="91">
        <v>0.32</v>
      </c>
      <c r="G54" s="91">
        <v>0.2927839423467139</v>
      </c>
    </row>
    <row r="55" spans="1:14" x14ac:dyDescent="0.25">
      <c r="B55" s="73">
        <v>0.16080613674963345</v>
      </c>
      <c r="C55" s="73">
        <v>0.78027668716713305</v>
      </c>
      <c r="D55" s="87">
        <v>5.8917175203110017E-2</v>
      </c>
      <c r="E55" s="89">
        <f t="shared" si="1"/>
        <v>0.99999999911987658</v>
      </c>
      <c r="F55" s="91">
        <v>0.33</v>
      </c>
      <c r="G55" s="91">
        <v>0.29858700058500864</v>
      </c>
    </row>
    <row r="56" spans="1:14" x14ac:dyDescent="0.25">
      <c r="B56" s="73">
        <v>0.16080613674963345</v>
      </c>
      <c r="C56" s="73">
        <v>0.78027668716713305</v>
      </c>
      <c r="D56" s="87">
        <v>5.8917175203110017E-2</v>
      </c>
      <c r="E56" s="89">
        <f t="shared" si="1"/>
        <v>0.99999999911987658</v>
      </c>
      <c r="F56" s="91">
        <v>0.34</v>
      </c>
      <c r="G56" s="91">
        <v>0.30423143665524033</v>
      </c>
    </row>
    <row r="57" spans="1:14" x14ac:dyDescent="0.25">
      <c r="A57" s="20"/>
      <c r="B57" s="73">
        <v>0.16080613674963345</v>
      </c>
      <c r="C57" s="73">
        <v>0.78027668716713305</v>
      </c>
      <c r="D57" s="87">
        <v>5.8917175203110017E-2</v>
      </c>
      <c r="E57" s="89">
        <f t="shared" si="1"/>
        <v>0.99999999911987658</v>
      </c>
      <c r="F57" s="91">
        <v>0.35</v>
      </c>
      <c r="G57" s="91">
        <v>0.30974326722864903</v>
      </c>
    </row>
    <row r="58" spans="1:14" x14ac:dyDescent="0.25">
      <c r="B58" s="73">
        <v>0.16080613674963345</v>
      </c>
      <c r="C58" s="73">
        <v>0.78027668716713305</v>
      </c>
      <c r="D58" s="87">
        <v>5.8917175203110017E-2</v>
      </c>
      <c r="E58" s="89">
        <f t="shared" si="1"/>
        <v>0.99999999911987658</v>
      </c>
      <c r="F58" s="91">
        <v>0.36</v>
      </c>
      <c r="G58" s="91">
        <v>0.31514036600847606</v>
      </c>
      <c r="I58" s="40"/>
      <c r="N58" s="39"/>
    </row>
    <row r="59" spans="1:14" x14ac:dyDescent="0.25">
      <c r="B59" s="73">
        <v>0.16080613674963345</v>
      </c>
      <c r="C59" s="73">
        <v>0.78027668716713305</v>
      </c>
      <c r="D59" s="87">
        <v>5.8917175203110017E-2</v>
      </c>
      <c r="E59" s="89">
        <f t="shared" si="1"/>
        <v>0.99999999911987658</v>
      </c>
      <c r="F59" s="91">
        <v>0.37</v>
      </c>
      <c r="G59" s="91">
        <v>0.32043839428002097</v>
      </c>
    </row>
    <row r="60" spans="1:14" x14ac:dyDescent="0.25">
      <c r="B60" s="73">
        <v>0.16080613674963345</v>
      </c>
      <c r="C60" s="73">
        <v>0.78027668716713305</v>
      </c>
      <c r="D60" s="87">
        <v>5.8917175203110017E-2</v>
      </c>
      <c r="E60" s="89">
        <f t="shared" si="1"/>
        <v>0.99999999911987658</v>
      </c>
      <c r="F60" s="91">
        <v>0.38</v>
      </c>
      <c r="G60" s="91">
        <v>0.32564966963071085</v>
      </c>
    </row>
    <row r="61" spans="1:14" x14ac:dyDescent="0.25">
      <c r="B61" s="73">
        <v>0.16080613674963345</v>
      </c>
      <c r="C61" s="73">
        <v>0.78027668716713305</v>
      </c>
      <c r="D61" s="87">
        <v>5.8917175203110017E-2</v>
      </c>
      <c r="E61" s="89">
        <f t="shared" si="1"/>
        <v>0.99999999911987658</v>
      </c>
      <c r="F61" s="91">
        <v>0.39</v>
      </c>
      <c r="G61" s="91">
        <v>0.33078491819604755</v>
      </c>
    </row>
    <row r="62" spans="1:14" x14ac:dyDescent="0.25">
      <c r="B62" s="73">
        <v>0.16080613674963345</v>
      </c>
      <c r="C62" s="73">
        <v>0.78027668716713305</v>
      </c>
      <c r="D62" s="87">
        <v>5.8917175203110017E-2</v>
      </c>
      <c r="E62" s="89">
        <f t="shared" si="1"/>
        <v>0.99999999911987658</v>
      </c>
      <c r="F62" s="91">
        <v>0.4</v>
      </c>
      <c r="G62" s="91">
        <v>0.33585254912422124</v>
      </c>
    </row>
    <row r="63" spans="1:14" x14ac:dyDescent="0.25">
      <c r="A63" s="40"/>
      <c r="B63" s="73">
        <v>0.16080613674963345</v>
      </c>
      <c r="C63" s="73">
        <v>0.78027668716713305</v>
      </c>
      <c r="D63" s="87">
        <v>5.8917175203110017E-2</v>
      </c>
      <c r="E63" s="89">
        <f t="shared" si="1"/>
        <v>0.99999999911987658</v>
      </c>
      <c r="F63" s="92">
        <f t="shared" si="2"/>
        <v>0.22756266438726158</v>
      </c>
      <c r="G63" s="90">
        <f t="shared" si="3"/>
        <v>0.19960092289129938</v>
      </c>
    </row>
    <row r="64" spans="1:14" x14ac:dyDescent="0.25">
      <c r="B64" s="73">
        <v>0.16080613674963345</v>
      </c>
      <c r="C64" s="73">
        <v>0.78027668716713305</v>
      </c>
      <c r="D64" s="87">
        <v>5.8917175203110017E-2</v>
      </c>
      <c r="E64" s="89">
        <f t="shared" si="1"/>
        <v>0.99999999911987658</v>
      </c>
      <c r="F64" s="84">
        <f t="shared" si="2"/>
        <v>0.22756266438726158</v>
      </c>
      <c r="G64" s="64">
        <f t="shared" si="3"/>
        <v>0.19960092289129938</v>
      </c>
    </row>
    <row r="65" spans="1:15" x14ac:dyDescent="0.25">
      <c r="B65" s="73">
        <v>0.16080613674963345</v>
      </c>
      <c r="C65" s="73">
        <v>0.78027668716713305</v>
      </c>
      <c r="D65" s="87">
        <v>5.8917175203110017E-2</v>
      </c>
      <c r="E65" s="89">
        <f t="shared" si="1"/>
        <v>0.99999999911987658</v>
      </c>
      <c r="F65" s="84">
        <f t="shared" si="2"/>
        <v>0.22756266438726158</v>
      </c>
      <c r="G65" s="64">
        <f t="shared" si="3"/>
        <v>0.19960092289129938</v>
      </c>
    </row>
    <row r="66" spans="1:15" x14ac:dyDescent="0.25">
      <c r="B66" s="73">
        <v>0.16080613674963345</v>
      </c>
      <c r="C66" s="73">
        <v>0.78027668716713305</v>
      </c>
      <c r="D66" s="87">
        <v>5.8917175203110017E-2</v>
      </c>
      <c r="E66" s="89">
        <f t="shared" si="1"/>
        <v>0.99999999911987658</v>
      </c>
      <c r="F66" s="84">
        <f t="shared" si="2"/>
        <v>0.22756266438726158</v>
      </c>
      <c r="G66" s="64">
        <f t="shared" si="3"/>
        <v>0.19960092289129938</v>
      </c>
      <c r="I66" s="39"/>
    </row>
    <row r="67" spans="1:15" x14ac:dyDescent="0.25">
      <c r="B67" s="73">
        <v>0.16080613674963345</v>
      </c>
      <c r="C67" s="73">
        <v>0.78027668716713305</v>
      </c>
      <c r="D67" s="87">
        <v>5.8917175203110017E-2</v>
      </c>
      <c r="E67" s="89">
        <f t="shared" si="1"/>
        <v>0.99999999911987658</v>
      </c>
      <c r="F67" s="84">
        <f t="shared" si="2"/>
        <v>0.22756266438726158</v>
      </c>
      <c r="G67" s="64">
        <f t="shared" si="3"/>
        <v>0.19960092289129938</v>
      </c>
    </row>
    <row r="68" spans="1:15" x14ac:dyDescent="0.25">
      <c r="B68" s="73">
        <v>0.16080613674963345</v>
      </c>
      <c r="C68" s="73">
        <v>0.78027668716713305</v>
      </c>
      <c r="D68" s="87">
        <v>5.8917175203110017E-2</v>
      </c>
      <c r="E68" s="89">
        <f t="shared" si="1"/>
        <v>0.99999999911987658</v>
      </c>
      <c r="F68" s="84">
        <f t="shared" si="2"/>
        <v>0.22756266438726158</v>
      </c>
      <c r="G68" s="64">
        <f t="shared" si="3"/>
        <v>0.19960092289129938</v>
      </c>
      <c r="O68" s="39"/>
    </row>
    <row r="69" spans="1:15" x14ac:dyDescent="0.25">
      <c r="B69" s="73">
        <v>0.16080613674963345</v>
      </c>
      <c r="C69" s="73">
        <v>0.78027668716713305</v>
      </c>
      <c r="D69" s="87">
        <v>5.8917175203110017E-2</v>
      </c>
      <c r="E69" s="89">
        <f t="shared" si="1"/>
        <v>0.99999999911987658</v>
      </c>
      <c r="F69" s="84">
        <f t="shared" si="2"/>
        <v>0.22756266438726158</v>
      </c>
      <c r="G69" s="64">
        <f t="shared" si="3"/>
        <v>0.19960092289129938</v>
      </c>
      <c r="I69" s="42"/>
      <c r="J69" s="42"/>
      <c r="K69" s="42"/>
      <c r="L69" s="43"/>
    </row>
    <row r="70" spans="1:15" x14ac:dyDescent="0.25">
      <c r="B70" s="41"/>
      <c r="F70" s="85"/>
      <c r="I70" s="42"/>
      <c r="J70" s="42"/>
      <c r="K70" s="42"/>
      <c r="L70" s="43"/>
    </row>
    <row r="71" spans="1:15" x14ac:dyDescent="0.25">
      <c r="B71" s="41"/>
      <c r="F71" s="85"/>
      <c r="I71" s="42"/>
      <c r="J71" s="42"/>
      <c r="K71" s="42"/>
      <c r="L71" s="43"/>
    </row>
    <row r="72" spans="1:15" x14ac:dyDescent="0.25">
      <c r="B72" s="41"/>
      <c r="C72" s="39"/>
      <c r="F72" s="85"/>
      <c r="I72" s="42"/>
      <c r="J72" s="42"/>
      <c r="K72" s="42"/>
      <c r="L72" s="43"/>
      <c r="O72" s="39"/>
    </row>
    <row r="73" spans="1:15" x14ac:dyDescent="0.25">
      <c r="F73" s="85"/>
      <c r="I73" s="42"/>
      <c r="J73" s="42"/>
      <c r="K73" s="42"/>
      <c r="L73" s="43"/>
      <c r="O73" s="39"/>
    </row>
    <row r="74" spans="1:15" x14ac:dyDescent="0.25">
      <c r="A74" s="40"/>
      <c r="F74" s="85"/>
      <c r="I74" s="42"/>
      <c r="J74" s="42"/>
      <c r="K74" s="42"/>
      <c r="L74" s="43"/>
      <c r="O74" s="39"/>
    </row>
    <row r="75" spans="1:15" x14ac:dyDescent="0.25">
      <c r="F75" s="85"/>
      <c r="I75" s="42"/>
      <c r="J75" s="42"/>
      <c r="K75" s="42"/>
      <c r="L75" s="43"/>
    </row>
    <row r="76" spans="1:15" x14ac:dyDescent="0.25">
      <c r="C76" s="41"/>
      <c r="F76" s="85"/>
      <c r="I76" s="42"/>
      <c r="J76" s="42"/>
      <c r="K76" s="42"/>
      <c r="L76" s="43"/>
    </row>
    <row r="77" spans="1:15" x14ac:dyDescent="0.25">
      <c r="C77" s="41"/>
      <c r="F77" s="85"/>
      <c r="I77" s="42"/>
      <c r="J77" s="42"/>
      <c r="K77" s="42"/>
      <c r="L77" s="43"/>
    </row>
    <row r="78" spans="1:15" x14ac:dyDescent="0.25">
      <c r="C78" s="41"/>
      <c r="F78" s="85"/>
      <c r="I78" s="42"/>
      <c r="J78" s="42"/>
      <c r="K78" s="42"/>
      <c r="L78" s="43"/>
    </row>
    <row r="79" spans="1:15" x14ac:dyDescent="0.25">
      <c r="F79" s="85"/>
      <c r="I79" s="42"/>
      <c r="J79" s="42"/>
      <c r="K79" s="42"/>
      <c r="L79" s="43"/>
    </row>
    <row r="80" spans="1:15" x14ac:dyDescent="0.25">
      <c r="F80" s="85"/>
      <c r="I80" s="42"/>
      <c r="J80" s="42"/>
      <c r="K80" s="42"/>
      <c r="L80" s="43"/>
    </row>
    <row r="81" spans="3:12" x14ac:dyDescent="0.25">
      <c r="F81" s="85"/>
      <c r="I81" s="42"/>
      <c r="J81" s="42"/>
      <c r="K81" s="42"/>
      <c r="L81" s="43"/>
    </row>
    <row r="82" spans="3:12" x14ac:dyDescent="0.25">
      <c r="F82" s="85"/>
      <c r="I82" s="42"/>
      <c r="J82" s="42"/>
      <c r="K82" s="42"/>
      <c r="L82" s="43"/>
    </row>
    <row r="83" spans="3:12" x14ac:dyDescent="0.25">
      <c r="C83" s="39"/>
      <c r="F83" s="85"/>
      <c r="I83" s="42"/>
      <c r="J83" s="42"/>
      <c r="K83" s="42"/>
      <c r="L83" s="43"/>
    </row>
    <row r="84" spans="3:12" x14ac:dyDescent="0.25">
      <c r="F84" s="85"/>
      <c r="I84" s="42"/>
      <c r="J84" s="42"/>
      <c r="K84" s="42"/>
      <c r="L84" s="43"/>
    </row>
    <row r="85" spans="3:12" x14ac:dyDescent="0.25">
      <c r="F85" s="85"/>
      <c r="I85" s="42"/>
      <c r="J85" s="42"/>
      <c r="K85" s="42"/>
      <c r="L85" s="43"/>
    </row>
    <row r="86" spans="3:12" x14ac:dyDescent="0.25">
      <c r="F86" s="85"/>
      <c r="I86" s="42"/>
      <c r="J86" s="42"/>
      <c r="K86" s="42"/>
      <c r="L86" s="43"/>
    </row>
    <row r="87" spans="3:12" x14ac:dyDescent="0.25">
      <c r="F87" s="85"/>
      <c r="I87" s="42"/>
      <c r="J87" s="42"/>
      <c r="K87" s="42"/>
      <c r="L87" s="43"/>
    </row>
    <row r="88" spans="3:12" x14ac:dyDescent="0.25">
      <c r="F88" s="85"/>
      <c r="I88" s="42"/>
      <c r="J88" s="42"/>
      <c r="K88" s="42"/>
      <c r="L88" s="43"/>
    </row>
    <row r="89" spans="3:12" x14ac:dyDescent="0.25">
      <c r="F89" s="85"/>
      <c r="I89" s="42"/>
      <c r="J89" s="42"/>
      <c r="K89" s="42"/>
      <c r="L89" s="43"/>
    </row>
    <row r="90" spans="3:12" x14ac:dyDescent="0.25">
      <c r="F90" s="85"/>
      <c r="I90" s="42"/>
      <c r="J90" s="42"/>
      <c r="K90" s="42"/>
      <c r="L90" s="43"/>
    </row>
    <row r="91" spans="3:12" x14ac:dyDescent="0.25">
      <c r="F91" s="85"/>
      <c r="I91" s="42"/>
      <c r="J91" s="42"/>
      <c r="K91" s="42"/>
      <c r="L91" s="43"/>
    </row>
    <row r="92" spans="3:12" x14ac:dyDescent="0.25">
      <c r="F92" s="85"/>
      <c r="I92" s="42"/>
      <c r="J92" s="42"/>
      <c r="K92" s="42"/>
      <c r="L92" s="43"/>
    </row>
    <row r="93" spans="3:12" x14ac:dyDescent="0.25">
      <c r="F93" s="85"/>
      <c r="I93" s="42"/>
      <c r="J93" s="42"/>
      <c r="K93" s="42"/>
      <c r="L93" s="43"/>
    </row>
    <row r="94" spans="3:12" x14ac:dyDescent="0.25">
      <c r="F94" s="85"/>
      <c r="I94" s="42"/>
      <c r="J94" s="42"/>
      <c r="K94" s="42"/>
      <c r="L94" s="43"/>
    </row>
    <row r="95" spans="3:12" x14ac:dyDescent="0.25">
      <c r="F95" s="85"/>
      <c r="I95" s="42"/>
      <c r="J95" s="42"/>
      <c r="K95" s="42"/>
      <c r="L95" s="43"/>
    </row>
    <row r="96" spans="3:12" x14ac:dyDescent="0.25">
      <c r="F96" s="85"/>
      <c r="I96" s="42"/>
      <c r="J96" s="42"/>
      <c r="K96" s="42"/>
      <c r="L96" s="43"/>
    </row>
    <row r="97" spans="6:12" x14ac:dyDescent="0.25">
      <c r="F97" s="85"/>
      <c r="I97" s="42"/>
      <c r="J97" s="42"/>
      <c r="K97" s="42"/>
      <c r="L97" s="43"/>
    </row>
    <row r="98" spans="6:12" x14ac:dyDescent="0.25">
      <c r="F98" s="85"/>
      <c r="I98" s="42"/>
      <c r="J98" s="42"/>
      <c r="K98" s="42"/>
      <c r="L98" s="43"/>
    </row>
    <row r="99" spans="6:12" x14ac:dyDescent="0.25">
      <c r="F99" s="85"/>
      <c r="I99" s="42"/>
      <c r="J99" s="42"/>
      <c r="K99" s="42"/>
      <c r="L99" s="43"/>
    </row>
    <row r="100" spans="6:12" x14ac:dyDescent="0.25">
      <c r="F100" s="85"/>
      <c r="I100" s="42"/>
      <c r="J100" s="42"/>
      <c r="K100" s="42"/>
      <c r="L100" s="43"/>
    </row>
    <row r="101" spans="6:12" x14ac:dyDescent="0.25">
      <c r="F101" s="85"/>
      <c r="I101" s="42"/>
      <c r="J101" s="42"/>
      <c r="K101" s="42"/>
      <c r="L101" s="43"/>
    </row>
    <row r="102" spans="6:12" x14ac:dyDescent="0.25">
      <c r="F102" s="85"/>
      <c r="I102" s="42"/>
      <c r="J102" s="42"/>
      <c r="K102" s="42"/>
      <c r="L102" s="43"/>
    </row>
    <row r="103" spans="6:12" x14ac:dyDescent="0.25">
      <c r="F103" s="85"/>
      <c r="I103" s="42"/>
      <c r="J103" s="42"/>
      <c r="K103" s="42"/>
      <c r="L103" s="43"/>
    </row>
    <row r="104" spans="6:12" x14ac:dyDescent="0.25">
      <c r="F104" s="85"/>
      <c r="I104" s="42"/>
      <c r="J104" s="42"/>
      <c r="K104" s="42"/>
      <c r="L104" s="43"/>
    </row>
    <row r="105" spans="6:12" x14ac:dyDescent="0.25">
      <c r="F105" s="85"/>
      <c r="I105" s="42"/>
      <c r="J105" s="42"/>
      <c r="K105" s="42"/>
      <c r="L105" s="43"/>
    </row>
    <row r="106" spans="6:12" x14ac:dyDescent="0.25">
      <c r="F106" s="85"/>
      <c r="I106" s="42"/>
      <c r="J106" s="42"/>
      <c r="K106" s="42"/>
      <c r="L106" s="43"/>
    </row>
    <row r="107" spans="6:12" x14ac:dyDescent="0.25">
      <c r="F107" s="85"/>
      <c r="I107" s="42"/>
      <c r="J107" s="42"/>
      <c r="K107" s="42"/>
      <c r="L107" s="43"/>
    </row>
    <row r="108" spans="6:12" x14ac:dyDescent="0.25">
      <c r="F108" s="85"/>
      <c r="I108" s="42"/>
      <c r="J108" s="42"/>
      <c r="K108" s="42"/>
      <c r="L108" s="43"/>
    </row>
    <row r="109" spans="6:12" x14ac:dyDescent="0.25">
      <c r="F109" s="85"/>
      <c r="I109" s="42"/>
      <c r="J109" s="42"/>
      <c r="K109" s="42"/>
      <c r="L109" s="43"/>
    </row>
    <row r="110" spans="6:12" x14ac:dyDescent="0.25">
      <c r="F110" s="85"/>
      <c r="I110" s="42"/>
      <c r="J110" s="42"/>
      <c r="K110" s="42"/>
      <c r="L110" s="43"/>
    </row>
    <row r="111" spans="6:12" x14ac:dyDescent="0.25">
      <c r="F111" s="85"/>
      <c r="I111" s="42"/>
      <c r="J111" s="42"/>
      <c r="K111" s="42"/>
      <c r="L111" s="43"/>
    </row>
    <row r="112" spans="6:12" x14ac:dyDescent="0.25">
      <c r="F112" s="85"/>
      <c r="I112" s="42"/>
      <c r="J112" s="42"/>
      <c r="K112" s="42"/>
      <c r="L112" s="43"/>
    </row>
    <row r="113" spans="6:12" x14ac:dyDescent="0.25">
      <c r="F113" s="85"/>
      <c r="I113" s="42"/>
      <c r="J113" s="42"/>
      <c r="K113" s="42"/>
      <c r="L113" s="43"/>
    </row>
    <row r="114" spans="6:12" x14ac:dyDescent="0.25">
      <c r="F114" s="85"/>
      <c r="I114" s="42"/>
      <c r="J114" s="42"/>
      <c r="K114" s="42"/>
      <c r="L114" s="43"/>
    </row>
    <row r="115" spans="6:12" x14ac:dyDescent="0.25">
      <c r="F115" s="85"/>
      <c r="I115" s="42"/>
      <c r="J115" s="42"/>
      <c r="K115" s="42"/>
      <c r="L115" s="43"/>
    </row>
    <row r="116" spans="6:12" x14ac:dyDescent="0.25">
      <c r="F116" s="85"/>
      <c r="I116" s="42"/>
      <c r="J116" s="42"/>
      <c r="K116" s="42"/>
      <c r="L116" s="43"/>
    </row>
    <row r="117" spans="6:12" x14ac:dyDescent="0.25">
      <c r="F117" s="85"/>
      <c r="I117" s="42"/>
      <c r="J117" s="42"/>
      <c r="K117" s="42"/>
      <c r="L117" s="43"/>
    </row>
    <row r="118" spans="6:12" x14ac:dyDescent="0.25">
      <c r="F118" s="85"/>
      <c r="I118" s="42"/>
      <c r="J118" s="42"/>
      <c r="K118" s="42"/>
      <c r="L118" s="43"/>
    </row>
    <row r="119" spans="6:12" x14ac:dyDescent="0.25">
      <c r="F119" s="85"/>
      <c r="I119" s="42"/>
      <c r="J119" s="42"/>
      <c r="K119" s="42"/>
      <c r="L119" s="43"/>
    </row>
    <row r="120" spans="6:12" x14ac:dyDescent="0.25">
      <c r="F120" s="85"/>
      <c r="I120" s="42"/>
      <c r="J120" s="42"/>
      <c r="K120" s="42"/>
      <c r="L120" s="43"/>
    </row>
    <row r="121" spans="6:12" x14ac:dyDescent="0.25">
      <c r="I121" s="42"/>
      <c r="J121" s="42"/>
      <c r="K121" s="42"/>
      <c r="L121" s="43"/>
    </row>
    <row r="122" spans="6:12" x14ac:dyDescent="0.25">
      <c r="I122" s="42"/>
      <c r="J122" s="42"/>
      <c r="K122" s="42"/>
      <c r="L122" s="43"/>
    </row>
    <row r="123" spans="6:12" x14ac:dyDescent="0.25">
      <c r="I123" s="42"/>
      <c r="J123" s="42"/>
      <c r="K123" s="42"/>
      <c r="L123" s="43"/>
    </row>
    <row r="124" spans="6:12" x14ac:dyDescent="0.25">
      <c r="I124" s="42"/>
      <c r="J124" s="42"/>
      <c r="K124" s="42"/>
      <c r="L124" s="43"/>
    </row>
    <row r="125" spans="6:12" x14ac:dyDescent="0.25">
      <c r="I125" s="42"/>
      <c r="J125" s="42"/>
      <c r="K125" s="42"/>
      <c r="L125" s="43"/>
    </row>
    <row r="126" spans="6:12" x14ac:dyDescent="0.25">
      <c r="I126" s="42"/>
      <c r="J126" s="42"/>
      <c r="K126" s="42"/>
      <c r="L126" s="43"/>
    </row>
    <row r="127" spans="6:12" x14ac:dyDescent="0.25">
      <c r="I127" s="42"/>
      <c r="J127" s="42"/>
      <c r="K127" s="42"/>
      <c r="L127" s="43"/>
    </row>
    <row r="128" spans="6:12" x14ac:dyDescent="0.25">
      <c r="I128" s="42"/>
      <c r="J128" s="42"/>
      <c r="K128" s="42"/>
      <c r="L128" s="43"/>
    </row>
    <row r="129" spans="9:12" x14ac:dyDescent="0.25">
      <c r="I129" s="42"/>
      <c r="J129" s="42"/>
      <c r="K129" s="42"/>
      <c r="L129" s="43"/>
    </row>
    <row r="130" spans="9:12" x14ac:dyDescent="0.25">
      <c r="I130" s="42"/>
      <c r="J130" s="42"/>
      <c r="K130" s="42"/>
      <c r="L130" s="43"/>
    </row>
    <row r="131" spans="9:12" x14ac:dyDescent="0.25">
      <c r="I131" s="42"/>
      <c r="J131" s="42"/>
      <c r="K131" s="42"/>
      <c r="L131" s="43"/>
    </row>
    <row r="132" spans="9:12" x14ac:dyDescent="0.25">
      <c r="I132" s="42"/>
      <c r="J132" s="42"/>
      <c r="K132" s="42"/>
      <c r="L132" s="43"/>
    </row>
    <row r="133" spans="9:12" x14ac:dyDescent="0.25">
      <c r="I133" s="42"/>
      <c r="J133" s="42"/>
      <c r="K133" s="42"/>
      <c r="L133" s="43"/>
    </row>
    <row r="134" spans="9:12" x14ac:dyDescent="0.25">
      <c r="I134" s="42"/>
      <c r="J134" s="42"/>
      <c r="K134" s="42"/>
      <c r="L134" s="43"/>
    </row>
    <row r="135" spans="9:12" x14ac:dyDescent="0.25">
      <c r="I135" s="42"/>
      <c r="J135" s="42"/>
      <c r="K135" s="42"/>
      <c r="L135" s="43"/>
    </row>
    <row r="136" spans="9:12" x14ac:dyDescent="0.25">
      <c r="I136" s="42"/>
      <c r="J136" s="42"/>
      <c r="K136" s="42"/>
      <c r="L136" s="43"/>
    </row>
    <row r="137" spans="9:12" x14ac:dyDescent="0.25">
      <c r="I137" s="42"/>
      <c r="J137" s="42"/>
      <c r="K137" s="42"/>
      <c r="L137" s="43"/>
    </row>
    <row r="138" spans="9:12" x14ac:dyDescent="0.25">
      <c r="I138" s="42"/>
      <c r="J138" s="42"/>
      <c r="K138" s="42"/>
      <c r="L138" s="43"/>
    </row>
    <row r="139" spans="9:12" x14ac:dyDescent="0.25">
      <c r="I139" s="42"/>
      <c r="J139" s="42"/>
      <c r="K139" s="42"/>
      <c r="L139" s="43"/>
    </row>
    <row r="140" spans="9:12" x14ac:dyDescent="0.25">
      <c r="I140" s="42"/>
      <c r="J140" s="42"/>
      <c r="K140" s="42"/>
      <c r="L140" s="43"/>
    </row>
    <row r="141" spans="9:12" x14ac:dyDescent="0.25">
      <c r="I141" s="42"/>
      <c r="J141" s="42"/>
      <c r="K141" s="42"/>
      <c r="L141" s="43"/>
    </row>
    <row r="142" spans="9:12" x14ac:dyDescent="0.25">
      <c r="I142" s="42"/>
      <c r="J142" s="42"/>
      <c r="K142" s="42"/>
      <c r="L142" s="43"/>
    </row>
    <row r="143" spans="9:12" x14ac:dyDescent="0.25">
      <c r="I143" s="42"/>
      <c r="J143" s="42"/>
      <c r="K143" s="42"/>
      <c r="L143" s="43"/>
    </row>
    <row r="144" spans="9:12" x14ac:dyDescent="0.25">
      <c r="I144" s="42"/>
      <c r="J144" s="42"/>
      <c r="K144" s="42"/>
      <c r="L144" s="43"/>
    </row>
    <row r="145" spans="9:12" x14ac:dyDescent="0.25">
      <c r="I145" s="42"/>
      <c r="J145" s="42"/>
      <c r="K145" s="42"/>
      <c r="L145" s="43"/>
    </row>
    <row r="146" spans="9:12" x14ac:dyDescent="0.25">
      <c r="I146" s="42"/>
      <c r="J146" s="42"/>
      <c r="K146" s="42"/>
      <c r="L146" s="43"/>
    </row>
    <row r="147" spans="9:12" x14ac:dyDescent="0.25">
      <c r="I147" s="42"/>
      <c r="J147" s="42"/>
      <c r="K147" s="42"/>
      <c r="L147" s="43"/>
    </row>
    <row r="148" spans="9:12" x14ac:dyDescent="0.25">
      <c r="I148" s="42"/>
      <c r="J148" s="42"/>
      <c r="K148" s="42"/>
      <c r="L148" s="43"/>
    </row>
    <row r="149" spans="9:12" x14ac:dyDescent="0.25">
      <c r="I149" s="42"/>
      <c r="J149" s="42"/>
      <c r="K149" s="42"/>
      <c r="L149" s="43"/>
    </row>
    <row r="150" spans="9:12" x14ac:dyDescent="0.25">
      <c r="I150" s="42"/>
      <c r="J150" s="42"/>
      <c r="K150" s="42"/>
      <c r="L150" s="43"/>
    </row>
    <row r="151" spans="9:12" x14ac:dyDescent="0.25">
      <c r="I151" s="42"/>
      <c r="J151" s="42"/>
      <c r="K151" s="42"/>
      <c r="L151" s="43"/>
    </row>
    <row r="152" spans="9:12" x14ac:dyDescent="0.25">
      <c r="I152" s="42"/>
      <c r="J152" s="42"/>
      <c r="K152" s="42"/>
      <c r="L152" s="43"/>
    </row>
    <row r="153" spans="9:12" x14ac:dyDescent="0.25">
      <c r="I153" s="42"/>
      <c r="J153" s="42"/>
      <c r="K153" s="42"/>
      <c r="L153" s="43"/>
    </row>
    <row r="154" spans="9:12" x14ac:dyDescent="0.25">
      <c r="I154" s="42"/>
      <c r="J154" s="42"/>
      <c r="K154" s="42"/>
      <c r="L154" s="43"/>
    </row>
    <row r="155" spans="9:12" x14ac:dyDescent="0.25">
      <c r="I155" s="42"/>
      <c r="J155" s="42"/>
      <c r="K155" s="42"/>
      <c r="L155" s="43"/>
    </row>
    <row r="156" spans="9:12" x14ac:dyDescent="0.25">
      <c r="I156" s="42"/>
      <c r="J156" s="42"/>
      <c r="K156" s="42"/>
      <c r="L156" s="43"/>
    </row>
    <row r="157" spans="9:12" x14ac:dyDescent="0.25">
      <c r="I157" s="42"/>
      <c r="J157" s="42"/>
      <c r="K157" s="42"/>
      <c r="L157" s="43"/>
    </row>
    <row r="158" spans="9:12" x14ac:dyDescent="0.25">
      <c r="I158" s="42"/>
      <c r="J158" s="42"/>
      <c r="K158" s="42"/>
      <c r="L158" s="43"/>
    </row>
    <row r="159" spans="9:12" x14ac:dyDescent="0.25">
      <c r="I159" s="42"/>
      <c r="J159" s="42"/>
      <c r="K159" s="42"/>
      <c r="L159" s="43"/>
    </row>
    <row r="160" spans="9:12" x14ac:dyDescent="0.25">
      <c r="I160" s="42"/>
      <c r="J160" s="42"/>
      <c r="K160" s="42"/>
      <c r="L160" s="43"/>
    </row>
    <row r="161" spans="9:12" x14ac:dyDescent="0.25">
      <c r="I161" s="42"/>
      <c r="J161" s="42"/>
      <c r="K161" s="42"/>
      <c r="L161" s="43"/>
    </row>
    <row r="162" spans="9:12" x14ac:dyDescent="0.25">
      <c r="I162" s="42"/>
      <c r="J162" s="42"/>
      <c r="K162" s="42"/>
      <c r="L162" s="43"/>
    </row>
    <row r="163" spans="9:12" x14ac:dyDescent="0.25">
      <c r="I163" s="42"/>
      <c r="J163" s="42"/>
      <c r="K163" s="42"/>
      <c r="L163" s="43"/>
    </row>
    <row r="164" spans="9:12" x14ac:dyDescent="0.25">
      <c r="I164" s="42"/>
      <c r="J164" s="42"/>
      <c r="K164" s="42"/>
      <c r="L164" s="43"/>
    </row>
    <row r="165" spans="9:12" x14ac:dyDescent="0.25">
      <c r="I165" s="42"/>
      <c r="J165" s="42"/>
      <c r="K165" s="42"/>
      <c r="L165" s="43"/>
    </row>
    <row r="166" spans="9:12" x14ac:dyDescent="0.25">
      <c r="I166" s="42"/>
      <c r="J166" s="42"/>
      <c r="K166" s="42"/>
      <c r="L166" s="43"/>
    </row>
    <row r="167" spans="9:12" x14ac:dyDescent="0.25">
      <c r="I167" s="42"/>
      <c r="J167" s="42"/>
      <c r="K167" s="42"/>
      <c r="L167" s="43"/>
    </row>
    <row r="168" spans="9:12" x14ac:dyDescent="0.25">
      <c r="L168" s="43"/>
    </row>
    <row r="169" spans="9:12" x14ac:dyDescent="0.25">
      <c r="L169" s="43"/>
    </row>
  </sheetData>
  <mergeCells count="19">
    <mergeCell ref="A10:B10"/>
    <mergeCell ref="B43:D43"/>
    <mergeCell ref="A32:M32"/>
    <mergeCell ref="E37:M38"/>
    <mergeCell ref="A41:M41"/>
    <mergeCell ref="A15:M15"/>
    <mergeCell ref="A18:B18"/>
    <mergeCell ref="A20:B20"/>
    <mergeCell ref="A21:B21"/>
    <mergeCell ref="A22:B22"/>
    <mergeCell ref="A24:M24"/>
    <mergeCell ref="A1:M2"/>
    <mergeCell ref="C4:E4"/>
    <mergeCell ref="A6:B6"/>
    <mergeCell ref="A7:B7"/>
    <mergeCell ref="A8:B8"/>
    <mergeCell ref="G6:H6"/>
    <mergeCell ref="G5:H5"/>
    <mergeCell ref="G7:H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D354-65E0-4C05-96E9-4BF57A9BA2DD}">
  <dimension ref="A1:U172"/>
  <sheetViews>
    <sheetView showGridLines="0" zoomScaleNormal="100" workbookViewId="0">
      <selection sqref="A1:M2"/>
    </sheetView>
  </sheetViews>
  <sheetFormatPr defaultRowHeight="15.75" x14ac:dyDescent="0.25"/>
  <cols>
    <col min="1" max="1" width="3.7109375" style="137" customWidth="1"/>
    <col min="2" max="2" width="19.28515625" bestFit="1" customWidth="1"/>
    <col min="3" max="3" width="9.5703125" customWidth="1"/>
    <col min="4" max="4" width="9.7109375" customWidth="1"/>
    <col min="5" max="5" width="10" customWidth="1"/>
    <col min="6" max="6" width="31.7109375" bestFit="1" customWidth="1"/>
  </cols>
  <sheetData>
    <row r="1" spans="1:18" ht="15" x14ac:dyDescent="0.25">
      <c r="A1" s="230" t="s">
        <v>244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</row>
    <row r="2" spans="1:18" ht="15" customHeight="1" x14ac:dyDescent="0.25">
      <c r="A2" s="230"/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</row>
    <row r="4" spans="1:18" ht="20.25" thickBot="1" x14ac:dyDescent="0.35">
      <c r="B4" s="245" t="s">
        <v>50</v>
      </c>
      <c r="C4" s="245"/>
      <c r="D4" s="245"/>
      <c r="E4" s="245"/>
      <c r="F4" s="245"/>
    </row>
    <row r="5" spans="1:18" ht="17.25" thickTop="1" thickBot="1" x14ac:dyDescent="0.3">
      <c r="C5" s="44" t="s">
        <v>51</v>
      </c>
      <c r="D5" s="44" t="s">
        <v>52</v>
      </c>
      <c r="E5" s="44" t="s">
        <v>53</v>
      </c>
      <c r="J5" s="217"/>
      <c r="K5" s="217"/>
      <c r="L5" s="217"/>
      <c r="M5" s="217"/>
      <c r="N5" s="217"/>
      <c r="O5" s="217"/>
      <c r="P5" s="217"/>
      <c r="Q5" s="217"/>
      <c r="R5" s="217"/>
    </row>
    <row r="6" spans="1:18" x14ac:dyDescent="0.25">
      <c r="B6" s="44" t="s">
        <v>28</v>
      </c>
      <c r="C6" s="47">
        <v>11</v>
      </c>
      <c r="D6" s="47">
        <v>14</v>
      </c>
      <c r="E6" s="47">
        <v>17</v>
      </c>
      <c r="J6" s="217"/>
      <c r="K6" s="217"/>
      <c r="L6" s="217"/>
      <c r="M6" s="217"/>
      <c r="N6" s="217"/>
      <c r="O6" s="217"/>
      <c r="P6" s="217"/>
      <c r="Q6" s="217"/>
      <c r="R6" s="217"/>
    </row>
    <row r="7" spans="1:18" ht="16.5" thickBot="1" x14ac:dyDescent="0.3">
      <c r="B7" s="46" t="s">
        <v>21</v>
      </c>
      <c r="C7" s="93">
        <v>2</v>
      </c>
      <c r="D7" s="93">
        <v>6</v>
      </c>
      <c r="E7" s="93">
        <v>9</v>
      </c>
      <c r="J7" s="217"/>
      <c r="K7" s="217"/>
      <c r="L7" s="217"/>
      <c r="M7" s="217"/>
      <c r="N7" s="217"/>
      <c r="O7" s="217"/>
      <c r="P7" s="217"/>
      <c r="Q7" s="217"/>
      <c r="R7" s="217"/>
    </row>
    <row r="8" spans="1:18" ht="16.5" thickBot="1" x14ac:dyDescent="0.3">
      <c r="B8" s="46" t="s">
        <v>54</v>
      </c>
      <c r="C8" s="93">
        <v>6</v>
      </c>
      <c r="J8" s="217"/>
      <c r="K8" s="217"/>
      <c r="L8" s="217"/>
      <c r="M8" s="217"/>
      <c r="N8" s="217"/>
      <c r="O8" s="217"/>
      <c r="P8" s="217"/>
      <c r="Q8" s="217"/>
      <c r="R8" s="217"/>
    </row>
    <row r="9" spans="1:18" ht="16.5" thickBot="1" x14ac:dyDescent="0.3">
      <c r="J9" s="217"/>
      <c r="K9" s="217"/>
      <c r="L9" s="217"/>
      <c r="M9" s="217"/>
      <c r="N9" s="217"/>
      <c r="O9" s="217"/>
      <c r="P9" s="217"/>
      <c r="Q9" s="217"/>
      <c r="R9" s="217"/>
    </row>
    <row r="10" spans="1:18" ht="16.5" thickBot="1" x14ac:dyDescent="0.3">
      <c r="C10" s="242" t="s">
        <v>55</v>
      </c>
      <c r="D10" s="242"/>
      <c r="E10" s="242"/>
      <c r="J10" s="217"/>
      <c r="K10" s="217"/>
      <c r="L10" s="217"/>
      <c r="M10" s="217"/>
      <c r="N10" s="217"/>
      <c r="O10" s="217"/>
      <c r="P10" s="217"/>
      <c r="Q10" s="217"/>
      <c r="R10" s="217"/>
    </row>
    <row r="11" spans="1:18" ht="16.5" thickBot="1" x14ac:dyDescent="0.3">
      <c r="C11" s="94" t="s">
        <v>51</v>
      </c>
      <c r="D11" s="94" t="s">
        <v>52</v>
      </c>
      <c r="E11" s="94" t="s">
        <v>53</v>
      </c>
      <c r="J11" s="217"/>
      <c r="K11" s="217"/>
      <c r="L11" s="217"/>
      <c r="M11" s="217"/>
      <c r="N11" s="217"/>
      <c r="O11" s="217"/>
      <c r="P11" s="217"/>
      <c r="Q11" s="217"/>
      <c r="R11" s="217"/>
    </row>
    <row r="12" spans="1:18" x14ac:dyDescent="0.25">
      <c r="B12" s="49" t="s">
        <v>51</v>
      </c>
      <c r="C12" s="95">
        <f>C7^2</f>
        <v>4</v>
      </c>
      <c r="D12" s="95">
        <v>10</v>
      </c>
      <c r="E12" s="95">
        <v>4</v>
      </c>
      <c r="J12" s="217"/>
      <c r="K12" s="217"/>
      <c r="L12" s="217"/>
      <c r="M12" s="217"/>
      <c r="N12" s="217"/>
      <c r="O12" s="217"/>
      <c r="P12" s="217"/>
      <c r="Q12" s="217"/>
      <c r="R12" s="217"/>
    </row>
    <row r="13" spans="1:18" x14ac:dyDescent="0.25">
      <c r="B13" s="49" t="s">
        <v>52</v>
      </c>
      <c r="C13" s="20">
        <v>10</v>
      </c>
      <c r="D13" s="20">
        <f>D7^2</f>
        <v>36</v>
      </c>
      <c r="E13" s="20">
        <v>30</v>
      </c>
      <c r="J13" s="217"/>
      <c r="K13" s="217"/>
      <c r="L13" s="217"/>
      <c r="M13" s="217"/>
      <c r="N13" s="217"/>
      <c r="O13" s="217"/>
      <c r="P13" s="217"/>
      <c r="Q13" s="217"/>
      <c r="R13" s="217"/>
    </row>
    <row r="14" spans="1:18" ht="16.5" thickBot="1" x14ac:dyDescent="0.3">
      <c r="B14" s="49" t="s">
        <v>53</v>
      </c>
      <c r="C14" s="93">
        <v>4</v>
      </c>
      <c r="D14" s="93">
        <v>30</v>
      </c>
      <c r="E14" s="93">
        <f>E7^2</f>
        <v>81</v>
      </c>
      <c r="J14" s="217"/>
      <c r="K14" s="217"/>
      <c r="L14" s="217"/>
      <c r="M14" s="217"/>
      <c r="N14" s="217"/>
      <c r="O14" s="217"/>
      <c r="P14" s="217"/>
      <c r="Q14" s="217"/>
      <c r="R14" s="217"/>
    </row>
    <row r="15" spans="1:18" x14ac:dyDescent="0.25">
      <c r="J15" s="217"/>
      <c r="K15" s="217"/>
      <c r="L15" s="217"/>
      <c r="M15" s="217"/>
      <c r="N15" s="217"/>
      <c r="O15" s="217"/>
      <c r="P15" s="217"/>
      <c r="Q15" s="217"/>
      <c r="R15" s="217"/>
    </row>
    <row r="16" spans="1:18" x14ac:dyDescent="0.25">
      <c r="B16" s="136" t="s">
        <v>56</v>
      </c>
      <c r="C16" s="39"/>
      <c r="D16" s="39"/>
      <c r="E16" s="39"/>
      <c r="F16" s="39"/>
      <c r="J16" s="217"/>
      <c r="K16" s="217"/>
      <c r="L16" s="217"/>
      <c r="M16" s="217"/>
      <c r="N16" s="217"/>
      <c r="O16" s="217"/>
      <c r="P16" s="217"/>
      <c r="Q16" s="217"/>
      <c r="R16" s="217"/>
    </row>
    <row r="17" spans="2:18" ht="18" thickBot="1" x14ac:dyDescent="0.3">
      <c r="B17" s="136" t="s">
        <v>83</v>
      </c>
      <c r="C17" s="39"/>
      <c r="D17" s="39"/>
      <c r="E17" s="39"/>
      <c r="F17" s="39"/>
      <c r="J17" s="217"/>
      <c r="K17" s="217"/>
      <c r="L17" s="217"/>
      <c r="M17" s="217"/>
      <c r="N17" s="217"/>
      <c r="O17" s="217"/>
      <c r="P17" s="217"/>
      <c r="Q17" s="217"/>
      <c r="R17" s="217"/>
    </row>
    <row r="18" spans="2:18" ht="18" thickBot="1" x14ac:dyDescent="0.3">
      <c r="B18" s="97" t="s">
        <v>58</v>
      </c>
      <c r="C18" s="243" t="s">
        <v>59</v>
      </c>
      <c r="D18" s="242"/>
      <c r="E18" s="244"/>
      <c r="F18" s="98" t="s">
        <v>60</v>
      </c>
    </row>
    <row r="19" spans="2:18" x14ac:dyDescent="0.25">
      <c r="B19" s="99">
        <f t="array" ref="B19:B21">MMULT(C19:E21,F19:F21)</f>
        <v>3.5100671140939603</v>
      </c>
      <c r="C19" s="130">
        <f t="array" ref="C19:E21">MINVERSE(C12:E14)</f>
        <v>1.1275167785234899</v>
      </c>
      <c r="D19" s="130">
        <v>-0.38590604026845632</v>
      </c>
      <c r="E19" s="131">
        <v>8.7248322147651033E-2</v>
      </c>
      <c r="F19" s="95">
        <f>C6-C8</f>
        <v>5</v>
      </c>
    </row>
    <row r="20" spans="2:18" x14ac:dyDescent="0.25">
      <c r="B20" s="100">
        <v>-1.0436241610738257</v>
      </c>
      <c r="C20" s="132">
        <v>-0.38590604026845637</v>
      </c>
      <c r="D20" s="132">
        <v>0.17225950782997762</v>
      </c>
      <c r="E20" s="133">
        <v>-4.4742729306487705E-2</v>
      </c>
      <c r="F20" s="20">
        <f>D6-C8</f>
        <v>8</v>
      </c>
    </row>
    <row r="21" spans="2:18" ht="16.5" thickBot="1" x14ac:dyDescent="0.3">
      <c r="B21" s="101">
        <v>0.34899328859060397</v>
      </c>
      <c r="C21" s="134">
        <v>8.7248322147650992E-2</v>
      </c>
      <c r="D21" s="134">
        <v>-4.4742729306487691E-2</v>
      </c>
      <c r="E21" s="135">
        <v>2.4608501118568233E-2</v>
      </c>
      <c r="F21" s="93">
        <f>E6-C8</f>
        <v>11</v>
      </c>
    </row>
    <row r="22" spans="2:18" x14ac:dyDescent="0.25">
      <c r="B22" s="105">
        <f>SUM(B19:B21)</f>
        <v>2.8154362416107386</v>
      </c>
      <c r="C22" s="136" t="s">
        <v>61</v>
      </c>
    </row>
    <row r="23" spans="2:18" ht="16.5" thickBot="1" x14ac:dyDescent="0.3"/>
    <row r="24" spans="2:18" ht="16.5" thickBot="1" x14ac:dyDescent="0.3">
      <c r="B24" s="106" t="s">
        <v>62</v>
      </c>
    </row>
    <row r="25" spans="2:18" x14ac:dyDescent="0.25">
      <c r="B25" s="107">
        <f t="array" ref="B25:B27">B19:B21/B22</f>
        <v>1.2467222884386175</v>
      </c>
    </row>
    <row r="26" spans="2:18" x14ac:dyDescent="0.25">
      <c r="B26" s="108">
        <v>-0.37067938021454117</v>
      </c>
    </row>
    <row r="27" spans="2:18" ht="16.5" thickBot="1" x14ac:dyDescent="0.3">
      <c r="B27" s="109">
        <v>0.12395709177592368</v>
      </c>
    </row>
    <row r="28" spans="2:18" x14ac:dyDescent="0.25">
      <c r="B28" s="105">
        <f>SUM(B25:B27)</f>
        <v>1</v>
      </c>
    </row>
    <row r="29" spans="2:18" ht="16.5" thickBot="1" x14ac:dyDescent="0.3"/>
    <row r="30" spans="2:18" x14ac:dyDescent="0.25">
      <c r="B30" s="44" t="s">
        <v>28</v>
      </c>
      <c r="C30" s="110">
        <f t="array" ref="C30">MMULT(C6:E6,B25:B27)</f>
        <v>10.63170441001192</v>
      </c>
    </row>
    <row r="31" spans="2:18" x14ac:dyDescent="0.25">
      <c r="B31" s="45" t="s">
        <v>20</v>
      </c>
      <c r="C31" s="111">
        <f>B25^2*C19+B26^2*D20+B27^2*E21+2*B25*B26*D19+2*B25*B27*E19+2*B26*B27*E20</f>
        <v>2.1643242442738146</v>
      </c>
    </row>
    <row r="32" spans="2:18" ht="16.5" thickBot="1" x14ac:dyDescent="0.3">
      <c r="B32" s="46" t="s">
        <v>21</v>
      </c>
      <c r="C32" s="112">
        <f>SQRT(C31)</f>
        <v>1.4711642478913816</v>
      </c>
    </row>
    <row r="34" spans="2:6" ht="20.25" thickBot="1" x14ac:dyDescent="0.35">
      <c r="B34" s="245" t="s">
        <v>63</v>
      </c>
      <c r="C34" s="245"/>
      <c r="D34" s="245"/>
      <c r="E34" s="245"/>
      <c r="F34" s="245"/>
    </row>
    <row r="35" spans="2:6" ht="17.25" thickTop="1" thickBot="1" x14ac:dyDescent="0.3"/>
    <row r="36" spans="2:6" ht="16.5" thickBot="1" x14ac:dyDescent="0.3">
      <c r="C36" s="44" t="s">
        <v>51</v>
      </c>
      <c r="D36" s="44" t="s">
        <v>52</v>
      </c>
      <c r="E36" s="44" t="s">
        <v>53</v>
      </c>
    </row>
    <row r="37" spans="2:6" x14ac:dyDescent="0.25">
      <c r="B37" s="44" t="s">
        <v>28</v>
      </c>
      <c r="C37" s="47">
        <v>11</v>
      </c>
      <c r="D37" s="47">
        <v>14</v>
      </c>
      <c r="E37" s="47">
        <v>17</v>
      </c>
    </row>
    <row r="38" spans="2:6" ht="16.5" thickBot="1" x14ac:dyDescent="0.3">
      <c r="B38" s="46" t="s">
        <v>21</v>
      </c>
      <c r="C38" s="93">
        <v>2</v>
      </c>
      <c r="D38" s="93">
        <v>6</v>
      </c>
      <c r="E38" s="93">
        <v>9</v>
      </c>
    </row>
    <row r="39" spans="2:6" ht="16.5" thickBot="1" x14ac:dyDescent="0.3">
      <c r="B39" s="46" t="s">
        <v>54</v>
      </c>
      <c r="C39" s="93">
        <v>8</v>
      </c>
      <c r="D39" s="96" t="s">
        <v>64</v>
      </c>
    </row>
    <row r="40" spans="2:6" ht="16.5" thickBot="1" x14ac:dyDescent="0.3"/>
    <row r="41" spans="2:6" ht="16.5" thickBot="1" x14ac:dyDescent="0.3">
      <c r="C41" s="242" t="s">
        <v>55</v>
      </c>
      <c r="D41" s="242"/>
      <c r="E41" s="242"/>
    </row>
    <row r="42" spans="2:6" ht="16.5" thickBot="1" x14ac:dyDescent="0.3">
      <c r="C42" s="94" t="s">
        <v>51</v>
      </c>
      <c r="D42" s="94" t="s">
        <v>52</v>
      </c>
      <c r="E42" s="94" t="s">
        <v>53</v>
      </c>
    </row>
    <row r="43" spans="2:6" x14ac:dyDescent="0.25">
      <c r="B43" s="49" t="s">
        <v>51</v>
      </c>
      <c r="C43" s="95">
        <f>C38^2</f>
        <v>4</v>
      </c>
      <c r="D43" s="95">
        <v>10</v>
      </c>
      <c r="E43" s="95">
        <v>4</v>
      </c>
    </row>
    <row r="44" spans="2:6" x14ac:dyDescent="0.25">
      <c r="B44" s="49" t="s">
        <v>52</v>
      </c>
      <c r="C44" s="20">
        <v>10</v>
      </c>
      <c r="D44" s="20">
        <f>D38^2</f>
        <v>36</v>
      </c>
      <c r="E44" s="20">
        <v>30</v>
      </c>
    </row>
    <row r="45" spans="2:6" ht="16.5" thickBot="1" x14ac:dyDescent="0.3">
      <c r="B45" s="49" t="s">
        <v>53</v>
      </c>
      <c r="C45" s="93">
        <v>4</v>
      </c>
      <c r="D45" s="93">
        <v>30</v>
      </c>
      <c r="E45" s="93">
        <f>E38^2</f>
        <v>81</v>
      </c>
    </row>
    <row r="47" spans="2:6" x14ac:dyDescent="0.25">
      <c r="B47" s="96" t="s">
        <v>56</v>
      </c>
    </row>
    <row r="48" spans="2:6" ht="18" thickBot="1" x14ac:dyDescent="0.3">
      <c r="B48" s="96" t="s">
        <v>57</v>
      </c>
    </row>
    <row r="49" spans="2:6" ht="18" thickBot="1" x14ac:dyDescent="0.3">
      <c r="B49" s="97" t="s">
        <v>58</v>
      </c>
      <c r="C49" s="243" t="s">
        <v>59</v>
      </c>
      <c r="D49" s="242"/>
      <c r="E49" s="244"/>
      <c r="F49" s="98" t="s">
        <v>60</v>
      </c>
    </row>
    <row r="50" spans="2:6" x14ac:dyDescent="0.25">
      <c r="B50" s="99">
        <f t="array" ref="B50:B52">MMULT(C50:E52,F50:F52)</f>
        <v>1.852348993288591</v>
      </c>
      <c r="C50" s="95">
        <f t="array" ref="C50:E52">MINVERSE(C43:E45)</f>
        <v>1.1275167785234899</v>
      </c>
      <c r="D50" s="95">
        <v>-0.38590604026845632</v>
      </c>
      <c r="E50" s="102">
        <v>8.7248322147651033E-2</v>
      </c>
      <c r="F50" s="95">
        <f>C37-C39</f>
        <v>3</v>
      </c>
    </row>
    <row r="51" spans="2:6" x14ac:dyDescent="0.25">
      <c r="B51" s="100">
        <v>-0.52684563758389258</v>
      </c>
      <c r="C51" s="20">
        <v>-0.38590604026845637</v>
      </c>
      <c r="D51" s="20">
        <v>0.17225950782997762</v>
      </c>
      <c r="E51" s="103">
        <v>-4.4742729306487705E-2</v>
      </c>
      <c r="F51" s="20">
        <f>D37-C39</f>
        <v>6</v>
      </c>
    </row>
    <row r="52" spans="2:6" ht="16.5" thickBot="1" x14ac:dyDescent="0.3">
      <c r="B52" s="101">
        <v>0.21476510067114096</v>
      </c>
      <c r="C52" s="93">
        <v>8.7248322147650992E-2</v>
      </c>
      <c r="D52" s="93">
        <v>-4.4742729306487691E-2</v>
      </c>
      <c r="E52" s="104">
        <v>2.4608501118568233E-2</v>
      </c>
      <c r="F52" s="93">
        <f>E37-C39</f>
        <v>9</v>
      </c>
    </row>
    <row r="53" spans="2:6" x14ac:dyDescent="0.25">
      <c r="B53" s="105">
        <f>SUM(B50:B52)</f>
        <v>1.5402684563758395</v>
      </c>
      <c r="C53" s="96" t="s">
        <v>61</v>
      </c>
    </row>
    <row r="54" spans="2:6" ht="16.5" thickBot="1" x14ac:dyDescent="0.3"/>
    <row r="55" spans="2:6" ht="16.5" thickBot="1" x14ac:dyDescent="0.3">
      <c r="B55" s="106" t="s">
        <v>62</v>
      </c>
    </row>
    <row r="56" spans="2:6" x14ac:dyDescent="0.25">
      <c r="B56" s="107">
        <f t="array" ref="B56:B58">B50:B52/B53</f>
        <v>1.202614379084967</v>
      </c>
    </row>
    <row r="57" spans="2:6" x14ac:dyDescent="0.25">
      <c r="B57" s="108">
        <v>-0.34204793028322422</v>
      </c>
    </row>
    <row r="58" spans="2:6" ht="16.5" thickBot="1" x14ac:dyDescent="0.3">
      <c r="B58" s="109">
        <v>0.13943355119825704</v>
      </c>
    </row>
    <row r="59" spans="2:6" x14ac:dyDescent="0.25">
      <c r="B59" s="105">
        <f>SUM(B56:B58)</f>
        <v>0.99999999999999989</v>
      </c>
    </row>
    <row r="60" spans="2:6" ht="16.5" thickBot="1" x14ac:dyDescent="0.3"/>
    <row r="61" spans="2:6" x14ac:dyDescent="0.25">
      <c r="B61" s="44" t="s">
        <v>28</v>
      </c>
      <c r="C61" s="110">
        <f t="array" ref="C61">MMULT(C37:E37,B56:B58)</f>
        <v>10.81045751633987</v>
      </c>
    </row>
    <row r="62" spans="2:6" x14ac:dyDescent="0.25">
      <c r="B62" s="45" t="s">
        <v>20</v>
      </c>
      <c r="C62" s="111">
        <f t="array" ref="C62">MMULT(TRANSPOSE(B56:B58),MMULT(C43:E45,B56:B58))</f>
        <v>1.824654335227192</v>
      </c>
    </row>
    <row r="63" spans="2:6" ht="16.5" thickBot="1" x14ac:dyDescent="0.3">
      <c r="B63" s="46" t="s">
        <v>21</v>
      </c>
      <c r="C63" s="112">
        <f>SQRT(C62)</f>
        <v>1.3507976662798882</v>
      </c>
    </row>
    <row r="65" spans="2:6" ht="20.25" thickBot="1" x14ac:dyDescent="0.35">
      <c r="B65" s="245" t="s">
        <v>65</v>
      </c>
      <c r="C65" s="245"/>
      <c r="D65" s="245"/>
      <c r="E65" s="245"/>
      <c r="F65" s="245"/>
    </row>
    <row r="66" spans="2:6" ht="17.25" thickTop="1" thickBot="1" x14ac:dyDescent="0.3"/>
    <row r="67" spans="2:6" ht="16.5" thickBot="1" x14ac:dyDescent="0.3">
      <c r="C67" s="44" t="s">
        <v>51</v>
      </c>
      <c r="D67" s="44" t="s">
        <v>52</v>
      </c>
      <c r="E67" s="44" t="s">
        <v>53</v>
      </c>
    </row>
    <row r="68" spans="2:6" x14ac:dyDescent="0.25">
      <c r="B68" s="44" t="s">
        <v>28</v>
      </c>
      <c r="C68" s="47">
        <v>11</v>
      </c>
      <c r="D68" s="47">
        <v>14</v>
      </c>
      <c r="E68" s="47">
        <v>17</v>
      </c>
    </row>
    <row r="69" spans="2:6" ht="16.5" thickBot="1" x14ac:dyDescent="0.3">
      <c r="B69" s="46" t="s">
        <v>21</v>
      </c>
      <c r="C69" s="93">
        <v>2</v>
      </c>
      <c r="D69" s="93">
        <v>6</v>
      </c>
      <c r="E69" s="93">
        <v>9</v>
      </c>
    </row>
    <row r="70" spans="2:6" ht="16.5" thickBot="1" x14ac:dyDescent="0.3">
      <c r="B70" s="46" t="s">
        <v>54</v>
      </c>
      <c r="C70" s="93">
        <v>10</v>
      </c>
      <c r="D70" s="113" t="s">
        <v>64</v>
      </c>
    </row>
    <row r="71" spans="2:6" ht="16.5" thickBot="1" x14ac:dyDescent="0.3"/>
    <row r="72" spans="2:6" ht="16.5" thickBot="1" x14ac:dyDescent="0.3">
      <c r="C72" s="242" t="s">
        <v>55</v>
      </c>
      <c r="D72" s="242"/>
      <c r="E72" s="242"/>
    </row>
    <row r="73" spans="2:6" ht="16.5" thickBot="1" x14ac:dyDescent="0.3">
      <c r="C73" s="94" t="s">
        <v>51</v>
      </c>
      <c r="D73" s="94" t="s">
        <v>52</v>
      </c>
      <c r="E73" s="94" t="s">
        <v>53</v>
      </c>
    </row>
    <row r="74" spans="2:6" x14ac:dyDescent="0.25">
      <c r="B74" s="49" t="s">
        <v>51</v>
      </c>
      <c r="C74" s="95">
        <f>C69^2</f>
        <v>4</v>
      </c>
      <c r="D74" s="95">
        <v>10</v>
      </c>
      <c r="E74" s="95">
        <v>4</v>
      </c>
    </row>
    <row r="75" spans="2:6" x14ac:dyDescent="0.25">
      <c r="B75" s="49" t="s">
        <v>52</v>
      </c>
      <c r="C75" s="20">
        <v>10</v>
      </c>
      <c r="D75" s="20">
        <f>D69^2</f>
        <v>36</v>
      </c>
      <c r="E75" s="20">
        <v>30</v>
      </c>
    </row>
    <row r="76" spans="2:6" ht="16.5" thickBot="1" x14ac:dyDescent="0.3">
      <c r="B76" s="49" t="s">
        <v>53</v>
      </c>
      <c r="C76" s="93">
        <v>4</v>
      </c>
      <c r="D76" s="93">
        <v>30</v>
      </c>
      <c r="E76" s="93">
        <f>E69^2</f>
        <v>81</v>
      </c>
    </row>
    <row r="78" spans="2:6" x14ac:dyDescent="0.25">
      <c r="B78" s="96" t="s">
        <v>56</v>
      </c>
    </row>
    <row r="79" spans="2:6" ht="18" thickBot="1" x14ac:dyDescent="0.3">
      <c r="B79" s="96" t="s">
        <v>57</v>
      </c>
    </row>
    <row r="80" spans="2:6" ht="18" thickBot="1" x14ac:dyDescent="0.3">
      <c r="B80" s="97" t="s">
        <v>58</v>
      </c>
      <c r="C80" s="243" t="s">
        <v>59</v>
      </c>
      <c r="D80" s="242"/>
      <c r="E80" s="244"/>
      <c r="F80" s="98" t="s">
        <v>60</v>
      </c>
    </row>
    <row r="81" spans="1:13" x14ac:dyDescent="0.25">
      <c r="B81" s="99">
        <f t="array" ref="B81:B83">MMULT(C81:E83,F81:F83)</f>
        <v>0.19463087248322186</v>
      </c>
      <c r="C81" s="95">
        <f t="array" ref="C81:E83">MINVERSE(C74:E76)</f>
        <v>1.1275167785234899</v>
      </c>
      <c r="D81" s="95">
        <v>-0.38590604026845632</v>
      </c>
      <c r="E81" s="102">
        <v>8.7248322147651033E-2</v>
      </c>
      <c r="F81" s="95">
        <f>C68-C70</f>
        <v>1</v>
      </c>
    </row>
    <row r="82" spans="1:13" x14ac:dyDescent="0.25">
      <c r="B82" s="100">
        <v>-1.0067114093959828E-2</v>
      </c>
      <c r="C82" s="20">
        <v>-0.38590604026845637</v>
      </c>
      <c r="D82" s="20">
        <v>0.17225950782997762</v>
      </c>
      <c r="E82" s="103">
        <v>-4.4742729306487705E-2</v>
      </c>
      <c r="F82" s="20">
        <f>D68-C70</f>
        <v>4</v>
      </c>
    </row>
    <row r="83" spans="1:13" ht="16.5" thickBot="1" x14ac:dyDescent="0.3">
      <c r="B83" s="101">
        <v>8.0536912751677847E-2</v>
      </c>
      <c r="C83" s="93">
        <v>8.7248322147650992E-2</v>
      </c>
      <c r="D83" s="93">
        <v>-4.4742729306487691E-2</v>
      </c>
      <c r="E83" s="104">
        <v>2.4608501118568233E-2</v>
      </c>
      <c r="F83" s="93">
        <f>E68-C70</f>
        <v>7</v>
      </c>
    </row>
    <row r="84" spans="1:13" x14ac:dyDescent="0.25">
      <c r="B84" s="105">
        <f>SUM(B81:B83)</f>
        <v>0.26510067114093988</v>
      </c>
      <c r="C84" s="96" t="s">
        <v>61</v>
      </c>
    </row>
    <row r="85" spans="1:13" ht="16.5" thickBot="1" x14ac:dyDescent="0.3"/>
    <row r="86" spans="1:13" ht="16.5" thickBot="1" x14ac:dyDescent="0.3">
      <c r="B86" s="106" t="s">
        <v>62</v>
      </c>
    </row>
    <row r="87" spans="1:13" x14ac:dyDescent="0.25">
      <c r="B87" s="107">
        <f t="array" ref="B87:B89">B81:B83/B84</f>
        <v>0.73417721518987411</v>
      </c>
    </row>
    <row r="88" spans="1:13" x14ac:dyDescent="0.25">
      <c r="B88" s="108">
        <v>-3.7974683544304118E-2</v>
      </c>
    </row>
    <row r="89" spans="1:13" ht="16.5" thickBot="1" x14ac:dyDescent="0.3">
      <c r="B89" s="109">
        <v>0.30379746835443006</v>
      </c>
    </row>
    <row r="90" spans="1:13" x14ac:dyDescent="0.25">
      <c r="B90" s="105">
        <f>SUM(B87:B89)</f>
        <v>1</v>
      </c>
    </row>
    <row r="91" spans="1:13" ht="16.5" thickBot="1" x14ac:dyDescent="0.3"/>
    <row r="92" spans="1:13" x14ac:dyDescent="0.25">
      <c r="B92" s="44" t="s">
        <v>28</v>
      </c>
      <c r="C92" s="110">
        <f t="array" ref="C92">MMULT(C68:E68,B87:B89)</f>
        <v>12.708860759493668</v>
      </c>
    </row>
    <row r="93" spans="1:13" x14ac:dyDescent="0.25">
      <c r="B93" s="45" t="s">
        <v>20</v>
      </c>
      <c r="C93" s="114">
        <f t="array" ref="C93">MMULT(TRANSPOSE(B87:B89),MMULT(C74:E76,B87:B89))</f>
        <v>10.218234257330534</v>
      </c>
    </row>
    <row r="94" spans="1:13" ht="16.5" thickBot="1" x14ac:dyDescent="0.3">
      <c r="B94" s="46" t="s">
        <v>21</v>
      </c>
      <c r="C94" s="112">
        <f>SQRT(C93)</f>
        <v>3.1965972935811817</v>
      </c>
    </row>
    <row r="96" spans="1:13" ht="15" x14ac:dyDescent="0.25">
      <c r="A96" s="230" t="s">
        <v>82</v>
      </c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</row>
    <row r="97" spans="1:21" ht="15" x14ac:dyDescent="0.25">
      <c r="A97" s="230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</row>
    <row r="98" spans="1:21" ht="16.5" thickBot="1" x14ac:dyDescent="0.3">
      <c r="A98" s="138"/>
    </row>
    <row r="99" spans="1:21" ht="16.5" thickBot="1" x14ac:dyDescent="0.3">
      <c r="A99" s="138"/>
      <c r="C99" s="115" t="s">
        <v>51</v>
      </c>
      <c r="D99" s="115" t="s">
        <v>52</v>
      </c>
      <c r="E99" s="115" t="s">
        <v>53</v>
      </c>
      <c r="F99" s="115" t="s">
        <v>33</v>
      </c>
    </row>
    <row r="100" spans="1:21" ht="16.5" thickBot="1" x14ac:dyDescent="0.3">
      <c r="A100" s="138"/>
      <c r="B100" s="106" t="s">
        <v>66</v>
      </c>
      <c r="C100" s="116">
        <f>1/3</f>
        <v>0.33333333333333331</v>
      </c>
      <c r="D100" s="116">
        <f t="shared" ref="D100:E100" si="0">1/3</f>
        <v>0.33333333333333331</v>
      </c>
      <c r="E100" s="116">
        <f t="shared" si="0"/>
        <v>0.33333333333333331</v>
      </c>
      <c r="F100" s="116">
        <f>SUM(C100:E100)</f>
        <v>1</v>
      </c>
      <c r="M100" s="217"/>
      <c r="N100" s="217"/>
      <c r="O100" s="217"/>
      <c r="P100" s="217"/>
      <c r="Q100" s="217"/>
      <c r="R100" s="217"/>
      <c r="S100" s="217"/>
      <c r="T100" s="217"/>
      <c r="U100" s="217"/>
    </row>
    <row r="101" spans="1:21" ht="16.5" thickBot="1" x14ac:dyDescent="0.3">
      <c r="A101" s="138"/>
      <c r="M101" s="217"/>
      <c r="N101" s="217"/>
      <c r="O101" s="217"/>
      <c r="P101" s="217"/>
      <c r="Q101" s="217"/>
      <c r="R101" s="217"/>
      <c r="S101" s="217"/>
      <c r="T101" s="217"/>
      <c r="U101" s="217"/>
    </row>
    <row r="102" spans="1:21" ht="16.5" thickBot="1" x14ac:dyDescent="0.3">
      <c r="A102" s="138"/>
      <c r="C102" s="242" t="s">
        <v>55</v>
      </c>
      <c r="D102" s="242"/>
      <c r="E102" s="242"/>
      <c r="M102" s="217"/>
      <c r="N102" s="217"/>
      <c r="O102" s="217"/>
      <c r="P102" s="217"/>
      <c r="Q102" s="217"/>
      <c r="R102" s="217"/>
      <c r="S102" s="217"/>
      <c r="T102" s="217"/>
      <c r="U102" s="217"/>
    </row>
    <row r="103" spans="1:21" ht="16.5" thickBot="1" x14ac:dyDescent="0.3">
      <c r="A103" s="138"/>
      <c r="C103" s="94" t="s">
        <v>51</v>
      </c>
      <c r="D103" s="94" t="s">
        <v>52</v>
      </c>
      <c r="E103" s="94" t="s">
        <v>53</v>
      </c>
      <c r="M103" s="217"/>
      <c r="N103" s="217"/>
      <c r="O103" s="217"/>
      <c r="P103" s="217"/>
      <c r="Q103" s="217"/>
      <c r="R103" s="217"/>
      <c r="S103" s="217"/>
      <c r="T103" s="217"/>
      <c r="U103" s="217"/>
    </row>
    <row r="104" spans="1:21" x14ac:dyDescent="0.25">
      <c r="A104" s="138"/>
      <c r="B104" s="49" t="s">
        <v>51</v>
      </c>
      <c r="C104" s="117">
        <v>0.1</v>
      </c>
      <c r="D104" s="117">
        <v>0.08</v>
      </c>
      <c r="E104" s="117">
        <v>0.04</v>
      </c>
      <c r="M104" s="217"/>
      <c r="N104" s="217"/>
      <c r="O104" s="217"/>
      <c r="P104" s="217"/>
      <c r="Q104" s="217"/>
      <c r="R104" s="217"/>
      <c r="S104" s="217"/>
      <c r="T104" s="217"/>
      <c r="U104" s="217"/>
    </row>
    <row r="105" spans="1:21" x14ac:dyDescent="0.25">
      <c r="A105" s="138"/>
      <c r="B105" s="49" t="s">
        <v>52</v>
      </c>
      <c r="C105" s="118">
        <v>0.08</v>
      </c>
      <c r="D105" s="118">
        <v>0.08</v>
      </c>
      <c r="E105" s="118">
        <v>-0.1</v>
      </c>
      <c r="M105" s="217"/>
      <c r="N105" s="217"/>
      <c r="O105" s="217"/>
      <c r="P105" s="217"/>
      <c r="Q105" s="217"/>
      <c r="R105" s="217"/>
      <c r="S105" s="217"/>
      <c r="T105" s="217"/>
      <c r="U105" s="217"/>
    </row>
    <row r="106" spans="1:21" ht="16.5" thickBot="1" x14ac:dyDescent="0.3">
      <c r="A106" s="138"/>
      <c r="B106" s="49" t="s">
        <v>53</v>
      </c>
      <c r="C106" s="119">
        <v>0.04</v>
      </c>
      <c r="D106" s="119">
        <v>-0.1</v>
      </c>
      <c r="E106" s="119">
        <v>0.2</v>
      </c>
      <c r="M106" s="217"/>
      <c r="N106" s="217"/>
      <c r="O106" s="217"/>
      <c r="P106" s="217"/>
      <c r="Q106" s="217"/>
      <c r="R106" s="217"/>
      <c r="S106" s="217"/>
      <c r="T106" s="217"/>
      <c r="U106" s="217"/>
    </row>
    <row r="107" spans="1:21" x14ac:dyDescent="0.25">
      <c r="A107" s="138"/>
      <c r="B107" s="49"/>
      <c r="C107" s="118"/>
      <c r="D107" s="118"/>
      <c r="E107" s="118"/>
      <c r="M107" s="217"/>
      <c r="N107" s="217"/>
      <c r="O107" s="217"/>
      <c r="P107" s="217"/>
      <c r="Q107" s="217"/>
      <c r="R107" s="217"/>
      <c r="S107" s="217"/>
      <c r="T107" s="217"/>
      <c r="U107" s="217"/>
    </row>
    <row r="108" spans="1:21" ht="16.5" thickBot="1" x14ac:dyDescent="0.3">
      <c r="A108" s="138"/>
      <c r="M108" s="217"/>
      <c r="N108" s="217"/>
      <c r="O108" s="217"/>
      <c r="P108" s="217"/>
      <c r="Q108" s="217"/>
      <c r="R108" s="217"/>
      <c r="S108" s="217"/>
      <c r="T108" s="217"/>
      <c r="U108" s="217"/>
    </row>
    <row r="109" spans="1:21" ht="16.5" thickBot="1" x14ac:dyDescent="0.3">
      <c r="A109" s="138" t="s">
        <v>32</v>
      </c>
      <c r="C109" s="44" t="s">
        <v>51</v>
      </c>
      <c r="D109" s="44" t="s">
        <v>52</v>
      </c>
      <c r="E109" s="44" t="s">
        <v>53</v>
      </c>
      <c r="M109" s="217"/>
      <c r="N109" s="217"/>
      <c r="O109" s="217"/>
      <c r="P109" s="217"/>
      <c r="Q109" s="217"/>
      <c r="R109" s="217"/>
      <c r="S109" s="217"/>
      <c r="T109" s="217"/>
      <c r="U109" s="217"/>
    </row>
    <row r="110" spans="1:21" ht="16.5" thickBot="1" x14ac:dyDescent="0.3">
      <c r="A110" s="138"/>
      <c r="B110" s="98" t="s">
        <v>67</v>
      </c>
      <c r="C110" s="120">
        <f>MMULT($C$100:$E$100,C104:C106)</f>
        <v>7.3333333333333334E-2</v>
      </c>
      <c r="D110" s="120">
        <f>MMULT($C$100:$E$100,D104:D106)</f>
        <v>1.9999999999999997E-2</v>
      </c>
      <c r="E110" s="120">
        <f>MMULT($C$100:$E$100,E104:E106)</f>
        <v>4.6666666666666662E-2</v>
      </c>
      <c r="M110" s="217"/>
      <c r="N110" s="217"/>
      <c r="O110" s="217"/>
      <c r="P110" s="217"/>
      <c r="Q110" s="217"/>
      <c r="R110" s="217"/>
      <c r="S110" s="217"/>
      <c r="T110" s="217"/>
      <c r="U110" s="217"/>
    </row>
    <row r="111" spans="1:21" ht="18" x14ac:dyDescent="0.35">
      <c r="A111" s="138"/>
      <c r="C111" s="94" t="s">
        <v>68</v>
      </c>
      <c r="D111" s="94" t="s">
        <v>69</v>
      </c>
      <c r="E111" s="94" t="s">
        <v>70</v>
      </c>
      <c r="M111" s="217"/>
      <c r="N111" s="217"/>
      <c r="O111" s="217"/>
      <c r="P111" s="217"/>
      <c r="Q111" s="217"/>
      <c r="R111" s="217"/>
      <c r="S111" s="217"/>
      <c r="T111" s="217"/>
      <c r="U111" s="217"/>
    </row>
    <row r="112" spans="1:21" x14ac:dyDescent="0.25">
      <c r="A112" s="138"/>
      <c r="C112" s="94"/>
      <c r="D112" s="94"/>
      <c r="E112" s="94"/>
      <c r="M112" s="217"/>
      <c r="N112" s="217"/>
      <c r="O112" s="217"/>
      <c r="P112" s="217"/>
      <c r="Q112" s="217"/>
      <c r="R112" s="217"/>
      <c r="S112" s="217"/>
      <c r="T112" s="217"/>
      <c r="U112" s="217"/>
    </row>
    <row r="113" spans="1:21" ht="16.5" thickBot="1" x14ac:dyDescent="0.3">
      <c r="A113" s="138"/>
      <c r="M113" s="217"/>
      <c r="N113" s="217"/>
      <c r="O113" s="217"/>
      <c r="P113" s="217"/>
      <c r="Q113" s="217"/>
      <c r="R113" s="217"/>
      <c r="S113" s="217"/>
      <c r="T113" s="217"/>
      <c r="U113" s="217"/>
    </row>
    <row r="114" spans="1:21" ht="16.5" thickBot="1" x14ac:dyDescent="0.3">
      <c r="A114" s="138" t="s">
        <v>34</v>
      </c>
      <c r="B114" s="98" t="s">
        <v>71</v>
      </c>
      <c r="C114" s="121">
        <f t="array" ref="C114">MMULT(MMULT(C100:E100,C104:E106),TRANSPOSE(C100:E100))</f>
        <v>4.6666666666666662E-2</v>
      </c>
      <c r="M114" s="217"/>
      <c r="N114" s="217"/>
      <c r="O114" s="217"/>
      <c r="P114" s="217"/>
      <c r="Q114" s="217"/>
      <c r="R114" s="217"/>
      <c r="S114" s="217"/>
      <c r="T114" s="217"/>
      <c r="U114" s="217"/>
    </row>
    <row r="115" spans="1:21" ht="16.5" thickBot="1" x14ac:dyDescent="0.3">
      <c r="A115" s="138"/>
      <c r="M115" s="217"/>
      <c r="N115" s="217"/>
      <c r="O115" s="217"/>
      <c r="P115" s="217"/>
      <c r="Q115" s="217"/>
      <c r="R115" s="217"/>
      <c r="S115" s="217"/>
      <c r="T115" s="217"/>
      <c r="U115" s="217"/>
    </row>
    <row r="116" spans="1:21" ht="16.5" thickBot="1" x14ac:dyDescent="0.3">
      <c r="A116" s="138"/>
      <c r="C116" s="122" t="s">
        <v>51</v>
      </c>
      <c r="D116" s="122" t="s">
        <v>52</v>
      </c>
      <c r="E116" s="122" t="s">
        <v>53</v>
      </c>
    </row>
    <row r="117" spans="1:21" ht="16.5" thickBot="1" x14ac:dyDescent="0.3">
      <c r="A117" s="138"/>
      <c r="B117" s="123" t="s">
        <v>72</v>
      </c>
      <c r="C117" s="124">
        <f t="array" ref="C117:E117">C110:E110/C114</f>
        <v>1.5714285714285716</v>
      </c>
      <c r="D117" s="124">
        <v>0.42857142857142855</v>
      </c>
      <c r="E117" s="124">
        <v>1</v>
      </c>
    </row>
    <row r="118" spans="1:21" ht="18" x14ac:dyDescent="0.35">
      <c r="A118" s="138"/>
      <c r="C118" s="94" t="s">
        <v>73</v>
      </c>
      <c r="D118" s="94" t="s">
        <v>74</v>
      </c>
      <c r="E118" s="94" t="s">
        <v>75</v>
      </c>
    </row>
    <row r="119" spans="1:21" x14ac:dyDescent="0.25">
      <c r="A119" s="138"/>
      <c r="C119" s="94"/>
      <c r="D119" s="94"/>
      <c r="E119" s="94"/>
    </row>
    <row r="120" spans="1:21" x14ac:dyDescent="0.25">
      <c r="A120" s="138"/>
    </row>
    <row r="121" spans="1:21" ht="16.5" thickBot="1" x14ac:dyDescent="0.3">
      <c r="A121" s="138" t="s">
        <v>35</v>
      </c>
      <c r="B121" s="48" t="s">
        <v>76</v>
      </c>
    </row>
    <row r="122" spans="1:21" ht="16.5" thickBot="1" x14ac:dyDescent="0.3">
      <c r="A122" s="138"/>
      <c r="C122" s="44" t="s">
        <v>51</v>
      </c>
      <c r="D122" s="44" t="s">
        <v>52</v>
      </c>
      <c r="E122" s="44" t="s">
        <v>53</v>
      </c>
    </row>
    <row r="123" spans="1:21" ht="16.5" thickBot="1" x14ac:dyDescent="0.3">
      <c r="A123" s="138"/>
      <c r="B123" s="98" t="s">
        <v>28</v>
      </c>
      <c r="C123" s="125">
        <v>0.09</v>
      </c>
      <c r="D123" s="125">
        <v>7.0000000000000007E-2</v>
      </c>
      <c r="E123" s="125">
        <v>0.17</v>
      </c>
    </row>
    <row r="124" spans="1:21" ht="16.5" thickBot="1" x14ac:dyDescent="0.3">
      <c r="A124" s="138"/>
      <c r="B124" s="46" t="s">
        <v>54</v>
      </c>
      <c r="C124" s="93">
        <v>0.06</v>
      </c>
    </row>
    <row r="125" spans="1:21" ht="16.5" thickBot="1" x14ac:dyDescent="0.3">
      <c r="A125" s="138"/>
    </row>
    <row r="126" spans="1:21" ht="16.5" thickBot="1" x14ac:dyDescent="0.3">
      <c r="A126" s="138"/>
      <c r="C126" s="242" t="s">
        <v>55</v>
      </c>
      <c r="D126" s="242"/>
      <c r="E126" s="242"/>
    </row>
    <row r="127" spans="1:21" x14ac:dyDescent="0.25">
      <c r="A127" s="138"/>
      <c r="C127" s="117">
        <f t="array" ref="C127:E129">C104:E106</f>
        <v>0.1</v>
      </c>
      <c r="D127" s="117">
        <v>0.08</v>
      </c>
      <c r="E127" s="117">
        <v>0.04</v>
      </c>
    </row>
    <row r="128" spans="1:21" x14ac:dyDescent="0.25">
      <c r="A128" s="138"/>
      <c r="C128" s="118">
        <v>0.08</v>
      </c>
      <c r="D128" s="118">
        <v>0.08</v>
      </c>
      <c r="E128" s="118">
        <v>-0.1</v>
      </c>
    </row>
    <row r="129" spans="1:7" ht="16.5" thickBot="1" x14ac:dyDescent="0.3">
      <c r="A129" s="138"/>
      <c r="C129" s="119">
        <v>0.04</v>
      </c>
      <c r="D129" s="119">
        <v>-0.1</v>
      </c>
      <c r="E129" s="119">
        <v>0.2</v>
      </c>
    </row>
    <row r="130" spans="1:7" ht="16.5" thickBot="1" x14ac:dyDescent="0.3">
      <c r="A130" s="138"/>
    </row>
    <row r="131" spans="1:7" ht="16.5" thickBot="1" x14ac:dyDescent="0.3">
      <c r="A131" s="138"/>
      <c r="C131" s="246" t="s">
        <v>77</v>
      </c>
      <c r="D131" s="246"/>
      <c r="E131" s="246"/>
    </row>
    <row r="132" spans="1:7" ht="16.5" thickBot="1" x14ac:dyDescent="0.3">
      <c r="A132" s="138"/>
      <c r="C132" s="115" t="s">
        <v>51</v>
      </c>
      <c r="D132" s="115" t="s">
        <v>52</v>
      </c>
      <c r="E132" s="115" t="s">
        <v>53</v>
      </c>
      <c r="F132" s="115" t="s">
        <v>33</v>
      </c>
    </row>
    <row r="133" spans="1:7" ht="16.5" thickBot="1" x14ac:dyDescent="0.3">
      <c r="A133" s="138"/>
      <c r="B133" s="106" t="s">
        <v>22</v>
      </c>
      <c r="C133" s="116">
        <f t="array" ref="C133:E133">C100:E100</f>
        <v>0.33333333333333331</v>
      </c>
      <c r="D133" s="116">
        <v>0.33333333333333331</v>
      </c>
      <c r="E133" s="116">
        <v>0.33333333333333331</v>
      </c>
      <c r="F133" s="116">
        <f>SUM(C133:E133)</f>
        <v>1</v>
      </c>
    </row>
    <row r="134" spans="1:7" ht="16.5" thickBot="1" x14ac:dyDescent="0.3">
      <c r="A134" s="138"/>
    </row>
    <row r="135" spans="1:7" x14ac:dyDescent="0.25">
      <c r="A135" s="138"/>
      <c r="B135" s="44" t="s">
        <v>28</v>
      </c>
      <c r="C135" s="126">
        <f t="array" ref="C135">MMULT(C123:E123,TRANSPOSE(C133:E133))</f>
        <v>0.11</v>
      </c>
    </row>
    <row r="136" spans="1:7" x14ac:dyDescent="0.25">
      <c r="A136" s="138"/>
      <c r="B136" s="45" t="s">
        <v>20</v>
      </c>
      <c r="C136" s="105">
        <f t="array" ref="C136">MMULT(MMULT(C133:E133,C127:E129),TRANSPOSE(C133:E133))</f>
        <v>4.6666666666666662E-2</v>
      </c>
    </row>
    <row r="137" spans="1:7" ht="16.5" thickBot="1" x14ac:dyDescent="0.3">
      <c r="A137" s="138"/>
      <c r="B137" s="46" t="s">
        <v>21</v>
      </c>
      <c r="C137" s="127">
        <f>SQRT(C136)</f>
        <v>0.21602468994692867</v>
      </c>
    </row>
    <row r="138" spans="1:7" ht="16.5" thickBot="1" x14ac:dyDescent="0.3">
      <c r="A138" s="138"/>
      <c r="B138" s="123" t="s">
        <v>78</v>
      </c>
      <c r="C138" s="124">
        <f>(C135-C124)/C137</f>
        <v>0.23145502494313788</v>
      </c>
    </row>
    <row r="139" spans="1:7" x14ac:dyDescent="0.25">
      <c r="A139" s="138"/>
    </row>
    <row r="140" spans="1:7" ht="16.5" thickBot="1" x14ac:dyDescent="0.3">
      <c r="A140" s="138"/>
    </row>
    <row r="141" spans="1:7" ht="16.5" thickBot="1" x14ac:dyDescent="0.3">
      <c r="A141" s="138" t="s">
        <v>36</v>
      </c>
      <c r="C141" s="246" t="s">
        <v>79</v>
      </c>
      <c r="D141" s="246"/>
      <c r="E141" s="246"/>
    </row>
    <row r="142" spans="1:7" ht="16.5" thickBot="1" x14ac:dyDescent="0.3">
      <c r="A142" s="138"/>
      <c r="C142" s="115" t="s">
        <v>51</v>
      </c>
      <c r="D142" s="115" t="s">
        <v>52</v>
      </c>
      <c r="E142" s="115" t="s">
        <v>53</v>
      </c>
      <c r="F142" s="115" t="s">
        <v>33</v>
      </c>
    </row>
    <row r="143" spans="1:7" ht="16.5" thickBot="1" x14ac:dyDescent="0.3">
      <c r="A143" s="138"/>
      <c r="B143" s="106" t="s">
        <v>22</v>
      </c>
      <c r="C143" s="128">
        <v>0</v>
      </c>
      <c r="D143" s="128">
        <v>0.57017544689438671</v>
      </c>
      <c r="E143" s="128">
        <v>0.42982456339507141</v>
      </c>
      <c r="F143" s="116">
        <f>SUM(C143:E143)</f>
        <v>1.0000000102894582</v>
      </c>
    </row>
    <row r="144" spans="1:7" ht="16.5" thickBot="1" x14ac:dyDescent="0.3">
      <c r="A144" s="138"/>
      <c r="D144" s="247" t="s">
        <v>80</v>
      </c>
      <c r="E144" s="247"/>
      <c r="F144" s="247"/>
      <c r="G144" s="247"/>
    </row>
    <row r="145" spans="1:7" x14ac:dyDescent="0.25">
      <c r="A145" s="138"/>
      <c r="B145" s="44" t="s">
        <v>28</v>
      </c>
      <c r="C145" s="126">
        <f t="array" ref="C145">MMULT(C143:E143,TRANSPOSE(C123:E123))</f>
        <v>0.11298245705976921</v>
      </c>
      <c r="D145" s="247"/>
      <c r="E145" s="247"/>
      <c r="F145" s="247"/>
      <c r="G145" s="247"/>
    </row>
    <row r="146" spans="1:7" x14ac:dyDescent="0.25">
      <c r="A146" s="138"/>
      <c r="B146" s="45" t="s">
        <v>20</v>
      </c>
      <c r="C146" s="105">
        <f t="array" ref="C146">MMULT(MMULT(C143:E143,C127:E129),TRANSPOSE(C143:E143))</f>
        <v>1.3942751774855941E-2</v>
      </c>
      <c r="D146" s="247"/>
      <c r="E146" s="247"/>
      <c r="F146" s="247"/>
      <c r="G146" s="247"/>
    </row>
    <row r="147" spans="1:7" ht="16.5" thickBot="1" x14ac:dyDescent="0.3">
      <c r="A147" s="138"/>
      <c r="B147" s="46" t="s">
        <v>21</v>
      </c>
      <c r="C147" s="127">
        <f>SQRT(C146)</f>
        <v>0.11807942993957898</v>
      </c>
      <c r="D147" s="247"/>
      <c r="E147" s="247"/>
      <c r="F147" s="247"/>
      <c r="G147" s="247"/>
    </row>
    <row r="148" spans="1:7" ht="16.5" thickBot="1" x14ac:dyDescent="0.3">
      <c r="A148" s="138"/>
      <c r="B148" s="123" t="s">
        <v>78</v>
      </c>
      <c r="C148" s="116">
        <f>(C145-C124)/C147</f>
        <v>0.44870183644077749</v>
      </c>
      <c r="D148" s="48" t="s">
        <v>81</v>
      </c>
    </row>
    <row r="149" spans="1:7" x14ac:dyDescent="0.25">
      <c r="A149" s="138"/>
      <c r="E149" s="129"/>
    </row>
    <row r="150" spans="1:7" x14ac:dyDescent="0.25">
      <c r="A150" s="138"/>
    </row>
    <row r="151" spans="1:7" x14ac:dyDescent="0.25">
      <c r="A151" s="138"/>
    </row>
    <row r="152" spans="1:7" x14ac:dyDescent="0.25">
      <c r="A152" s="138"/>
    </row>
    <row r="153" spans="1:7" x14ac:dyDescent="0.25">
      <c r="A153" s="138"/>
    </row>
    <row r="154" spans="1:7" x14ac:dyDescent="0.25">
      <c r="A154" s="138"/>
    </row>
    <row r="155" spans="1:7" x14ac:dyDescent="0.25">
      <c r="A155" s="138"/>
    </row>
    <row r="156" spans="1:7" x14ac:dyDescent="0.25">
      <c r="A156" s="138"/>
    </row>
    <row r="157" spans="1:7" x14ac:dyDescent="0.25">
      <c r="A157" s="138"/>
    </row>
    <row r="158" spans="1:7" x14ac:dyDescent="0.25">
      <c r="A158" s="138"/>
    </row>
    <row r="159" spans="1:7" x14ac:dyDescent="0.25">
      <c r="A159" s="138"/>
    </row>
    <row r="160" spans="1:7" x14ac:dyDescent="0.25">
      <c r="A160" s="138"/>
    </row>
    <row r="161" spans="1:1" x14ac:dyDescent="0.25">
      <c r="A161" s="138"/>
    </row>
    <row r="162" spans="1:1" x14ac:dyDescent="0.25">
      <c r="A162" s="138"/>
    </row>
    <row r="163" spans="1:1" x14ac:dyDescent="0.25">
      <c r="A163" s="138"/>
    </row>
    <row r="164" spans="1:1" x14ac:dyDescent="0.25">
      <c r="A164" s="138"/>
    </row>
    <row r="165" spans="1:1" x14ac:dyDescent="0.25">
      <c r="A165" s="138"/>
    </row>
    <row r="166" spans="1:1" x14ac:dyDescent="0.25">
      <c r="A166" s="138"/>
    </row>
    <row r="167" spans="1:1" x14ac:dyDescent="0.25">
      <c r="A167" s="138"/>
    </row>
    <row r="168" spans="1:1" x14ac:dyDescent="0.25">
      <c r="A168" s="138"/>
    </row>
    <row r="169" spans="1:1" x14ac:dyDescent="0.25">
      <c r="A169" s="138"/>
    </row>
    <row r="170" spans="1:1" x14ac:dyDescent="0.25">
      <c r="A170" s="138"/>
    </row>
    <row r="171" spans="1:1" x14ac:dyDescent="0.25">
      <c r="A171" s="138"/>
    </row>
    <row r="172" spans="1:1" x14ac:dyDescent="0.25">
      <c r="A172" s="138"/>
    </row>
  </sheetData>
  <mergeCells count="16">
    <mergeCell ref="C126:E126"/>
    <mergeCell ref="C131:E131"/>
    <mergeCell ref="C141:E141"/>
    <mergeCell ref="D144:G147"/>
    <mergeCell ref="B4:F4"/>
    <mergeCell ref="B65:F65"/>
    <mergeCell ref="C72:E72"/>
    <mergeCell ref="C80:E80"/>
    <mergeCell ref="A1:M2"/>
    <mergeCell ref="A96:M97"/>
    <mergeCell ref="C102:E102"/>
    <mergeCell ref="C10:E10"/>
    <mergeCell ref="C18:E18"/>
    <mergeCell ref="B34:F34"/>
    <mergeCell ref="C41:E41"/>
    <mergeCell ref="C49:E4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4FB1-BB5F-4320-8329-311CCE440CE1}">
  <dimension ref="A1:AF259"/>
  <sheetViews>
    <sheetView showGridLines="0" workbookViewId="0">
      <selection sqref="A1:T2"/>
    </sheetView>
  </sheetViews>
  <sheetFormatPr defaultRowHeight="15" x14ac:dyDescent="0.25"/>
  <cols>
    <col min="1" max="1" width="2.7109375" customWidth="1"/>
    <col min="3" max="8" width="9.140625" customWidth="1"/>
    <col min="10" max="10" width="11.42578125" bestFit="1" customWidth="1"/>
  </cols>
  <sheetData>
    <row r="1" spans="1:32" ht="15" customHeight="1" x14ac:dyDescent="0.25">
      <c r="A1" s="230" t="s">
        <v>243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</row>
    <row r="2" spans="1:32" ht="15" customHeight="1" x14ac:dyDescent="0.25">
      <c r="A2" s="230"/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</row>
    <row r="3" spans="1:32" ht="16.5" customHeight="1" x14ac:dyDescent="0.25"/>
    <row r="4" spans="1:32" ht="19.5" customHeight="1" thickBot="1" x14ac:dyDescent="0.35">
      <c r="C4" s="245" t="s">
        <v>89</v>
      </c>
      <c r="D4" s="245"/>
      <c r="E4" s="245"/>
      <c r="F4" s="245"/>
    </row>
    <row r="5" spans="1:32" ht="19.5" customHeight="1" thickTop="1" thickBot="1" x14ac:dyDescent="0.3">
      <c r="H5" s="139" t="s">
        <v>90</v>
      </c>
      <c r="I5" s="48"/>
      <c r="J5" s="48"/>
      <c r="K5" s="48"/>
      <c r="N5" s="140" t="s">
        <v>91</v>
      </c>
    </row>
    <row r="6" spans="1:32" ht="15.75" customHeight="1" thickBot="1" x14ac:dyDescent="0.4">
      <c r="C6" s="98" t="s">
        <v>84</v>
      </c>
      <c r="D6" s="98" t="s">
        <v>28</v>
      </c>
      <c r="E6" s="98" t="s">
        <v>92</v>
      </c>
      <c r="F6" s="98" t="s">
        <v>93</v>
      </c>
      <c r="H6" s="250"/>
      <c r="I6" s="250"/>
      <c r="J6" s="250"/>
      <c r="K6" s="250"/>
      <c r="N6" s="251" t="s">
        <v>94</v>
      </c>
      <c r="O6" s="251"/>
      <c r="P6" s="251"/>
      <c r="Q6" s="141"/>
      <c r="R6" s="142" t="s">
        <v>95</v>
      </c>
      <c r="S6" s="141" t="s">
        <v>88</v>
      </c>
      <c r="T6" s="143" t="s">
        <v>96</v>
      </c>
      <c r="V6" s="217"/>
      <c r="W6" s="217"/>
      <c r="X6" s="217"/>
      <c r="Y6" s="217"/>
      <c r="Z6" s="217"/>
      <c r="AA6" s="217"/>
      <c r="AB6" s="217"/>
      <c r="AC6" s="217"/>
      <c r="AD6" s="217"/>
      <c r="AE6" s="217"/>
      <c r="AF6" s="217"/>
    </row>
    <row r="7" spans="1:32" ht="15" customHeight="1" x14ac:dyDescent="0.35">
      <c r="C7" s="144" t="s">
        <v>85</v>
      </c>
      <c r="D7" s="144">
        <v>15</v>
      </c>
      <c r="E7" s="145">
        <v>1</v>
      </c>
      <c r="F7" s="145">
        <v>0.6</v>
      </c>
      <c r="H7" s="20">
        <f t="array" ref="H7:H9">D7:D9</f>
        <v>15</v>
      </c>
      <c r="I7" s="20">
        <v>1</v>
      </c>
      <c r="J7" s="146">
        <f t="array" ref="J7:J9">E7:E9</f>
        <v>1</v>
      </c>
      <c r="K7" s="146">
        <f t="array" ref="K7:K9">F7:F9</f>
        <v>0.6</v>
      </c>
      <c r="N7" s="147">
        <f t="array" ref="N7:P9">I7:K9</f>
        <v>1</v>
      </c>
      <c r="O7" s="148">
        <v>1</v>
      </c>
      <c r="P7" s="149">
        <v>0.6</v>
      </c>
      <c r="Q7" s="150"/>
      <c r="R7" s="151" t="s">
        <v>97</v>
      </c>
      <c r="T7" s="152">
        <f t="array" ref="T7:T9">D7:D9</f>
        <v>15</v>
      </c>
      <c r="V7" s="217"/>
      <c r="W7" s="217"/>
      <c r="X7" s="217"/>
      <c r="Y7" s="217"/>
      <c r="Z7" s="217"/>
      <c r="AA7" s="217"/>
      <c r="AB7" s="217"/>
      <c r="AC7" s="217"/>
      <c r="AD7" s="217"/>
      <c r="AE7" s="217"/>
      <c r="AF7" s="217"/>
    </row>
    <row r="8" spans="1:32" ht="15" customHeight="1" x14ac:dyDescent="0.35">
      <c r="C8" s="20" t="s">
        <v>86</v>
      </c>
      <c r="D8" s="20">
        <v>14</v>
      </c>
      <c r="E8" s="146">
        <v>0.5</v>
      </c>
      <c r="F8" s="146">
        <v>1</v>
      </c>
      <c r="H8" s="20">
        <v>14</v>
      </c>
      <c r="I8" s="20">
        <v>1</v>
      </c>
      <c r="J8" s="146">
        <v>0.5</v>
      </c>
      <c r="K8" s="146">
        <v>1</v>
      </c>
      <c r="N8" s="147">
        <v>1</v>
      </c>
      <c r="O8" s="148">
        <v>0.5</v>
      </c>
      <c r="P8" s="149">
        <v>1</v>
      </c>
      <c r="Q8" s="150"/>
      <c r="R8" s="151" t="s">
        <v>98</v>
      </c>
      <c r="T8" s="152">
        <v>14</v>
      </c>
      <c r="V8" s="217"/>
      <c r="W8" s="217"/>
      <c r="X8" s="217"/>
      <c r="Y8" s="217"/>
      <c r="Z8" s="217"/>
      <c r="AA8" s="217"/>
      <c r="AB8" s="217"/>
      <c r="AC8" s="217"/>
      <c r="AD8" s="217"/>
      <c r="AE8" s="217"/>
      <c r="AF8" s="217"/>
    </row>
    <row r="9" spans="1:32" ht="15" customHeight="1" thickBot="1" x14ac:dyDescent="0.4">
      <c r="C9" s="153" t="s">
        <v>87</v>
      </c>
      <c r="D9" s="153">
        <v>10</v>
      </c>
      <c r="E9" s="154">
        <v>0.3</v>
      </c>
      <c r="F9" s="154">
        <v>0.2</v>
      </c>
      <c r="H9" s="20">
        <v>10</v>
      </c>
      <c r="I9" s="20">
        <v>1</v>
      </c>
      <c r="J9" s="146">
        <v>0.3</v>
      </c>
      <c r="K9" s="146">
        <v>0.2</v>
      </c>
      <c r="N9" s="147">
        <v>1</v>
      </c>
      <c r="O9" s="148">
        <v>0.3</v>
      </c>
      <c r="P9" s="149">
        <v>0.2</v>
      </c>
      <c r="Q9" s="150"/>
      <c r="R9" s="151" t="s">
        <v>99</v>
      </c>
      <c r="T9" s="152">
        <v>10</v>
      </c>
      <c r="V9" s="217"/>
      <c r="W9" s="217"/>
      <c r="X9" s="217"/>
      <c r="Y9" s="217"/>
      <c r="Z9" s="217"/>
      <c r="AA9" s="217"/>
      <c r="AB9" s="217"/>
      <c r="AC9" s="217"/>
      <c r="AD9" s="217"/>
      <c r="AE9" s="217"/>
      <c r="AF9" s="217"/>
    </row>
    <row r="10" spans="1:32" ht="15" customHeight="1" x14ac:dyDescent="0.25">
      <c r="L10" s="96"/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7"/>
    </row>
    <row r="11" spans="1:32" ht="15" customHeight="1" x14ac:dyDescent="0.25">
      <c r="L11" s="140" t="s">
        <v>100</v>
      </c>
      <c r="V11" s="217"/>
      <c r="W11" s="217"/>
      <c r="X11" s="217"/>
      <c r="Y11" s="217"/>
      <c r="Z11" s="217"/>
      <c r="AA11" s="217"/>
      <c r="AB11" s="217"/>
      <c r="AC11" s="217"/>
      <c r="AD11" s="217"/>
      <c r="AE11" s="217"/>
      <c r="AF11" s="217"/>
    </row>
    <row r="12" spans="1:32" ht="15" customHeight="1" x14ac:dyDescent="0.25">
      <c r="L12" s="142" t="s">
        <v>95</v>
      </c>
      <c r="M12" s="141" t="s">
        <v>88</v>
      </c>
      <c r="N12" s="251" t="s">
        <v>101</v>
      </c>
      <c r="O12" s="251"/>
      <c r="P12" s="251"/>
      <c r="Q12" s="141"/>
      <c r="R12" s="143" t="s">
        <v>96</v>
      </c>
      <c r="S12" s="141"/>
      <c r="V12" s="217"/>
      <c r="W12" s="217"/>
      <c r="X12" s="217"/>
      <c r="Y12" s="217"/>
      <c r="Z12" s="217"/>
      <c r="AA12" s="217"/>
      <c r="AB12" s="217"/>
      <c r="AC12" s="217"/>
      <c r="AD12" s="217"/>
      <c r="AE12" s="217"/>
      <c r="AF12" s="217"/>
    </row>
    <row r="13" spans="1:32" ht="15" customHeight="1" x14ac:dyDescent="0.25">
      <c r="L13" s="151">
        <f t="array" ref="L13:L15">MMULT(N13:P15,R13:R15)</f>
        <v>7.7500000000000009</v>
      </c>
      <c r="N13" s="155">
        <f t="array" ref="N13:P15">MINVERSE(N7:P9)</f>
        <v>-0.41666666666666652</v>
      </c>
      <c r="O13" s="156">
        <v>-4.166666666666663E-2</v>
      </c>
      <c r="P13" s="157">
        <v>1.4583333333333333</v>
      </c>
      <c r="R13" s="152">
        <f t="array" ref="R13:R15">T7:T9</f>
        <v>15</v>
      </c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</row>
    <row r="14" spans="1:32" x14ac:dyDescent="0.25">
      <c r="L14" s="151">
        <v>4.9999999999999982</v>
      </c>
      <c r="N14" s="155">
        <v>1.6666666666666665</v>
      </c>
      <c r="O14" s="156">
        <v>-0.83333333333333326</v>
      </c>
      <c r="P14" s="157">
        <v>-0.83333333333333326</v>
      </c>
      <c r="R14" s="152">
        <v>14</v>
      </c>
      <c r="V14" s="217"/>
      <c r="W14" s="217"/>
      <c r="X14" s="217"/>
      <c r="Y14" s="217"/>
      <c r="Z14" s="217"/>
      <c r="AA14" s="217"/>
      <c r="AB14" s="217"/>
      <c r="AC14" s="217"/>
      <c r="AD14" s="217"/>
      <c r="AE14" s="217"/>
      <c r="AF14" s="217"/>
    </row>
    <row r="15" spans="1:32" x14ac:dyDescent="0.25">
      <c r="L15" s="151">
        <v>3.7499999999999964</v>
      </c>
      <c r="N15" s="155">
        <v>-0.41666666666666663</v>
      </c>
      <c r="O15" s="156">
        <v>1.4583333333333333</v>
      </c>
      <c r="P15" s="157">
        <v>-1.0416666666666667</v>
      </c>
      <c r="R15" s="152">
        <v>10</v>
      </c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7"/>
    </row>
    <row r="16" spans="1:32" x14ac:dyDescent="0.25">
      <c r="V16" s="217"/>
      <c r="W16" s="217"/>
      <c r="X16" s="217"/>
      <c r="Y16" s="217"/>
      <c r="Z16" s="217"/>
      <c r="AA16" s="217"/>
      <c r="AB16" s="217"/>
      <c r="AC16" s="217"/>
      <c r="AD16" s="217"/>
      <c r="AE16" s="217"/>
      <c r="AF16" s="217"/>
    </row>
    <row r="17" spans="1:32" x14ac:dyDescent="0.25">
      <c r="H17" s="140" t="s">
        <v>102</v>
      </c>
      <c r="V17" s="217"/>
      <c r="W17" s="217"/>
      <c r="X17" s="217"/>
      <c r="Y17" s="217"/>
      <c r="Z17" s="217"/>
      <c r="AA17" s="217"/>
      <c r="AB17" s="217"/>
      <c r="AC17" s="217"/>
      <c r="AD17" s="217"/>
      <c r="AE17" s="217"/>
      <c r="AF17" s="217"/>
    </row>
    <row r="18" spans="1:32" x14ac:dyDescent="0.25">
      <c r="H18" s="248"/>
      <c r="I18" s="248"/>
      <c r="J18" s="248"/>
      <c r="K18" s="248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  <c r="AF18" s="217"/>
    </row>
    <row r="19" spans="1:32" x14ac:dyDescent="0.25">
      <c r="H19" s="20"/>
      <c r="I19" s="20"/>
      <c r="J19" s="20"/>
      <c r="K19" s="20"/>
      <c r="V19" s="217"/>
      <c r="W19" s="217"/>
      <c r="X19" s="217"/>
      <c r="Y19" s="217"/>
      <c r="Z19" s="217"/>
      <c r="AA19" s="217"/>
      <c r="AB19" s="217"/>
      <c r="AC19" s="217"/>
      <c r="AD19" s="217"/>
      <c r="AE19" s="217"/>
      <c r="AF19" s="217"/>
    </row>
    <row r="20" spans="1:32" x14ac:dyDescent="0.25">
      <c r="H20" s="249"/>
      <c r="I20" s="249"/>
      <c r="J20" s="249"/>
      <c r="K20" s="249"/>
      <c r="L20" s="249"/>
      <c r="V20" s="217"/>
      <c r="W20" s="217"/>
      <c r="X20" s="217"/>
      <c r="Y20" s="217"/>
      <c r="Z20" s="217"/>
      <c r="AA20" s="217"/>
      <c r="AB20" s="217"/>
      <c r="AC20" s="217"/>
      <c r="AD20" s="217"/>
      <c r="AE20" s="217"/>
      <c r="AF20" s="217"/>
    </row>
    <row r="21" spans="1:32" x14ac:dyDescent="0.25">
      <c r="H21" s="158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</row>
    <row r="22" spans="1:32" x14ac:dyDescent="0.25">
      <c r="H22" s="159">
        <f t="array" ref="H22">MMULT(I22:K22,L13:L15)</f>
        <v>12.999999999999998</v>
      </c>
      <c r="I22" s="20">
        <v>1</v>
      </c>
      <c r="J22" s="20">
        <v>0.6</v>
      </c>
      <c r="K22" s="20">
        <v>0.6</v>
      </c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  <c r="AF22" s="217"/>
    </row>
    <row r="24" spans="1:32" x14ac:dyDescent="0.25">
      <c r="G24" s="96" t="s">
        <v>103</v>
      </c>
      <c r="I24" s="96"/>
      <c r="J24" s="96"/>
      <c r="K24" s="96"/>
    </row>
    <row r="25" spans="1:32" x14ac:dyDescent="0.25">
      <c r="G25" s="96"/>
      <c r="H25" s="94">
        <f t="array" ref="H25">MMULT(I25:K25,L13:L15)</f>
        <v>14.999999999999998</v>
      </c>
      <c r="I25" s="94">
        <v>1</v>
      </c>
      <c r="J25" s="94">
        <f t="array" ref="J25:K27">E7:F9</f>
        <v>1</v>
      </c>
      <c r="K25" s="94">
        <v>0.6</v>
      </c>
    </row>
    <row r="26" spans="1:32" x14ac:dyDescent="0.25">
      <c r="G26" s="96"/>
      <c r="H26" s="94">
        <f>MMULT(I26:K26,L13:L15)</f>
        <v>13.999999999999996</v>
      </c>
      <c r="I26" s="94">
        <v>1</v>
      </c>
      <c r="J26" s="94">
        <v>0.5</v>
      </c>
      <c r="K26" s="94">
        <v>1</v>
      </c>
    </row>
    <row r="27" spans="1:32" x14ac:dyDescent="0.25">
      <c r="G27" s="96"/>
      <c r="H27" s="94">
        <f>MMULT(I27:K27,L13:L15)</f>
        <v>10</v>
      </c>
      <c r="I27" s="94">
        <v>1</v>
      </c>
      <c r="J27" s="94">
        <v>0.3</v>
      </c>
      <c r="K27" s="94">
        <v>0.2</v>
      </c>
    </row>
    <row r="28" spans="1:32" x14ac:dyDescent="0.25">
      <c r="H28" s="96"/>
      <c r="I28" s="96"/>
      <c r="J28" s="96"/>
      <c r="K28" s="96"/>
    </row>
    <row r="29" spans="1:32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2" spans="1:32" ht="20.25" thickBot="1" x14ac:dyDescent="0.35">
      <c r="B32" s="245" t="s">
        <v>104</v>
      </c>
      <c r="C32" s="245"/>
      <c r="D32" s="245"/>
      <c r="E32" s="245"/>
      <c r="F32" s="245"/>
      <c r="G32" s="245"/>
      <c r="H32" s="245"/>
    </row>
    <row r="33" spans="2:20" ht="16.5" thickTop="1" thickBot="1" x14ac:dyDescent="0.3">
      <c r="L33" s="217"/>
      <c r="M33" s="217"/>
      <c r="N33" s="217"/>
      <c r="O33" s="217"/>
      <c r="P33" s="217"/>
      <c r="Q33" s="217"/>
      <c r="R33" s="217"/>
      <c r="S33" s="217"/>
      <c r="T33" s="217"/>
    </row>
    <row r="34" spans="2:20" ht="15.75" thickBot="1" x14ac:dyDescent="0.3">
      <c r="B34" s="44" t="s">
        <v>105</v>
      </c>
      <c r="C34" s="44" t="s">
        <v>106</v>
      </c>
      <c r="D34" s="44" t="s">
        <v>107</v>
      </c>
      <c r="E34" s="44" t="s">
        <v>108</v>
      </c>
      <c r="F34" s="44" t="s">
        <v>109</v>
      </c>
      <c r="G34" s="44" t="s">
        <v>110</v>
      </c>
      <c r="H34" s="44" t="s">
        <v>111</v>
      </c>
      <c r="L34" s="217"/>
      <c r="M34" s="217"/>
      <c r="N34" s="217"/>
      <c r="O34" s="217"/>
      <c r="P34" s="217"/>
      <c r="Q34" s="217"/>
      <c r="R34" s="217"/>
      <c r="S34" s="217"/>
      <c r="T34" s="217"/>
    </row>
    <row r="35" spans="2:20" x14ac:dyDescent="0.25">
      <c r="B35" s="160">
        <v>1</v>
      </c>
      <c r="C35" s="161">
        <v>11.91</v>
      </c>
      <c r="D35" s="161">
        <v>29.59</v>
      </c>
      <c r="E35" s="161">
        <v>23.27</v>
      </c>
      <c r="F35" s="161">
        <v>27.24</v>
      </c>
      <c r="G35" s="161">
        <v>23</v>
      </c>
      <c r="H35" s="162">
        <v>6.2</v>
      </c>
      <c r="L35" s="217"/>
      <c r="M35" s="217"/>
      <c r="N35" s="217"/>
      <c r="O35" s="217"/>
      <c r="P35" s="217"/>
      <c r="Q35" s="217"/>
      <c r="R35" s="217"/>
      <c r="S35" s="217"/>
      <c r="T35" s="217"/>
    </row>
    <row r="36" spans="2:20" x14ac:dyDescent="0.25">
      <c r="B36">
        <v>2</v>
      </c>
      <c r="C36" s="85">
        <v>18.37</v>
      </c>
      <c r="D36" s="85">
        <v>15.25</v>
      </c>
      <c r="E36" s="85">
        <v>19.47</v>
      </c>
      <c r="F36" s="85">
        <v>17.05</v>
      </c>
      <c r="G36" s="85">
        <v>17.54</v>
      </c>
      <c r="H36" s="118">
        <v>6.7</v>
      </c>
      <c r="L36" s="217"/>
      <c r="M36" s="217"/>
      <c r="N36" s="217"/>
      <c r="O36" s="217"/>
      <c r="P36" s="217"/>
      <c r="Q36" s="217"/>
      <c r="R36" s="217"/>
      <c r="S36" s="217"/>
      <c r="T36" s="217"/>
    </row>
    <row r="37" spans="2:20" x14ac:dyDescent="0.25">
      <c r="B37">
        <v>3</v>
      </c>
      <c r="C37" s="85">
        <v>3.64</v>
      </c>
      <c r="D37" s="85">
        <v>3.53</v>
      </c>
      <c r="E37" s="85">
        <v>-6.58</v>
      </c>
      <c r="F37" s="85">
        <v>10.199999999999999</v>
      </c>
      <c r="G37" s="85">
        <v>2.7</v>
      </c>
      <c r="H37" s="118">
        <v>6.4</v>
      </c>
      <c r="L37" s="217"/>
      <c r="M37" s="217"/>
      <c r="N37" s="217"/>
      <c r="O37" s="217"/>
      <c r="P37" s="217"/>
      <c r="Q37" s="217"/>
      <c r="R37" s="217"/>
      <c r="S37" s="217"/>
      <c r="T37" s="217"/>
    </row>
    <row r="38" spans="2:20" x14ac:dyDescent="0.25">
      <c r="B38">
        <v>4</v>
      </c>
      <c r="C38" s="85">
        <v>24.37</v>
      </c>
      <c r="D38" s="85">
        <v>17.670000000000002</v>
      </c>
      <c r="E38" s="85">
        <v>15.08</v>
      </c>
      <c r="F38" s="85">
        <v>20.260000000000002</v>
      </c>
      <c r="G38" s="85">
        <v>19.34</v>
      </c>
      <c r="H38" s="118">
        <v>5.7</v>
      </c>
      <c r="L38" s="217"/>
      <c r="M38" s="217"/>
      <c r="N38" s="217"/>
      <c r="O38" s="217"/>
      <c r="P38" s="217"/>
      <c r="Q38" s="217"/>
      <c r="R38" s="217"/>
      <c r="S38" s="217"/>
      <c r="T38" s="217"/>
    </row>
    <row r="39" spans="2:20" x14ac:dyDescent="0.25">
      <c r="B39">
        <v>5</v>
      </c>
      <c r="C39" s="85">
        <v>30.42</v>
      </c>
      <c r="D39" s="85">
        <v>12.74</v>
      </c>
      <c r="E39" s="85">
        <v>16.239999999999998</v>
      </c>
      <c r="F39" s="85">
        <v>19.84</v>
      </c>
      <c r="G39" s="85">
        <v>19.809999999999999</v>
      </c>
      <c r="H39" s="118">
        <v>5.9</v>
      </c>
      <c r="L39" s="217"/>
      <c r="M39" s="217"/>
      <c r="N39" s="217"/>
      <c r="O39" s="217"/>
      <c r="P39" s="217"/>
      <c r="Q39" s="217"/>
      <c r="R39" s="217"/>
      <c r="S39" s="217"/>
      <c r="T39" s="217"/>
    </row>
    <row r="40" spans="2:20" x14ac:dyDescent="0.25">
      <c r="B40">
        <v>6</v>
      </c>
      <c r="C40" s="85">
        <v>-1.45</v>
      </c>
      <c r="D40" s="85">
        <v>-2.56</v>
      </c>
      <c r="E40" s="85">
        <v>-15.05</v>
      </c>
      <c r="F40" s="85">
        <v>1.51</v>
      </c>
      <c r="G40" s="85">
        <v>-4.3899999999999997</v>
      </c>
      <c r="H40" s="118">
        <v>5.2</v>
      </c>
      <c r="L40" s="217"/>
      <c r="M40" s="217"/>
      <c r="N40" s="217"/>
      <c r="O40" s="217"/>
      <c r="P40" s="217"/>
      <c r="Q40" s="217"/>
      <c r="R40" s="217"/>
      <c r="S40" s="217"/>
      <c r="T40" s="217"/>
    </row>
    <row r="41" spans="2:20" x14ac:dyDescent="0.25">
      <c r="B41">
        <v>7</v>
      </c>
      <c r="C41" s="85">
        <v>20.11</v>
      </c>
      <c r="D41" s="85">
        <v>25.46</v>
      </c>
      <c r="E41" s="85">
        <v>17.8</v>
      </c>
      <c r="F41" s="85">
        <v>12.24</v>
      </c>
      <c r="G41" s="85">
        <v>18.899999999999999</v>
      </c>
      <c r="H41" s="118">
        <v>4.9000000000000004</v>
      </c>
      <c r="L41" s="217"/>
      <c r="M41" s="217"/>
      <c r="N41" s="217"/>
      <c r="O41" s="217"/>
      <c r="P41" s="217"/>
      <c r="Q41" s="217"/>
      <c r="R41" s="217"/>
      <c r="S41" s="217"/>
      <c r="T41" s="217"/>
    </row>
    <row r="42" spans="2:20" x14ac:dyDescent="0.25">
      <c r="B42">
        <v>8</v>
      </c>
      <c r="C42" s="85">
        <v>9.2799999999999994</v>
      </c>
      <c r="D42" s="85">
        <v>6.92</v>
      </c>
      <c r="E42" s="85">
        <v>18.82</v>
      </c>
      <c r="F42" s="85">
        <v>16.12</v>
      </c>
      <c r="G42" s="85">
        <v>12.78</v>
      </c>
      <c r="H42" s="118">
        <v>5.5</v>
      </c>
      <c r="L42" s="217"/>
      <c r="M42" s="217"/>
      <c r="N42" s="217"/>
      <c r="O42" s="217"/>
      <c r="P42" s="217"/>
      <c r="Q42" s="217"/>
      <c r="R42" s="217"/>
      <c r="S42" s="217"/>
      <c r="T42" s="217"/>
    </row>
    <row r="43" spans="2:20" x14ac:dyDescent="0.25">
      <c r="B43">
        <v>9</v>
      </c>
      <c r="C43" s="85">
        <v>17.63</v>
      </c>
      <c r="D43" s="85">
        <v>9.73</v>
      </c>
      <c r="E43" s="85">
        <v>3.05</v>
      </c>
      <c r="F43" s="85">
        <v>22.93</v>
      </c>
      <c r="G43" s="85">
        <v>13.34</v>
      </c>
      <c r="H43" s="118">
        <v>6.1</v>
      </c>
      <c r="L43" s="217"/>
      <c r="M43" s="217"/>
      <c r="N43" s="217"/>
      <c r="O43" s="217"/>
      <c r="P43" s="217"/>
      <c r="Q43" s="217"/>
      <c r="R43" s="217"/>
      <c r="S43" s="217"/>
      <c r="T43" s="217"/>
    </row>
    <row r="44" spans="2:20" ht="15.75" thickBot="1" x14ac:dyDescent="0.3">
      <c r="B44" s="163">
        <v>10</v>
      </c>
      <c r="C44" s="164">
        <v>15.71</v>
      </c>
      <c r="D44" s="164">
        <v>25.09</v>
      </c>
      <c r="E44" s="164">
        <v>16.940000000000001</v>
      </c>
      <c r="F44" s="164">
        <v>3.49</v>
      </c>
      <c r="G44" s="164">
        <v>15.31</v>
      </c>
      <c r="H44" s="119">
        <v>5.8</v>
      </c>
      <c r="L44" s="217"/>
      <c r="M44" s="217"/>
      <c r="N44" s="217"/>
      <c r="O44" s="217"/>
      <c r="P44" s="217"/>
      <c r="Q44" s="217"/>
      <c r="R44" s="217"/>
      <c r="S44" s="217"/>
      <c r="T44" s="217"/>
    </row>
    <row r="45" spans="2:20" x14ac:dyDescent="0.25">
      <c r="B45" s="165" t="s">
        <v>112</v>
      </c>
      <c r="C45" s="85">
        <f>AVERAGE(C35:C44)</f>
        <v>14.999000000000001</v>
      </c>
      <c r="D45" s="85">
        <f t="shared" ref="D45:H45" si="0">AVERAGE(D35:D44)</f>
        <v>14.342000000000002</v>
      </c>
      <c r="E45" s="85">
        <f t="shared" si="0"/>
        <v>10.903999999999998</v>
      </c>
      <c r="F45" s="85">
        <f t="shared" si="0"/>
        <v>15.088000000000003</v>
      </c>
      <c r="G45" s="85">
        <f t="shared" si="0"/>
        <v>13.833000000000002</v>
      </c>
      <c r="H45" s="118">
        <f t="shared" si="0"/>
        <v>5.84</v>
      </c>
    </row>
    <row r="46" spans="2:20" x14ac:dyDescent="0.25">
      <c r="B46" s="165" t="s">
        <v>47</v>
      </c>
      <c r="C46" s="85">
        <f>_xlfn.VAR.S(C35:C44)</f>
        <v>90.264654444444403</v>
      </c>
      <c r="D46" s="85">
        <f t="shared" ref="D46:G46" si="1">_xlfn.VAR.S(D35:D44)</f>
        <v>107.22566222222223</v>
      </c>
      <c r="E46" s="85">
        <f t="shared" si="1"/>
        <v>162.20478222222221</v>
      </c>
      <c r="F46" s="85">
        <f t="shared" si="1"/>
        <v>68.254773333333304</v>
      </c>
      <c r="G46" s="85">
        <f t="shared" si="1"/>
        <v>72.117401111110951</v>
      </c>
      <c r="H46" s="85"/>
      <c r="N46" s="217"/>
      <c r="O46" s="217"/>
      <c r="P46" s="217"/>
      <c r="Q46" s="217"/>
      <c r="R46" s="217"/>
      <c r="S46" s="217"/>
      <c r="T46" s="217"/>
    </row>
    <row r="47" spans="2:20" x14ac:dyDescent="0.25">
      <c r="B47" s="165" t="s">
        <v>113</v>
      </c>
      <c r="C47" s="85">
        <f>_xlfn.COVARIANCE.S(C35:C44,$G35:$G44)</f>
        <v>65.093258888888897</v>
      </c>
      <c r="D47" s="85">
        <f t="shared" ref="D47:G47" si="2">_xlfn.COVARIANCE.S(D35:D44,$G35:$G44)</f>
        <v>73.618937777777788</v>
      </c>
      <c r="E47" s="85">
        <f t="shared" si="2"/>
        <v>100.77850888888889</v>
      </c>
      <c r="F47" s="85">
        <f t="shared" si="2"/>
        <v>48.987951111111116</v>
      </c>
      <c r="G47" s="85">
        <f t="shared" si="2"/>
        <v>72.117401111111107</v>
      </c>
      <c r="H47" s="85"/>
      <c r="N47" s="217"/>
      <c r="O47" s="217"/>
      <c r="P47" s="217"/>
      <c r="Q47" s="217"/>
      <c r="R47" s="217"/>
      <c r="S47" s="217"/>
      <c r="T47" s="217"/>
    </row>
    <row r="48" spans="2:20" x14ac:dyDescent="0.25">
      <c r="B48" s="166" t="s">
        <v>114</v>
      </c>
      <c r="C48" s="85">
        <f>C47/$G47</f>
        <v>0.90260128465527856</v>
      </c>
      <c r="D48" s="85">
        <f t="shared" ref="D48:G48" si="3">D47/$G47</f>
        <v>1.0208207262537548</v>
      </c>
      <c r="E48" s="85">
        <f t="shared" si="3"/>
        <v>1.3974229150828616</v>
      </c>
      <c r="F48" s="85">
        <f t="shared" si="3"/>
        <v>0.67928059464643631</v>
      </c>
      <c r="G48" s="85">
        <f t="shared" si="3"/>
        <v>1</v>
      </c>
      <c r="H48" s="85"/>
      <c r="N48" s="217"/>
      <c r="O48" s="217"/>
      <c r="P48" s="217"/>
      <c r="Q48" s="217"/>
      <c r="R48" s="217"/>
      <c r="S48" s="217"/>
      <c r="T48" s="217"/>
    </row>
    <row r="49" spans="2:20" x14ac:dyDescent="0.25">
      <c r="B49" s="165" t="s">
        <v>115</v>
      </c>
      <c r="C49" s="85">
        <f>(C45-$H45)-C48*($G45-$H45)</f>
        <v>1.9445079317503575</v>
      </c>
      <c r="D49" s="85">
        <f t="shared" ref="D49:G49" si="4">(D45-$H45)-D48*($G45-$H45)</f>
        <v>0.34257993505373818</v>
      </c>
      <c r="E49" s="85">
        <f t="shared" si="4"/>
        <v>-6.1056013602573174</v>
      </c>
      <c r="F49" s="85">
        <f t="shared" si="4"/>
        <v>3.8185102069910357</v>
      </c>
      <c r="G49" s="85">
        <f t="shared" si="4"/>
        <v>0</v>
      </c>
      <c r="H49" s="85"/>
      <c r="N49" s="217"/>
      <c r="O49" s="217"/>
      <c r="P49" s="217"/>
      <c r="Q49" s="217"/>
      <c r="R49" s="217"/>
      <c r="S49" s="217"/>
      <c r="T49" s="217"/>
    </row>
    <row r="50" spans="2:20" ht="15.75" thickBot="1" x14ac:dyDescent="0.3">
      <c r="B50" s="167" t="s">
        <v>116</v>
      </c>
      <c r="C50" s="164">
        <f>C46-C48^2*$G46</f>
        <v>31.511395348934776</v>
      </c>
      <c r="D50" s="164">
        <f t="shared" ref="D50:F50" si="5">D46-D48^2*$G46</f>
        <v>32.073924693881295</v>
      </c>
      <c r="E50" s="164">
        <f t="shared" si="5"/>
        <v>21.37458455300731</v>
      </c>
      <c r="F50" s="164">
        <f t="shared" si="5"/>
        <v>34.978208772067269</v>
      </c>
      <c r="G50" s="164"/>
      <c r="H50" s="164"/>
      <c r="I50" s="96"/>
      <c r="N50" s="217"/>
      <c r="O50" s="217"/>
      <c r="P50" s="217"/>
      <c r="Q50" s="217"/>
      <c r="R50" s="217"/>
      <c r="S50" s="217"/>
      <c r="T50" s="217"/>
    </row>
    <row r="51" spans="2:20" x14ac:dyDescent="0.25">
      <c r="N51" s="217"/>
      <c r="O51" s="217"/>
      <c r="P51" s="217"/>
      <c r="Q51" s="217"/>
      <c r="R51" s="217"/>
      <c r="S51" s="217"/>
      <c r="T51" s="217"/>
    </row>
    <row r="52" spans="2:20" ht="18" thickBot="1" x14ac:dyDescent="0.35">
      <c r="B52" s="253" t="s">
        <v>117</v>
      </c>
      <c r="C52" s="253"/>
      <c r="D52" s="253"/>
      <c r="E52" s="253"/>
      <c r="F52" s="253"/>
      <c r="G52" s="253"/>
      <c r="H52" s="253"/>
      <c r="N52" s="217"/>
      <c r="O52" s="217"/>
      <c r="P52" s="217"/>
      <c r="Q52" s="217"/>
      <c r="R52" s="217"/>
      <c r="S52" s="217"/>
      <c r="T52" s="217"/>
    </row>
    <row r="53" spans="2:20" ht="16.5" thickTop="1" thickBot="1" x14ac:dyDescent="0.3">
      <c r="N53" s="217"/>
      <c r="O53" s="217"/>
      <c r="P53" s="217"/>
      <c r="Q53" s="217"/>
      <c r="R53" s="217"/>
      <c r="S53" s="217"/>
      <c r="T53" s="217"/>
    </row>
    <row r="54" spans="2:20" ht="15.75" thickBot="1" x14ac:dyDescent="0.3">
      <c r="C54" s="254" t="s">
        <v>118</v>
      </c>
      <c r="D54" s="254"/>
      <c r="E54" s="254"/>
      <c r="F54" s="254"/>
      <c r="N54" s="217"/>
      <c r="O54" s="217"/>
      <c r="P54" s="217"/>
      <c r="Q54" s="217"/>
      <c r="R54" s="217"/>
      <c r="S54" s="217"/>
      <c r="T54" s="217"/>
    </row>
    <row r="55" spans="2:20" x14ac:dyDescent="0.25">
      <c r="C55" s="168">
        <f>_xlfn.COVARIANCE.S($C$35:$C$44,C35:C44)</f>
        <v>90.264654444444446</v>
      </c>
      <c r="D55" s="168">
        <f t="shared" ref="D55:F55" si="6">_xlfn.COVARIANCE.S($C$35:$C$44,D35:D44)</f>
        <v>50.894968888888897</v>
      </c>
      <c r="E55" s="168">
        <f t="shared" si="6"/>
        <v>79.024093333333354</v>
      </c>
      <c r="F55" s="168">
        <f t="shared" si="6"/>
        <v>40.179897777777782</v>
      </c>
      <c r="N55" s="217"/>
      <c r="O55" s="217"/>
      <c r="P55" s="217"/>
      <c r="Q55" s="217"/>
      <c r="R55" s="217"/>
      <c r="S55" s="217"/>
      <c r="T55" s="217"/>
    </row>
    <row r="56" spans="2:20" x14ac:dyDescent="0.25">
      <c r="C56" s="169">
        <f>_xlfn.COVARIANCE.S($D$35:$D$44,C35:C44)</f>
        <v>50.894968888888897</v>
      </c>
      <c r="D56" s="169">
        <f t="shared" ref="D56:F56" si="7">_xlfn.COVARIANCE.S($D$35:$D$44,D35:D44)</f>
        <v>107.22566222222223</v>
      </c>
      <c r="E56" s="169">
        <f t="shared" si="7"/>
        <v>105.37893555555559</v>
      </c>
      <c r="F56" s="169">
        <f t="shared" si="7"/>
        <v>30.985904444444444</v>
      </c>
      <c r="N56" s="217"/>
      <c r="O56" s="217"/>
      <c r="P56" s="217"/>
      <c r="Q56" s="217"/>
      <c r="R56" s="217"/>
      <c r="S56" s="217"/>
      <c r="T56" s="217"/>
    </row>
    <row r="57" spans="2:20" x14ac:dyDescent="0.25">
      <c r="C57" s="169">
        <f>_xlfn.COVARIANCE.S($E$35:$E$44,C35:C44)</f>
        <v>79.024093333333354</v>
      </c>
      <c r="D57" s="169">
        <f t="shared" ref="D57:F57" si="8">_xlfn.COVARIANCE.S($E$35:$E$44,D35:D44)</f>
        <v>105.37893555555559</v>
      </c>
      <c r="E57" s="169">
        <f t="shared" si="8"/>
        <v>162.20478222222224</v>
      </c>
      <c r="F57" s="169">
        <f t="shared" si="8"/>
        <v>56.536797777777792</v>
      </c>
      <c r="N57" s="217"/>
      <c r="O57" s="217"/>
      <c r="P57" s="217"/>
      <c r="Q57" s="217"/>
      <c r="R57" s="217"/>
      <c r="S57" s="217"/>
      <c r="T57" s="217"/>
    </row>
    <row r="58" spans="2:20" ht="15.75" thickBot="1" x14ac:dyDescent="0.3">
      <c r="C58" s="170">
        <f>_xlfn.COVARIANCE.S($F$35:$F$44,C35:C44)</f>
        <v>40.179897777777782</v>
      </c>
      <c r="D58" s="170">
        <f t="shared" ref="D58:F58" si="9">_xlfn.COVARIANCE.S($F$35:$F$44,D35:D44)</f>
        <v>30.985904444444444</v>
      </c>
      <c r="E58" s="170">
        <f t="shared" si="9"/>
        <v>56.536797777777792</v>
      </c>
      <c r="F58" s="170">
        <f t="shared" si="9"/>
        <v>68.254773333333333</v>
      </c>
      <c r="N58" s="217"/>
      <c r="O58" s="217"/>
      <c r="P58" s="217"/>
      <c r="Q58" s="217"/>
      <c r="R58" s="217"/>
      <c r="S58" s="217"/>
      <c r="T58" s="217"/>
    </row>
    <row r="59" spans="2:20" ht="15.75" thickBot="1" x14ac:dyDescent="0.3">
      <c r="N59" s="217"/>
      <c r="O59" s="217"/>
      <c r="P59" s="217"/>
      <c r="Q59" s="217"/>
      <c r="R59" s="217"/>
      <c r="S59" s="217"/>
      <c r="T59" s="217"/>
    </row>
    <row r="60" spans="2:20" ht="15.75" thickBot="1" x14ac:dyDescent="0.3">
      <c r="C60" s="255" t="s">
        <v>119</v>
      </c>
      <c r="D60" s="255"/>
      <c r="E60" s="255"/>
      <c r="F60" s="255"/>
      <c r="N60" s="217"/>
      <c r="O60" s="217"/>
      <c r="P60" s="217"/>
      <c r="Q60" s="217"/>
      <c r="R60" s="217"/>
      <c r="S60" s="217"/>
      <c r="T60" s="217"/>
    </row>
    <row r="61" spans="2:20" x14ac:dyDescent="0.25">
      <c r="C61" s="171">
        <f t="array" ref="C61:F64">_xlfn.MUNIT(4)</f>
        <v>1</v>
      </c>
      <c r="D61" s="171">
        <v>0</v>
      </c>
      <c r="E61" s="171">
        <v>0</v>
      </c>
      <c r="F61" s="171">
        <v>0</v>
      </c>
      <c r="N61" s="217"/>
      <c r="O61" s="217"/>
      <c r="P61" s="217"/>
      <c r="Q61" s="217"/>
      <c r="R61" s="217"/>
      <c r="S61" s="217"/>
      <c r="T61" s="217"/>
    </row>
    <row r="62" spans="2:20" x14ac:dyDescent="0.25">
      <c r="C62" s="172">
        <v>0</v>
      </c>
      <c r="D62" s="172">
        <v>1</v>
      </c>
      <c r="E62" s="172">
        <v>0</v>
      </c>
      <c r="F62" s="172">
        <v>0</v>
      </c>
      <c r="N62" s="217"/>
      <c r="O62" s="217"/>
      <c r="P62" s="217"/>
      <c r="Q62" s="217"/>
      <c r="R62" s="217"/>
      <c r="S62" s="217"/>
      <c r="T62" s="217"/>
    </row>
    <row r="63" spans="2:20" x14ac:dyDescent="0.25">
      <c r="C63" s="172">
        <v>0</v>
      </c>
      <c r="D63" s="172">
        <v>0</v>
      </c>
      <c r="E63" s="172">
        <v>1</v>
      </c>
      <c r="F63" s="172">
        <v>0</v>
      </c>
      <c r="N63" s="217"/>
      <c r="O63" s="217"/>
      <c r="P63" s="217"/>
      <c r="Q63" s="217"/>
      <c r="R63" s="217"/>
      <c r="S63" s="217"/>
      <c r="T63" s="217"/>
    </row>
    <row r="64" spans="2:20" ht="15.75" thickBot="1" x14ac:dyDescent="0.3">
      <c r="C64" s="173">
        <v>0</v>
      </c>
      <c r="D64" s="173">
        <v>0</v>
      </c>
      <c r="E64" s="173">
        <v>0</v>
      </c>
      <c r="F64" s="173">
        <v>1</v>
      </c>
      <c r="N64" s="217"/>
      <c r="O64" s="217"/>
      <c r="P64" s="217"/>
      <c r="Q64" s="217"/>
      <c r="R64" s="217"/>
      <c r="S64" s="217"/>
      <c r="T64" s="217"/>
    </row>
    <row r="65" spans="3:20" ht="15.75" thickBot="1" x14ac:dyDescent="0.3">
      <c r="N65" s="217"/>
      <c r="O65" s="217"/>
      <c r="P65" s="217"/>
      <c r="Q65" s="217"/>
      <c r="R65" s="217"/>
      <c r="S65" s="217"/>
      <c r="T65" s="217"/>
    </row>
    <row r="66" spans="3:20" ht="15.75" thickBot="1" x14ac:dyDescent="0.3">
      <c r="C66" s="174" t="s">
        <v>120</v>
      </c>
      <c r="D66" s="175">
        <v>0</v>
      </c>
      <c r="E66" s="96" t="s">
        <v>121</v>
      </c>
      <c r="N66" s="217"/>
      <c r="O66" s="217"/>
      <c r="P66" s="217"/>
      <c r="Q66" s="217"/>
      <c r="R66" s="217"/>
      <c r="S66" s="217"/>
      <c r="T66" s="217"/>
    </row>
    <row r="67" spans="3:20" ht="15.75" thickBot="1" x14ac:dyDescent="0.3"/>
    <row r="68" spans="3:20" ht="15.75" thickBot="1" x14ac:dyDescent="0.3">
      <c r="C68" s="256" t="s">
        <v>122</v>
      </c>
      <c r="D68" s="256"/>
      <c r="E68" s="256"/>
      <c r="F68" s="256"/>
      <c r="G68" s="96" t="s">
        <v>123</v>
      </c>
    </row>
    <row r="69" spans="3:20" x14ac:dyDescent="0.25">
      <c r="C69" s="176">
        <f t="array" ref="C69:F72">$C$55:$F$58-D66*$C$61:$F$64</f>
        <v>90.264654444444446</v>
      </c>
      <c r="D69" s="176">
        <v>50.894968888888897</v>
      </c>
      <c r="E69" s="176">
        <v>79.024093333333354</v>
      </c>
      <c r="F69" s="176">
        <v>40.179897777777782</v>
      </c>
    </row>
    <row r="70" spans="3:20" x14ac:dyDescent="0.25">
      <c r="C70" s="177">
        <v>50.894968888888897</v>
      </c>
      <c r="D70" s="177">
        <v>107.22566222222223</v>
      </c>
      <c r="E70" s="177">
        <v>105.37893555555559</v>
      </c>
      <c r="F70" s="177">
        <v>30.985904444444444</v>
      </c>
    </row>
    <row r="71" spans="3:20" x14ac:dyDescent="0.25">
      <c r="C71" s="177">
        <v>79.024093333333354</v>
      </c>
      <c r="D71" s="177">
        <v>105.37893555555559</v>
      </c>
      <c r="E71" s="177">
        <v>162.20478222222224</v>
      </c>
      <c r="F71" s="177">
        <v>56.536797777777792</v>
      </c>
    </row>
    <row r="72" spans="3:20" ht="15.75" thickBot="1" x14ac:dyDescent="0.3">
      <c r="C72" s="178">
        <v>40.179897777777782</v>
      </c>
      <c r="D72" s="178">
        <v>30.985904444444444</v>
      </c>
      <c r="E72" s="178">
        <v>56.536797777777792</v>
      </c>
      <c r="F72" s="178">
        <v>68.254773333333333</v>
      </c>
    </row>
    <row r="73" spans="3:20" ht="15.75" thickBot="1" x14ac:dyDescent="0.3"/>
    <row r="74" spans="3:20" ht="15.75" thickBot="1" x14ac:dyDescent="0.3">
      <c r="C74" s="174" t="s">
        <v>124</v>
      </c>
      <c r="D74" s="175">
        <f t="array" ref="D74">MDETERM(C69:F72)</f>
        <v>14529980.758243306</v>
      </c>
      <c r="E74" s="96" t="s">
        <v>125</v>
      </c>
    </row>
    <row r="75" spans="3:20" ht="15.75" thickBot="1" x14ac:dyDescent="0.3"/>
    <row r="76" spans="3:20" ht="15.75" thickBot="1" x14ac:dyDescent="0.3">
      <c r="C76" s="174" t="s">
        <v>120</v>
      </c>
      <c r="D76" s="174" t="s">
        <v>124</v>
      </c>
      <c r="E76" s="96" t="s">
        <v>126</v>
      </c>
    </row>
    <row r="77" spans="3:20" x14ac:dyDescent="0.25">
      <c r="C77">
        <v>0</v>
      </c>
      <c r="D77">
        <f>MDETERM(C69:F72)</f>
        <v>14529980.758243306</v>
      </c>
      <c r="E77" s="96" t="s">
        <v>127</v>
      </c>
    </row>
    <row r="78" spans="3:20" x14ac:dyDescent="0.25">
      <c r="C78">
        <v>5</v>
      </c>
      <c r="D78">
        <f t="dataTable" ref="D78:D147" dt2D="0" dtr="0" r1="D66"/>
        <v>8701501.1449246276</v>
      </c>
    </row>
    <row r="79" spans="3:20" x14ac:dyDescent="0.25">
      <c r="C79">
        <v>10</v>
      </c>
      <c r="D79">
        <v>4588443.2969860584</v>
      </c>
    </row>
    <row r="80" spans="3:20" x14ac:dyDescent="0.25">
      <c r="C80">
        <v>15</v>
      </c>
      <c r="D80">
        <v>1892344.8102609292</v>
      </c>
    </row>
    <row r="81" spans="3:5" x14ac:dyDescent="0.25">
      <c r="C81">
        <v>20</v>
      </c>
      <c r="D81">
        <v>329743.28058257245</v>
      </c>
    </row>
    <row r="82" spans="3:5" x14ac:dyDescent="0.25">
      <c r="C82">
        <v>25</v>
      </c>
      <c r="D82">
        <v>-367823.69621567661</v>
      </c>
      <c r="E82" s="96" t="s">
        <v>128</v>
      </c>
    </row>
    <row r="83" spans="3:5" x14ac:dyDescent="0.25">
      <c r="C83">
        <v>30</v>
      </c>
      <c r="D83">
        <v>-453818.52430048567</v>
      </c>
    </row>
    <row r="84" spans="3:5" x14ac:dyDescent="0.25">
      <c r="C84">
        <v>35</v>
      </c>
      <c r="D84">
        <v>-166703.60783852113</v>
      </c>
    </row>
    <row r="85" spans="3:5" x14ac:dyDescent="0.25">
      <c r="C85">
        <v>40</v>
      </c>
      <c r="D85">
        <v>270058.64900355082</v>
      </c>
      <c r="E85" s="96" t="s">
        <v>129</v>
      </c>
    </row>
    <row r="86" spans="3:5" x14ac:dyDescent="0.25">
      <c r="C86">
        <v>45</v>
      </c>
      <c r="D86">
        <v>648005.84205906279</v>
      </c>
    </row>
    <row r="87" spans="3:5" x14ac:dyDescent="0.25">
      <c r="C87">
        <v>50</v>
      </c>
      <c r="D87">
        <v>773675.56716134842</v>
      </c>
    </row>
    <row r="88" spans="3:5" x14ac:dyDescent="0.25">
      <c r="C88">
        <v>55</v>
      </c>
      <c r="D88">
        <v>468605.42014374048</v>
      </c>
    </row>
    <row r="89" spans="3:5" x14ac:dyDescent="0.25">
      <c r="C89">
        <v>60</v>
      </c>
      <c r="D89">
        <v>-430667.00316042686</v>
      </c>
      <c r="E89" s="96" t="s">
        <v>130</v>
      </c>
    </row>
    <row r="90" spans="3:5" x14ac:dyDescent="0.25">
      <c r="C90">
        <v>65</v>
      </c>
      <c r="D90">
        <v>-2072604.1069178199</v>
      </c>
    </row>
    <row r="91" spans="3:5" x14ac:dyDescent="0.25">
      <c r="C91">
        <v>70</v>
      </c>
      <c r="D91">
        <v>-4590668.2952951062</v>
      </c>
    </row>
    <row r="92" spans="3:5" x14ac:dyDescent="0.25">
      <c r="C92">
        <v>75</v>
      </c>
      <c r="D92">
        <v>-8103321.972458953</v>
      </c>
    </row>
    <row r="93" spans="3:5" x14ac:dyDescent="0.25">
      <c r="C93">
        <v>80</v>
      </c>
      <c r="D93">
        <v>-12714027.542576026</v>
      </c>
    </row>
    <row r="94" spans="3:5" x14ac:dyDescent="0.25">
      <c r="C94">
        <v>85</v>
      </c>
      <c r="D94">
        <v>-18511247.409812994</v>
      </c>
    </row>
    <row r="95" spans="3:5" x14ac:dyDescent="0.25">
      <c r="C95">
        <v>90</v>
      </c>
      <c r="D95">
        <v>-25568443.978336517</v>
      </c>
    </row>
    <row r="96" spans="3:5" x14ac:dyDescent="0.25">
      <c r="C96">
        <v>95</v>
      </c>
      <c r="D96">
        <v>-33944079.65231327</v>
      </c>
    </row>
    <row r="97" spans="3:4" x14ac:dyDescent="0.25">
      <c r="C97">
        <v>100</v>
      </c>
      <c r="D97">
        <v>-43681616.835909925</v>
      </c>
    </row>
    <row r="98" spans="3:4" x14ac:dyDescent="0.25">
      <c r="C98">
        <v>105</v>
      </c>
      <c r="D98">
        <v>-54809517.933293104</v>
      </c>
    </row>
    <row r="99" spans="3:4" x14ac:dyDescent="0.25">
      <c r="C99">
        <v>110</v>
      </c>
      <c r="D99">
        <v>-67341245.348629549</v>
      </c>
    </row>
    <row r="100" spans="3:4" x14ac:dyDescent="0.25">
      <c r="C100">
        <v>115</v>
      </c>
      <c r="D100">
        <v>-81275261.486085877</v>
      </c>
    </row>
    <row r="101" spans="3:4" x14ac:dyDescent="0.25">
      <c r="C101">
        <v>120</v>
      </c>
      <c r="D101">
        <v>-96595028.749828771</v>
      </c>
    </row>
    <row r="102" spans="3:4" x14ac:dyDescent="0.25">
      <c r="C102">
        <v>125</v>
      </c>
      <c r="D102">
        <v>-113269009.54402488</v>
      </c>
    </row>
    <row r="103" spans="3:4" x14ac:dyDescent="0.25">
      <c r="C103">
        <v>130</v>
      </c>
      <c r="D103">
        <v>-131250666.27284089</v>
      </c>
    </row>
    <row r="104" spans="3:4" x14ac:dyDescent="0.25">
      <c r="C104">
        <v>135</v>
      </c>
      <c r="D104">
        <v>-150478461.3404434</v>
      </c>
    </row>
    <row r="105" spans="3:4" x14ac:dyDescent="0.25">
      <c r="C105">
        <v>140</v>
      </c>
      <c r="D105">
        <v>-170875857.15099922</v>
      </c>
    </row>
    <row r="106" spans="3:4" x14ac:dyDescent="0.25">
      <c r="C106">
        <v>145</v>
      </c>
      <c r="D106">
        <v>-192351316.10867494</v>
      </c>
    </row>
    <row r="107" spans="3:4" x14ac:dyDescent="0.25">
      <c r="C107">
        <v>150</v>
      </c>
      <c r="D107">
        <v>-214798300.61763722</v>
      </c>
    </row>
    <row r="108" spans="3:4" x14ac:dyDescent="0.25">
      <c r="C108">
        <v>155</v>
      </c>
      <c r="D108">
        <v>-238095273.08205262</v>
      </c>
    </row>
    <row r="109" spans="3:4" x14ac:dyDescent="0.25">
      <c r="C109">
        <v>160</v>
      </c>
      <c r="D109">
        <v>-262105695.90608802</v>
      </c>
    </row>
    <row r="110" spans="3:4" x14ac:dyDescent="0.25">
      <c r="C110">
        <v>165</v>
      </c>
      <c r="D110">
        <v>-286678031.49390996</v>
      </c>
    </row>
    <row r="111" spans="3:4" x14ac:dyDescent="0.25">
      <c r="C111">
        <v>170</v>
      </c>
      <c r="D111">
        <v>-311645742.24968505</v>
      </c>
    </row>
    <row r="112" spans="3:4" x14ac:dyDescent="0.25">
      <c r="C112">
        <v>175</v>
      </c>
      <c r="D112">
        <v>-336827290.57758021</v>
      </c>
    </row>
    <row r="113" spans="3:4" x14ac:dyDescent="0.25">
      <c r="C113">
        <v>180</v>
      </c>
      <c r="D113">
        <v>-362026138.88176173</v>
      </c>
    </row>
    <row r="114" spans="3:4" x14ac:dyDescent="0.25">
      <c r="C114">
        <v>185</v>
      </c>
      <c r="D114">
        <v>-387030749.56639653</v>
      </c>
    </row>
    <row r="115" spans="3:4" x14ac:dyDescent="0.25">
      <c r="C115">
        <v>190</v>
      </c>
      <c r="D115">
        <v>-411614585.03565121</v>
      </c>
    </row>
    <row r="116" spans="3:4" x14ac:dyDescent="0.25">
      <c r="C116">
        <v>195</v>
      </c>
      <c r="D116">
        <v>-435536107.69369256</v>
      </c>
    </row>
    <row r="117" spans="3:4" x14ac:dyDescent="0.25">
      <c r="C117">
        <v>200</v>
      </c>
      <c r="D117">
        <v>-458538779.94468707</v>
      </c>
    </row>
    <row r="118" spans="3:4" x14ac:dyDescent="0.25">
      <c r="C118">
        <v>205</v>
      </c>
      <c r="D118">
        <v>-480351064.19280159</v>
      </c>
    </row>
    <row r="119" spans="3:4" x14ac:dyDescent="0.25">
      <c r="C119">
        <v>210</v>
      </c>
      <c r="D119">
        <v>-500686422.84220243</v>
      </c>
    </row>
    <row r="120" spans="3:4" x14ac:dyDescent="0.25">
      <c r="C120">
        <v>215</v>
      </c>
      <c r="D120">
        <v>-519243318.29705679</v>
      </c>
    </row>
    <row r="121" spans="3:4" x14ac:dyDescent="0.25">
      <c r="C121">
        <v>220</v>
      </c>
      <c r="D121">
        <v>-535705212.96153086</v>
      </c>
    </row>
    <row r="122" spans="3:4" x14ac:dyDescent="0.25">
      <c r="C122">
        <v>225</v>
      </c>
      <c r="D122">
        <v>-549740569.23979139</v>
      </c>
    </row>
    <row r="123" spans="3:4" x14ac:dyDescent="0.25">
      <c r="C123">
        <v>230</v>
      </c>
      <c r="D123">
        <v>-561002849.53600538</v>
      </c>
    </row>
    <row r="124" spans="3:4" x14ac:dyDescent="0.25">
      <c r="C124">
        <v>235</v>
      </c>
      <c r="D124">
        <v>-569130516.25433898</v>
      </c>
    </row>
    <row r="125" spans="3:4" x14ac:dyDescent="0.25">
      <c r="C125">
        <v>240</v>
      </c>
      <c r="D125">
        <v>-573747031.79895949</v>
      </c>
    </row>
    <row r="126" spans="3:4" x14ac:dyDescent="0.25">
      <c r="C126">
        <v>245</v>
      </c>
      <c r="D126">
        <v>-574460858.57403302</v>
      </c>
    </row>
    <row r="127" spans="3:4" x14ac:dyDescent="0.25">
      <c r="C127">
        <v>250</v>
      </c>
      <c r="D127">
        <v>-570865458.98372638</v>
      </c>
    </row>
    <row r="128" spans="3:4" x14ac:dyDescent="0.25">
      <c r="C128">
        <v>255</v>
      </c>
      <c r="D128">
        <v>-562539295.43220627</v>
      </c>
    </row>
    <row r="129" spans="3:5" x14ac:dyDescent="0.25">
      <c r="C129">
        <v>260</v>
      </c>
      <c r="D129">
        <v>-549045830.32363963</v>
      </c>
    </row>
    <row r="130" spans="3:5" x14ac:dyDescent="0.25">
      <c r="C130">
        <v>265</v>
      </c>
      <c r="D130">
        <v>-529933526.06219286</v>
      </c>
    </row>
    <row r="131" spans="3:5" x14ac:dyDescent="0.25">
      <c r="C131">
        <v>270</v>
      </c>
      <c r="D131">
        <v>-504735845.05203253</v>
      </c>
    </row>
    <row r="132" spans="3:5" x14ac:dyDescent="0.25">
      <c r="C132">
        <v>275</v>
      </c>
      <c r="D132">
        <v>-472971249.69732523</v>
      </c>
    </row>
    <row r="133" spans="3:5" x14ac:dyDescent="0.25">
      <c r="C133">
        <v>280</v>
      </c>
      <c r="D133">
        <v>-434143202.40223813</v>
      </c>
    </row>
    <row r="134" spans="3:5" x14ac:dyDescent="0.25">
      <c r="C134">
        <v>285</v>
      </c>
      <c r="D134">
        <v>-387740165.57093745</v>
      </c>
    </row>
    <row r="135" spans="3:5" x14ac:dyDescent="0.25">
      <c r="C135">
        <v>290</v>
      </c>
      <c r="D135">
        <v>-333235601.60759014</v>
      </c>
    </row>
    <row r="136" spans="3:5" x14ac:dyDescent="0.25">
      <c r="C136">
        <v>295</v>
      </c>
      <c r="D136">
        <v>-270087972.9163624</v>
      </c>
    </row>
    <row r="137" spans="3:5" x14ac:dyDescent="0.25">
      <c r="C137">
        <v>300</v>
      </c>
      <c r="D137">
        <v>-197740741.90142173</v>
      </c>
    </row>
    <row r="138" spans="3:5" x14ac:dyDescent="0.25">
      <c r="C138">
        <v>305</v>
      </c>
      <c r="D138">
        <v>-115622370.96693392</v>
      </c>
    </row>
    <row r="139" spans="3:5" x14ac:dyDescent="0.25">
      <c r="C139">
        <v>310</v>
      </c>
      <c r="D139">
        <v>-23146322.517066073</v>
      </c>
    </row>
    <row r="140" spans="3:5" x14ac:dyDescent="0.25">
      <c r="C140">
        <v>315</v>
      </c>
      <c r="D140">
        <v>80288941.04401502</v>
      </c>
      <c r="E140" s="96" t="s">
        <v>131</v>
      </c>
    </row>
    <row r="141" spans="3:5" x14ac:dyDescent="0.25">
      <c r="C141">
        <v>320</v>
      </c>
      <c r="D141">
        <v>195299957.31214306</v>
      </c>
      <c r="E141" s="96" t="s">
        <v>132</v>
      </c>
    </row>
    <row r="142" spans="3:5" x14ac:dyDescent="0.25">
      <c r="C142">
        <v>325</v>
      </c>
      <c r="D142">
        <v>322518263.88315135</v>
      </c>
    </row>
    <row r="143" spans="3:5" x14ac:dyDescent="0.25">
      <c r="C143">
        <v>330</v>
      </c>
      <c r="D143">
        <v>462590398.35287291</v>
      </c>
    </row>
    <row r="144" spans="3:5" x14ac:dyDescent="0.25">
      <c r="C144">
        <v>335</v>
      </c>
      <c r="D144">
        <v>616177898.31714082</v>
      </c>
    </row>
    <row r="145" spans="2:8" x14ac:dyDescent="0.25">
      <c r="C145">
        <v>340</v>
      </c>
      <c r="D145">
        <v>783957301.37178946</v>
      </c>
    </row>
    <row r="146" spans="2:8" x14ac:dyDescent="0.25">
      <c r="C146">
        <v>345</v>
      </c>
      <c r="D146">
        <v>966620145.11265123</v>
      </c>
    </row>
    <row r="147" spans="2:8" x14ac:dyDescent="0.25">
      <c r="C147">
        <v>350</v>
      </c>
      <c r="D147">
        <v>1164872967.1355598</v>
      </c>
    </row>
    <row r="149" spans="2:8" ht="18" thickBot="1" x14ac:dyDescent="0.35">
      <c r="B149" s="253" t="s">
        <v>133</v>
      </c>
      <c r="C149" s="253"/>
      <c r="D149" s="253"/>
      <c r="E149" s="253"/>
      <c r="F149" s="253"/>
      <c r="G149" s="253"/>
      <c r="H149" s="253"/>
    </row>
    <row r="150" spans="2:8" ht="16.5" thickTop="1" thickBot="1" x14ac:dyDescent="0.3">
      <c r="C150" s="96" t="s">
        <v>134</v>
      </c>
    </row>
    <row r="151" spans="2:8" ht="15.75" thickBot="1" x14ac:dyDescent="0.3">
      <c r="C151" s="179" t="s">
        <v>120</v>
      </c>
      <c r="D151" s="180">
        <v>311.16736846309885</v>
      </c>
      <c r="E151" s="96" t="s">
        <v>135</v>
      </c>
    </row>
    <row r="152" spans="2:8" ht="15.75" thickBot="1" x14ac:dyDescent="0.3">
      <c r="E152" s="96"/>
    </row>
    <row r="153" spans="2:8" ht="15.75" thickBot="1" x14ac:dyDescent="0.3">
      <c r="C153" s="252" t="s">
        <v>122</v>
      </c>
      <c r="D153" s="252"/>
      <c r="E153" s="252"/>
      <c r="F153" s="252"/>
    </row>
    <row r="154" spans="2:8" x14ac:dyDescent="0.25">
      <c r="C154" s="176">
        <f t="array" ref="C154:F157">$C$55:$F$58-D151*$C$61:$F$64</f>
        <v>-220.90271401865442</v>
      </c>
      <c r="D154" s="176">
        <v>50.894968888888897</v>
      </c>
      <c r="E154" s="176">
        <v>79.024093333333354</v>
      </c>
      <c r="F154" s="176">
        <v>40.179897777777782</v>
      </c>
    </row>
    <row r="155" spans="2:8" x14ac:dyDescent="0.25">
      <c r="C155" s="177">
        <v>50.894968888888897</v>
      </c>
      <c r="D155" s="177">
        <v>-203.94170624087661</v>
      </c>
      <c r="E155" s="177">
        <v>105.37893555555559</v>
      </c>
      <c r="F155" s="177">
        <v>30.985904444444444</v>
      </c>
    </row>
    <row r="156" spans="2:8" x14ac:dyDescent="0.25">
      <c r="C156" s="177">
        <v>79.024093333333354</v>
      </c>
      <c r="D156" s="177">
        <v>105.37893555555559</v>
      </c>
      <c r="E156" s="177">
        <v>-148.96258624087662</v>
      </c>
      <c r="F156" s="177">
        <v>56.536797777777792</v>
      </c>
    </row>
    <row r="157" spans="2:8" ht="15.75" thickBot="1" x14ac:dyDescent="0.3">
      <c r="C157" s="178">
        <v>40.179897777777782</v>
      </c>
      <c r="D157" s="178">
        <v>30.985904444444444</v>
      </c>
      <c r="E157" s="178">
        <v>56.536797777777792</v>
      </c>
      <c r="F157" s="178">
        <v>-242.91259512976552</v>
      </c>
    </row>
    <row r="158" spans="2:8" ht="15.75" thickBot="1" x14ac:dyDescent="0.3"/>
    <row r="159" spans="2:8" ht="15.75" thickBot="1" x14ac:dyDescent="0.3">
      <c r="C159" s="179" t="s">
        <v>124</v>
      </c>
      <c r="D159" s="175">
        <f t="array" ref="D159">MDETERM(C154:F157)</f>
        <v>1.2848150451773852E-6</v>
      </c>
      <c r="E159" s="96" t="s">
        <v>136</v>
      </c>
    </row>
    <row r="160" spans="2:8" x14ac:dyDescent="0.25">
      <c r="C160" s="96" t="s">
        <v>137</v>
      </c>
    </row>
    <row r="161" spans="2:9" x14ac:dyDescent="0.25">
      <c r="C161" s="96" t="s">
        <v>138</v>
      </c>
    </row>
    <row r="162" spans="2:9" x14ac:dyDescent="0.25">
      <c r="C162" s="96" t="s">
        <v>139</v>
      </c>
    </row>
    <row r="164" spans="2:9" ht="18" thickBot="1" x14ac:dyDescent="0.35">
      <c r="B164" s="253" t="s">
        <v>140</v>
      </c>
      <c r="C164" s="253"/>
      <c r="D164" s="253"/>
      <c r="E164" s="253"/>
      <c r="F164" s="253"/>
      <c r="G164" s="253"/>
      <c r="H164" s="253"/>
    </row>
    <row r="165" spans="2:9" ht="15.75" thickTop="1" x14ac:dyDescent="0.25">
      <c r="C165" s="96" t="s">
        <v>141</v>
      </c>
    </row>
    <row r="166" spans="2:9" x14ac:dyDescent="0.25">
      <c r="C166" s="96" t="s">
        <v>142</v>
      </c>
    </row>
    <row r="167" spans="2:9" x14ac:dyDescent="0.25">
      <c r="C167" s="96" t="s">
        <v>143</v>
      </c>
    </row>
    <row r="168" spans="2:9" x14ac:dyDescent="0.25">
      <c r="C168" s="140" t="s">
        <v>144</v>
      </c>
    </row>
    <row r="169" spans="2:9" x14ac:dyDescent="0.25">
      <c r="C169" s="181">
        <f t="array" ref="C169:F172">C154:F157</f>
        <v>-220.90271401865442</v>
      </c>
      <c r="D169" s="85">
        <v>50.894968888888897</v>
      </c>
      <c r="E169" s="85">
        <v>79.024093333333354</v>
      </c>
      <c r="F169" s="182">
        <v>40.179897777777782</v>
      </c>
    </row>
    <row r="170" spans="2:9" x14ac:dyDescent="0.25">
      <c r="C170" s="181">
        <v>50.894968888888897</v>
      </c>
      <c r="D170" s="85">
        <v>-203.94170624087661</v>
      </c>
      <c r="E170" s="85">
        <v>105.37893555555559</v>
      </c>
      <c r="F170" s="182">
        <v>30.985904444444444</v>
      </c>
    </row>
    <row r="171" spans="2:9" x14ac:dyDescent="0.25">
      <c r="C171" s="181">
        <v>79.024093333333354</v>
      </c>
      <c r="D171" s="85">
        <v>105.37893555555559</v>
      </c>
      <c r="E171" s="85">
        <v>-148.96258624087662</v>
      </c>
      <c r="F171" s="182">
        <v>56.536797777777792</v>
      </c>
    </row>
    <row r="172" spans="2:9" x14ac:dyDescent="0.25">
      <c r="C172" s="181">
        <v>40.179897777777782</v>
      </c>
      <c r="D172" s="85">
        <v>30.985904444444444</v>
      </c>
      <c r="E172" s="85">
        <v>56.536797777777792</v>
      </c>
      <c r="F172" s="182">
        <v>-242.91259512976552</v>
      </c>
      <c r="G172" s="96" t="s">
        <v>145</v>
      </c>
    </row>
    <row r="173" spans="2:9" x14ac:dyDescent="0.25">
      <c r="C173" s="85"/>
      <c r="D173" s="85"/>
      <c r="E173" s="85"/>
      <c r="F173" s="85"/>
      <c r="G173" s="96"/>
    </row>
    <row r="174" spans="2:9" x14ac:dyDescent="0.25">
      <c r="C174" s="140" t="s">
        <v>146</v>
      </c>
    </row>
    <row r="175" spans="2:9" x14ac:dyDescent="0.25">
      <c r="C175" s="181">
        <f t="array" ref="C175:F175">C169:F169</f>
        <v>-220.90271401865442</v>
      </c>
      <c r="D175" s="85">
        <v>50.894968888888897</v>
      </c>
      <c r="E175" s="85">
        <v>79.024093333333354</v>
      </c>
      <c r="F175" s="182">
        <v>40.179897777777782</v>
      </c>
      <c r="H175" s="96"/>
    </row>
    <row r="176" spans="2:9" x14ac:dyDescent="0.25">
      <c r="C176" s="183">
        <f t="array" ref="C176:F176">C170:F170-H176*$C$169:$F$169</f>
        <v>0</v>
      </c>
      <c r="D176" s="85">
        <v>-192.21573958760032</v>
      </c>
      <c r="E176" s="85">
        <v>123.58572305266627</v>
      </c>
      <c r="F176" s="182">
        <v>40.243168016072843</v>
      </c>
      <c r="G176" s="49" t="s">
        <v>147</v>
      </c>
      <c r="H176" s="96">
        <f>C170/$C$169</f>
        <v>-0.23039539878442147</v>
      </c>
      <c r="I176" s="96" t="s">
        <v>148</v>
      </c>
    </row>
    <row r="177" spans="3:9" x14ac:dyDescent="0.25">
      <c r="C177" s="183">
        <f t="array" ref="C177:F177">C171:F171-H177*$C$169:$F$169</f>
        <v>0</v>
      </c>
      <c r="D177" s="85">
        <v>123.58572305266627</v>
      </c>
      <c r="E177" s="85">
        <v>-120.69309505378314</v>
      </c>
      <c r="F177" s="182">
        <v>70.910455458809153</v>
      </c>
      <c r="G177" s="49" t="s">
        <v>149</v>
      </c>
      <c r="H177" s="96">
        <f>C171/$C$169</f>
        <v>-0.35773255971250795</v>
      </c>
      <c r="I177" s="96" t="s">
        <v>148</v>
      </c>
    </row>
    <row r="178" spans="3:9" x14ac:dyDescent="0.25">
      <c r="C178" s="183">
        <f t="array" ref="C178:F178">C172:F172-H178*$C$169:$F$169</f>
        <v>0</v>
      </c>
      <c r="D178" s="85">
        <v>40.243168016072843</v>
      </c>
      <c r="E178" s="85">
        <v>70.910455458809153</v>
      </c>
      <c r="F178" s="182">
        <v>-235.60429114353047</v>
      </c>
      <c r="G178" s="49" t="s">
        <v>150</v>
      </c>
      <c r="H178" s="96">
        <f>C172/$C$169</f>
        <v>-0.18188956145819349</v>
      </c>
      <c r="I178" s="96" t="s">
        <v>148</v>
      </c>
    </row>
    <row r="180" spans="3:9" x14ac:dyDescent="0.25">
      <c r="C180" s="181">
        <f t="array" ref="C180:F180">C175:F175</f>
        <v>-220.90271401865442</v>
      </c>
      <c r="D180" s="85">
        <v>50.894968888888897</v>
      </c>
      <c r="E180" s="85">
        <v>79.024093333333354</v>
      </c>
      <c r="F180" s="182">
        <v>40.179897777777782</v>
      </c>
      <c r="H180" s="96"/>
    </row>
    <row r="181" spans="3:9" x14ac:dyDescent="0.25">
      <c r="C181" s="183">
        <f t="array" ref="C181:F181">C176:F176</f>
        <v>0</v>
      </c>
      <c r="D181" s="85">
        <v>-192.21573958760032</v>
      </c>
      <c r="E181" s="85">
        <v>123.58572305266627</v>
      </c>
      <c r="F181" s="182">
        <v>40.243168016072843</v>
      </c>
      <c r="G181" s="49"/>
      <c r="H181" s="96"/>
      <c r="I181" s="96"/>
    </row>
    <row r="182" spans="3:9" x14ac:dyDescent="0.25">
      <c r="C182" s="183">
        <f t="array" ref="C182:F182">C177:F177-H182*$C$176:$F$176</f>
        <v>0</v>
      </c>
      <c r="D182">
        <v>0</v>
      </c>
      <c r="E182" s="85">
        <v>-41.233260103640475</v>
      </c>
      <c r="F182" s="182">
        <v>96.78492873486303</v>
      </c>
      <c r="G182" s="49" t="s">
        <v>149</v>
      </c>
      <c r="H182" s="96">
        <f t="shared" ref="H182:H183" si="10">D177/$D$176</f>
        <v>-0.64295319060665868</v>
      </c>
      <c r="I182" s="96" t="s">
        <v>151</v>
      </c>
    </row>
    <row r="183" spans="3:9" x14ac:dyDescent="0.25">
      <c r="C183" s="183">
        <f t="array" ref="C183:F183">C178:F178-H183*$C$176:$F$176</f>
        <v>0</v>
      </c>
      <c r="D183">
        <v>0</v>
      </c>
      <c r="E183" s="85">
        <v>96.78492873486303</v>
      </c>
      <c r="F183" s="182">
        <v>-227.17879708438349</v>
      </c>
      <c r="G183" s="49" t="s">
        <v>150</v>
      </c>
      <c r="H183" s="96">
        <f t="shared" si="10"/>
        <v>-0.20936458222627724</v>
      </c>
      <c r="I183" s="96" t="s">
        <v>151</v>
      </c>
    </row>
    <row r="185" spans="3:9" x14ac:dyDescent="0.25">
      <c r="C185" s="181">
        <f t="array" ref="C185:F185">C180:F180</f>
        <v>-220.90271401865442</v>
      </c>
      <c r="D185" s="85">
        <v>50.894968888888897</v>
      </c>
      <c r="E185" s="85">
        <v>79.024093333333354</v>
      </c>
      <c r="F185" s="182">
        <v>40.179897777777782</v>
      </c>
    </row>
    <row r="186" spans="3:9" x14ac:dyDescent="0.25">
      <c r="C186" s="183">
        <f t="array" ref="C186:F186">C181:F181</f>
        <v>0</v>
      </c>
      <c r="D186" s="85">
        <v>-192.21573958760032</v>
      </c>
      <c r="E186" s="85">
        <v>123.58572305266627</v>
      </c>
      <c r="F186" s="182">
        <v>40.243168016072843</v>
      </c>
      <c r="G186" s="49"/>
      <c r="I186" s="96"/>
    </row>
    <row r="187" spans="3:9" x14ac:dyDescent="0.25">
      <c r="C187" s="183">
        <f t="array" ref="C187:F187">C182:F182</f>
        <v>0</v>
      </c>
      <c r="D187">
        <v>0</v>
      </c>
      <c r="E187" s="85">
        <v>-41.233260103640475</v>
      </c>
      <c r="F187" s="182">
        <v>96.78492873486303</v>
      </c>
      <c r="G187" s="49"/>
      <c r="I187" s="96"/>
    </row>
    <row r="188" spans="3:9" x14ac:dyDescent="0.25">
      <c r="C188" s="183">
        <f t="array" ref="C188:F188">C183:F183-H188*$C$182:$F$182</f>
        <v>0</v>
      </c>
      <c r="D188">
        <v>0</v>
      </c>
      <c r="E188">
        <v>0</v>
      </c>
      <c r="F188" s="184">
        <v>-7.1054273576010019E-13</v>
      </c>
      <c r="G188" s="49" t="s">
        <v>150</v>
      </c>
      <c r="H188" s="96">
        <f>E183/$E$182</f>
        <v>-2.3472538550576045</v>
      </c>
      <c r="I188" s="96" t="s">
        <v>152</v>
      </c>
    </row>
    <row r="189" spans="3:9" x14ac:dyDescent="0.25">
      <c r="F189" s="96" t="s">
        <v>153</v>
      </c>
    </row>
    <row r="190" spans="3:9" x14ac:dyDescent="0.25">
      <c r="F190" s="96"/>
    </row>
    <row r="191" spans="3:9" x14ac:dyDescent="0.25">
      <c r="C191" s="183">
        <f t="array" ref="C191:F191">C185:F185*H191</f>
        <v>1</v>
      </c>
      <c r="D191" s="85">
        <v>-0.23039539878442147</v>
      </c>
      <c r="E191" s="85">
        <v>-0.35773255971250789</v>
      </c>
      <c r="F191" s="182">
        <v>-0.18188956145819346</v>
      </c>
      <c r="H191" s="96">
        <f>1/C185</f>
        <v>-4.5268796467369506E-3</v>
      </c>
      <c r="I191" s="96" t="s">
        <v>148</v>
      </c>
    </row>
    <row r="192" spans="3:9" x14ac:dyDescent="0.25">
      <c r="C192" s="183">
        <f t="array" ref="C192:F192">C186:F186*H192</f>
        <v>0</v>
      </c>
      <c r="D192">
        <v>1</v>
      </c>
      <c r="E192" s="85">
        <v>-0.64295319060665879</v>
      </c>
      <c r="F192" s="182">
        <v>-0.20936458222627727</v>
      </c>
      <c r="H192" s="96">
        <f>1/D186</f>
        <v>-5.2024875910032355E-3</v>
      </c>
      <c r="I192" s="96" t="s">
        <v>151</v>
      </c>
    </row>
    <row r="193" spans="3:9" x14ac:dyDescent="0.25">
      <c r="C193" s="183">
        <f t="array" ref="C193:F193">C187:F187*H193</f>
        <v>0</v>
      </c>
      <c r="D193">
        <v>0</v>
      </c>
      <c r="E193">
        <v>1</v>
      </c>
      <c r="F193" s="182">
        <v>-2.3472538550576045</v>
      </c>
      <c r="H193" s="96">
        <f>1/E187</f>
        <v>-2.4252266192061545E-2</v>
      </c>
      <c r="I193" s="96" t="s">
        <v>152</v>
      </c>
    </row>
    <row r="194" spans="3:9" x14ac:dyDescent="0.25">
      <c r="C194" s="183">
        <f t="array" ref="C194:F194">C188:F188</f>
        <v>0</v>
      </c>
      <c r="D194">
        <v>0</v>
      </c>
      <c r="E194">
        <v>0</v>
      </c>
      <c r="F194" s="182">
        <v>-7.1054273576010019E-13</v>
      </c>
      <c r="H194" s="96"/>
      <c r="I194" s="96"/>
    </row>
    <row r="196" spans="3:9" x14ac:dyDescent="0.25">
      <c r="C196" s="183">
        <f t="array" ref="C196:F196">C191:F191-H196*$C$198:$F$198</f>
        <v>1</v>
      </c>
      <c r="D196" s="85">
        <v>-0.23039539878442147</v>
      </c>
      <c r="E196">
        <v>0</v>
      </c>
      <c r="F196" s="182">
        <v>-1.0215786913230023</v>
      </c>
      <c r="G196" s="185" t="s">
        <v>154</v>
      </c>
      <c r="H196" s="96">
        <f>E191/$E$193</f>
        <v>-0.35773255971250789</v>
      </c>
      <c r="I196" s="96" t="s">
        <v>152</v>
      </c>
    </row>
    <row r="197" spans="3:9" x14ac:dyDescent="0.25">
      <c r="C197" s="183">
        <f t="array" ref="C197:F197">C192:F192-H197*$C$198:$F$198</f>
        <v>0</v>
      </c>
      <c r="D197">
        <v>1</v>
      </c>
      <c r="E197">
        <v>0</v>
      </c>
      <c r="F197" s="182">
        <v>-1.7185389374993438</v>
      </c>
      <c r="G197" s="49" t="s">
        <v>147</v>
      </c>
      <c r="H197" s="96">
        <f>E192/$E$193</f>
        <v>-0.64295319060665879</v>
      </c>
      <c r="I197" s="96" t="s">
        <v>152</v>
      </c>
    </row>
    <row r="198" spans="3:9" x14ac:dyDescent="0.25">
      <c r="C198" s="183">
        <f t="array" ref="C198:F198">C193:F193</f>
        <v>0</v>
      </c>
      <c r="D198">
        <v>0</v>
      </c>
      <c r="E198">
        <v>1</v>
      </c>
      <c r="F198" s="182">
        <v>-2.3472538550576045</v>
      </c>
    </row>
    <row r="199" spans="3:9" x14ac:dyDescent="0.25">
      <c r="C199" s="183">
        <f t="array" ref="C199:F199">C194:F194</f>
        <v>0</v>
      </c>
      <c r="D199">
        <v>0</v>
      </c>
      <c r="E199">
        <v>0</v>
      </c>
      <c r="F199" s="182">
        <v>-7.1054273576010019E-13</v>
      </c>
    </row>
    <row r="201" spans="3:9" x14ac:dyDescent="0.25">
      <c r="C201" s="183">
        <f t="array" ref="C201:F201">C196:F196-H201*$C$197:$F$197</f>
        <v>1</v>
      </c>
      <c r="D201">
        <v>0</v>
      </c>
      <c r="E201">
        <v>0</v>
      </c>
      <c r="F201" s="182">
        <v>-1.4175221551547197</v>
      </c>
      <c r="G201" s="185" t="s">
        <v>154</v>
      </c>
      <c r="H201" s="96">
        <f>D196/$D$197</f>
        <v>-0.23039539878442147</v>
      </c>
      <c r="I201" s="96" t="s">
        <v>151</v>
      </c>
    </row>
    <row r="202" spans="3:9" x14ac:dyDescent="0.25">
      <c r="C202" s="183">
        <f t="array" ref="C202:F202">C197:F197</f>
        <v>0</v>
      </c>
      <c r="D202">
        <v>1</v>
      </c>
      <c r="E202">
        <v>0</v>
      </c>
      <c r="F202" s="182">
        <v>-1.7185389374993438</v>
      </c>
    </row>
    <row r="203" spans="3:9" x14ac:dyDescent="0.25">
      <c r="C203" s="183">
        <f t="array" ref="C203:F203">C198:F198</f>
        <v>0</v>
      </c>
      <c r="D203">
        <v>0</v>
      </c>
      <c r="E203">
        <v>1</v>
      </c>
      <c r="F203" s="182">
        <v>-2.3472538550576045</v>
      </c>
    </row>
    <row r="204" spans="3:9" x14ac:dyDescent="0.25">
      <c r="C204" s="183">
        <f t="array" ref="C204:F204">C199:F199</f>
        <v>0</v>
      </c>
      <c r="D204">
        <v>0</v>
      </c>
      <c r="E204">
        <v>0</v>
      </c>
      <c r="F204" s="182">
        <v>-7.1054273576010019E-13</v>
      </c>
    </row>
    <row r="206" spans="3:9" x14ac:dyDescent="0.25">
      <c r="C206" s="140" t="s">
        <v>155</v>
      </c>
    </row>
    <row r="207" spans="3:9" x14ac:dyDescent="0.25">
      <c r="C207" s="186">
        <f t="shared" ref="C207:C208" si="11">-F201</f>
        <v>1.4175221551547197</v>
      </c>
      <c r="D207" s="96"/>
    </row>
    <row r="208" spans="3:9" x14ac:dyDescent="0.25">
      <c r="C208" s="186">
        <f t="shared" si="11"/>
        <v>1.7185389374993438</v>
      </c>
      <c r="D208" s="96"/>
    </row>
    <row r="209" spans="2:8" x14ac:dyDescent="0.25">
      <c r="C209" s="186">
        <f>-F203</f>
        <v>2.3472538550576045</v>
      </c>
      <c r="D209" s="96"/>
    </row>
    <row r="210" spans="2:8" ht="15.75" thickBot="1" x14ac:dyDescent="0.3">
      <c r="C210" s="187">
        <v>1</v>
      </c>
      <c r="D210" s="96" t="s">
        <v>156</v>
      </c>
    </row>
    <row r="211" spans="2:8" ht="15.75" thickTop="1" x14ac:dyDescent="0.25">
      <c r="C211" s="186">
        <f>SUM(C207:C210)</f>
        <v>6.4833149477116683</v>
      </c>
      <c r="D211" s="96" t="s">
        <v>27</v>
      </c>
    </row>
    <row r="213" spans="2:8" x14ac:dyDescent="0.25">
      <c r="C213" s="140" t="s">
        <v>157</v>
      </c>
      <c r="F213" s="96"/>
    </row>
    <row r="214" spans="2:8" x14ac:dyDescent="0.25">
      <c r="C214" s="188">
        <f t="array" ref="C214:C217">C207:C210/$C$211</f>
        <v>0.21864156941119206</v>
      </c>
      <c r="D214" s="96" t="s">
        <v>158</v>
      </c>
    </row>
    <row r="215" spans="2:8" x14ac:dyDescent="0.25">
      <c r="C215" s="188">
        <v>0.26507102483212147</v>
      </c>
      <c r="D215" s="96" t="s">
        <v>159</v>
      </c>
    </row>
    <row r="216" spans="2:8" x14ac:dyDescent="0.25">
      <c r="C216" s="188">
        <v>0.36204532310837134</v>
      </c>
      <c r="D216" s="96" t="s">
        <v>160</v>
      </c>
    </row>
    <row r="217" spans="2:8" ht="15.75" thickBot="1" x14ac:dyDescent="0.3">
      <c r="C217" s="189">
        <v>0.15424208264831513</v>
      </c>
      <c r="D217" s="96" t="s">
        <v>161</v>
      </c>
    </row>
    <row r="218" spans="2:8" ht="15.75" thickTop="1" x14ac:dyDescent="0.25">
      <c r="C218">
        <f>SUM(C214:C217)</f>
        <v>1</v>
      </c>
      <c r="D218" s="96" t="s">
        <v>162</v>
      </c>
    </row>
    <row r="220" spans="2:8" ht="18" thickBot="1" x14ac:dyDescent="0.35">
      <c r="B220" s="253" t="s">
        <v>163</v>
      </c>
      <c r="C220" s="253"/>
      <c r="D220" s="253"/>
      <c r="E220" s="253"/>
      <c r="F220" s="253"/>
      <c r="G220" s="253"/>
      <c r="H220" s="253"/>
    </row>
    <row r="221" spans="2:8" ht="16.5" thickTop="1" thickBot="1" x14ac:dyDescent="0.3"/>
    <row r="222" spans="2:8" ht="15.75" thickBot="1" x14ac:dyDescent="0.3">
      <c r="B222" s="44" t="s">
        <v>105</v>
      </c>
      <c r="C222" s="44" t="s">
        <v>106</v>
      </c>
      <c r="D222" s="44" t="s">
        <v>107</v>
      </c>
      <c r="E222" s="44" t="s">
        <v>108</v>
      </c>
      <c r="F222" s="44" t="s">
        <v>109</v>
      </c>
      <c r="G222" s="44" t="s">
        <v>164</v>
      </c>
      <c r="H222" s="96" t="s">
        <v>165</v>
      </c>
    </row>
    <row r="223" spans="2:8" x14ac:dyDescent="0.25">
      <c r="B223" s="160">
        <v>1</v>
      </c>
      <c r="C223" s="161">
        <v>11.91</v>
      </c>
      <c r="D223" s="161">
        <v>29.59</v>
      </c>
      <c r="E223" s="161">
        <v>23.27</v>
      </c>
      <c r="F223" s="161">
        <v>27.24</v>
      </c>
      <c r="G223" s="190">
        <f t="array" ref="G223">MMULT(C223:F223,$C$214:$C$217)</f>
        <v>23.07382171654168</v>
      </c>
      <c r="H223" s="85"/>
    </row>
    <row r="224" spans="2:8" x14ac:dyDescent="0.25">
      <c r="B224">
        <v>2</v>
      </c>
      <c r="C224" s="85">
        <v>18.37</v>
      </c>
      <c r="D224" s="85">
        <v>15.25</v>
      </c>
      <c r="E224" s="85">
        <v>19.47</v>
      </c>
      <c r="F224" s="85">
        <v>17.05</v>
      </c>
      <c r="G224" s="191">
        <f t="array" ref="G224">MMULT(C224:F224,$C$214:$C$217)</f>
        <v>17.737628708847215</v>
      </c>
      <c r="H224" s="85"/>
    </row>
    <row r="225" spans="2:8" x14ac:dyDescent="0.25">
      <c r="B225">
        <v>3</v>
      </c>
      <c r="C225" s="85">
        <v>3.64</v>
      </c>
      <c r="D225" s="85">
        <v>3.53</v>
      </c>
      <c r="E225" s="85">
        <v>-6.58</v>
      </c>
      <c r="F225" s="85">
        <v>10.199999999999999</v>
      </c>
      <c r="G225" s="191">
        <f t="array" ref="G225">MMULT(C225:F225,$C$214:$C$217)</f>
        <v>0.92256704727385852</v>
      </c>
      <c r="H225" s="85"/>
    </row>
    <row r="226" spans="2:8" x14ac:dyDescent="0.25">
      <c r="B226">
        <v>4</v>
      </c>
      <c r="C226" s="85">
        <v>24.37</v>
      </c>
      <c r="D226" s="85">
        <v>17.670000000000002</v>
      </c>
      <c r="E226" s="85">
        <v>15.08</v>
      </c>
      <c r="F226" s="85">
        <v>20.260000000000002</v>
      </c>
      <c r="G226" s="191">
        <f t="array" ref="G226">MMULT(C226:F226,$C$214:$C$217)</f>
        <v>18.596688122263441</v>
      </c>
      <c r="H226" s="85"/>
    </row>
    <row r="227" spans="2:8" x14ac:dyDescent="0.25">
      <c r="B227">
        <v>5</v>
      </c>
      <c r="C227" s="85">
        <v>30.42</v>
      </c>
      <c r="D227" s="85">
        <v>12.74</v>
      </c>
      <c r="E227" s="85">
        <v>16.239999999999998</v>
      </c>
      <c r="F227" s="85">
        <v>19.84</v>
      </c>
      <c r="G227" s="191">
        <f t="array" ref="G227">MMULT(C227:F227,$C$214:$C$217)</f>
        <v>18.967860364872209</v>
      </c>
      <c r="H227" s="85"/>
    </row>
    <row r="228" spans="2:8" x14ac:dyDescent="0.25">
      <c r="B228">
        <v>6</v>
      </c>
      <c r="C228" s="85">
        <v>-1.45</v>
      </c>
      <c r="D228" s="85">
        <v>-2.56</v>
      </c>
      <c r="E228" s="85">
        <v>-15.05</v>
      </c>
      <c r="F228" s="85">
        <v>1.51</v>
      </c>
      <c r="G228" s="191">
        <f t="array" ref="G228">MMULT(C228:F228,$C$214:$C$217)</f>
        <v>-6.2114886671984921</v>
      </c>
      <c r="H228" s="85"/>
    </row>
    <row r="229" spans="2:8" x14ac:dyDescent="0.25">
      <c r="B229">
        <v>7</v>
      </c>
      <c r="C229" s="85">
        <v>20.11</v>
      </c>
      <c r="D229" s="85">
        <v>25.46</v>
      </c>
      <c r="E229" s="85">
        <v>17.8</v>
      </c>
      <c r="F229" s="85">
        <v>12.24</v>
      </c>
      <c r="G229" s="191">
        <f t="array" ref="G229">MMULT(C229:F229,$C$214:$C$217)</f>
        <v>19.477920096029273</v>
      </c>
      <c r="H229" s="85"/>
    </row>
    <row r="230" spans="2:8" x14ac:dyDescent="0.25">
      <c r="B230">
        <v>8</v>
      </c>
      <c r="C230" s="85">
        <v>9.2799999999999994</v>
      </c>
      <c r="D230" s="85">
        <v>6.92</v>
      </c>
      <c r="E230" s="85">
        <v>18.82</v>
      </c>
      <c r="F230" s="85">
        <v>16.12</v>
      </c>
      <c r="G230" s="191">
        <f t="array" ref="G230">MMULT(C230:F230,$C$214:$C$217)</f>
        <v>13.163360609164531</v>
      </c>
      <c r="H230" s="85"/>
    </row>
    <row r="231" spans="2:8" x14ac:dyDescent="0.25">
      <c r="B231">
        <v>9</v>
      </c>
      <c r="C231" s="85">
        <v>17.63</v>
      </c>
      <c r="D231" s="85">
        <v>9.73</v>
      </c>
      <c r="E231" s="85">
        <v>3.05</v>
      </c>
      <c r="F231" s="85">
        <v>22.93</v>
      </c>
      <c r="G231" s="191">
        <f t="array" ref="G231">MMULT(C231:F231,$C$214:$C$217)</f>
        <v>11.074801130942257</v>
      </c>
      <c r="H231" s="85"/>
    </row>
    <row r="232" spans="2:8" ht="15.75" thickBot="1" x14ac:dyDescent="0.3">
      <c r="B232" s="163">
        <v>10</v>
      </c>
      <c r="C232" s="164">
        <v>15.71</v>
      </c>
      <c r="D232" s="164">
        <v>25.09</v>
      </c>
      <c r="E232" s="164">
        <v>16.940000000000001</v>
      </c>
      <c r="F232" s="164">
        <v>3.49</v>
      </c>
      <c r="G232" s="192">
        <f t="array" ref="G232">MMULT(C232:F232,$C$214:$C$217)</f>
        <v>16.756843710386185</v>
      </c>
      <c r="H232" s="85"/>
    </row>
    <row r="233" spans="2:8" x14ac:dyDescent="0.25">
      <c r="B233" s="165" t="s">
        <v>112</v>
      </c>
      <c r="C233" s="85">
        <f>AVERAGE(C223:C232)</f>
        <v>14.999000000000001</v>
      </c>
      <c r="D233" s="85">
        <f t="shared" ref="D233:G233" si="12">AVERAGE(D223:D232)</f>
        <v>14.342000000000002</v>
      </c>
      <c r="E233" s="85">
        <f t="shared" si="12"/>
        <v>10.903999999999998</v>
      </c>
      <c r="F233" s="85">
        <f t="shared" si="12"/>
        <v>15.088000000000003</v>
      </c>
      <c r="G233" s="85">
        <f t="shared" si="12"/>
        <v>13.356000283912218</v>
      </c>
    </row>
    <row r="234" spans="2:8" x14ac:dyDescent="0.25">
      <c r="B234" s="165" t="s">
        <v>47</v>
      </c>
      <c r="C234" s="85">
        <f>_xlfn.VAR.S(C223:C232)</f>
        <v>90.264654444444403</v>
      </c>
      <c r="D234" s="85">
        <f t="shared" ref="D234:G234" si="13">_xlfn.VAR.S(D223:D232)</f>
        <v>107.22566222222223</v>
      </c>
      <c r="E234" s="85">
        <f t="shared" si="13"/>
        <v>162.20478222222221</v>
      </c>
      <c r="F234" s="85">
        <f t="shared" si="13"/>
        <v>68.254773333333304</v>
      </c>
      <c r="G234" s="85">
        <f t="shared" si="13"/>
        <v>84.928223039660907</v>
      </c>
    </row>
    <row r="235" spans="2:8" x14ac:dyDescent="0.25">
      <c r="B235" s="165" t="s">
        <v>113</v>
      </c>
      <c r="C235" s="85">
        <f>_xlfn.COVARIANCE.S(C223:C232,$G223:$G232)</f>
        <v>68.034121790322587</v>
      </c>
      <c r="D235" s="85">
        <f t="shared" ref="D235:F235" si="14">_xlfn.COVARIANCE.S(D223:D232,$G223:$G232)</f>
        <v>82.481453252827976</v>
      </c>
      <c r="E235" s="85">
        <f t="shared" si="14"/>
        <v>112.65669045600426</v>
      </c>
      <c r="F235" s="85">
        <f t="shared" si="14"/>
        <v>47.995102963943907</v>
      </c>
      <c r="G235" s="85">
        <f>_xlfn.COVARIANCE.S(G223:G232,$G223:$G232)</f>
        <v>84.928223039661006</v>
      </c>
    </row>
    <row r="236" spans="2:8" x14ac:dyDescent="0.25">
      <c r="B236" s="166" t="s">
        <v>166</v>
      </c>
      <c r="C236" s="85">
        <f>C235/$G235</f>
        <v>0.80107789089795312</v>
      </c>
      <c r="D236" s="85">
        <f t="shared" ref="D236:G236" si="15">D235/$G235</f>
        <v>0.9711901450511875</v>
      </c>
      <c r="E236" s="85">
        <f t="shared" si="15"/>
        <v>1.3264929657529065</v>
      </c>
      <c r="F236" s="85">
        <f t="shared" si="15"/>
        <v>0.56512548180279787</v>
      </c>
      <c r="G236" s="85">
        <f t="shared" si="15"/>
        <v>1</v>
      </c>
    </row>
    <row r="237" spans="2:8" x14ac:dyDescent="0.25">
      <c r="B237" s="166" t="s">
        <v>167</v>
      </c>
      <c r="C237" s="85">
        <f>C233-C236*$G233</f>
        <v>4.2998034617311376</v>
      </c>
      <c r="D237" s="85">
        <f t="shared" ref="D237:G237" si="16">D233-D236*$G233</f>
        <v>1.3707841469635937</v>
      </c>
      <c r="E237" s="85">
        <f t="shared" si="16"/>
        <v>-6.812640427203382</v>
      </c>
      <c r="F237" s="85">
        <f t="shared" si="16"/>
        <v>7.5401839045958052</v>
      </c>
      <c r="G237" s="85">
        <f t="shared" si="16"/>
        <v>0</v>
      </c>
    </row>
    <row r="238" spans="2:8" ht="15.75" thickBot="1" x14ac:dyDescent="0.3">
      <c r="B238" s="167" t="s">
        <v>116</v>
      </c>
      <c r="C238" s="192">
        <f>C234-C236^2*$G234</f>
        <v>35.764023651558375</v>
      </c>
      <c r="D238" s="192">
        <f t="shared" ref="D238:F238" si="17">D234-D236^2*$G234</f>
        <v>27.120487673575582</v>
      </c>
      <c r="E238" s="192">
        <f t="shared" si="17"/>
        <v>12.766474787330139</v>
      </c>
      <c r="F238" s="192">
        <f t="shared" si="17"/>
        <v>41.131517646659645</v>
      </c>
      <c r="G238" s="164"/>
    </row>
    <row r="239" spans="2:8" x14ac:dyDescent="0.25">
      <c r="B239" s="96" t="s">
        <v>168</v>
      </c>
    </row>
    <row r="241" spans="2:8" ht="18" thickBot="1" x14ac:dyDescent="0.35">
      <c r="B241" s="253" t="s">
        <v>169</v>
      </c>
      <c r="C241" s="253"/>
      <c r="D241" s="253"/>
      <c r="E241" s="253"/>
      <c r="F241" s="253"/>
      <c r="G241" s="253"/>
      <c r="H241" s="253"/>
    </row>
    <row r="242" spans="2:8" ht="16.5" thickTop="1" thickBot="1" x14ac:dyDescent="0.3"/>
    <row r="243" spans="2:8" ht="15.75" thickBot="1" x14ac:dyDescent="0.3">
      <c r="B243" s="44" t="s">
        <v>105</v>
      </c>
      <c r="C243" s="44" t="s">
        <v>170</v>
      </c>
      <c r="D243" s="44" t="s">
        <v>110</v>
      </c>
      <c r="E243" s="44" t="s">
        <v>171</v>
      </c>
      <c r="F243" s="193" t="s">
        <v>172</v>
      </c>
    </row>
    <row r="244" spans="2:8" x14ac:dyDescent="0.25">
      <c r="B244" s="160">
        <v>1</v>
      </c>
      <c r="C244" s="161">
        <f t="array" ref="C244:C253">G223:G232</f>
        <v>23.07382171654168</v>
      </c>
      <c r="D244" s="161">
        <v>23</v>
      </c>
      <c r="E244" s="190">
        <f t="array" ref="E244:E253">C244:C253-D244:D253</f>
        <v>7.3821716541679905E-2</v>
      </c>
    </row>
    <row r="245" spans="2:8" x14ac:dyDescent="0.25">
      <c r="B245">
        <v>2</v>
      </c>
      <c r="C245" s="85">
        <v>17.737628708847215</v>
      </c>
      <c r="D245" s="85">
        <v>17.54</v>
      </c>
      <c r="E245" s="191">
        <v>0.19762870884721551</v>
      </c>
    </row>
    <row r="246" spans="2:8" x14ac:dyDescent="0.25">
      <c r="B246">
        <v>3</v>
      </c>
      <c r="C246" s="85">
        <v>0.92256704727385852</v>
      </c>
      <c r="D246" s="85">
        <v>2.7</v>
      </c>
      <c r="E246" s="191">
        <v>-1.7774329527261417</v>
      </c>
    </row>
    <row r="247" spans="2:8" x14ac:dyDescent="0.25">
      <c r="B247">
        <v>4</v>
      </c>
      <c r="C247" s="85">
        <v>18.596688122263441</v>
      </c>
      <c r="D247" s="85">
        <v>19.34</v>
      </c>
      <c r="E247" s="191">
        <v>-0.74331187773655927</v>
      </c>
    </row>
    <row r="248" spans="2:8" x14ac:dyDescent="0.25">
      <c r="B248">
        <v>5</v>
      </c>
      <c r="C248" s="85">
        <v>18.967860364872209</v>
      </c>
      <c r="D248" s="85">
        <v>19.809999999999999</v>
      </c>
      <c r="E248" s="191">
        <v>-0.84213963512778989</v>
      </c>
    </row>
    <row r="249" spans="2:8" x14ac:dyDescent="0.25">
      <c r="B249">
        <v>6</v>
      </c>
      <c r="C249" s="85">
        <v>-6.2114886671984921</v>
      </c>
      <c r="D249" s="85">
        <v>-4.3899999999999997</v>
      </c>
      <c r="E249" s="191">
        <v>-1.8214886671984925</v>
      </c>
    </row>
    <row r="250" spans="2:8" x14ac:dyDescent="0.25">
      <c r="B250">
        <v>7</v>
      </c>
      <c r="C250" s="85">
        <v>19.477920096029273</v>
      </c>
      <c r="D250" s="85">
        <v>18.899999999999999</v>
      </c>
      <c r="E250" s="191">
        <v>0.57792009602927408</v>
      </c>
    </row>
    <row r="251" spans="2:8" x14ac:dyDescent="0.25">
      <c r="B251">
        <v>8</v>
      </c>
      <c r="C251" s="85">
        <v>13.163360609164531</v>
      </c>
      <c r="D251" s="85">
        <v>12.78</v>
      </c>
      <c r="E251" s="191">
        <v>0.38336060916453185</v>
      </c>
    </row>
    <row r="252" spans="2:8" x14ac:dyDescent="0.25">
      <c r="B252">
        <v>9</v>
      </c>
      <c r="C252" s="85">
        <v>11.074801130942257</v>
      </c>
      <c r="D252" s="85">
        <v>13.34</v>
      </c>
      <c r="E252" s="191">
        <v>-2.2651988690577429</v>
      </c>
    </row>
    <row r="253" spans="2:8" ht="15.75" thickBot="1" x14ac:dyDescent="0.3">
      <c r="B253" s="163">
        <v>10</v>
      </c>
      <c r="C253" s="164">
        <v>16.756843710386185</v>
      </c>
      <c r="D253" s="164">
        <v>15.31</v>
      </c>
      <c r="E253" s="192">
        <v>1.4468437103861849</v>
      </c>
    </row>
    <row r="254" spans="2:8" x14ac:dyDescent="0.25">
      <c r="B254" s="165" t="s">
        <v>112</v>
      </c>
      <c r="C254" s="85">
        <f t="shared" ref="C254" si="18">AVERAGE(C244:C253)</f>
        <v>13.356000283912218</v>
      </c>
      <c r="D254" s="85">
        <f>AVERAGE(D244:D253)</f>
        <v>13.833000000000002</v>
      </c>
      <c r="E254" s="191">
        <f>AVERAGE(E244:E253)</f>
        <v>-0.47699971608778402</v>
      </c>
      <c r="F254" s="96" t="s">
        <v>173</v>
      </c>
    </row>
    <row r="255" spans="2:8" x14ac:dyDescent="0.25">
      <c r="B255" s="165" t="s">
        <v>47</v>
      </c>
      <c r="C255" s="85">
        <f t="shared" ref="C255" si="19">_xlfn.VAR.S(C244:C253)</f>
        <v>84.928223039660907</v>
      </c>
      <c r="D255" s="85">
        <f>_xlfn.VAR.S(D244:D253)</f>
        <v>72.117401111110951</v>
      </c>
      <c r="E255" s="85">
        <f>_xlfn.VAR.S(E244:E253)</f>
        <v>1.4681621858266962</v>
      </c>
      <c r="F255" s="96" t="s">
        <v>174</v>
      </c>
    </row>
    <row r="256" spans="2:8" x14ac:dyDescent="0.25">
      <c r="B256" s="165" t="s">
        <v>113</v>
      </c>
      <c r="C256" s="85">
        <f>_xlfn.COVARIANCE.S(C244:C253,$C244:$C253)</f>
        <v>84.928223039661006</v>
      </c>
      <c r="D256" s="85">
        <f>_xlfn.COVARIANCE.S(D244:D253,$C244:$C253)</f>
        <v>77.788730982472714</v>
      </c>
      <c r="E256" s="85"/>
      <c r="F256" s="96" t="s">
        <v>175</v>
      </c>
    </row>
    <row r="257" spans="2:5" x14ac:dyDescent="0.25">
      <c r="B257" s="166" t="s">
        <v>166</v>
      </c>
      <c r="C257" s="85">
        <f>C256/$C256</f>
        <v>1</v>
      </c>
      <c r="D257" s="85">
        <f>D256/$C256</f>
        <v>0.91593498837419229</v>
      </c>
      <c r="E257" s="85"/>
    </row>
    <row r="258" spans="2:5" x14ac:dyDescent="0.25">
      <c r="B258" s="166" t="s">
        <v>167</v>
      </c>
      <c r="C258" s="85">
        <f>C254-C257*$C254</f>
        <v>0</v>
      </c>
      <c r="D258" s="85">
        <f>D254-D257*$C254</f>
        <v>1.5997720352291562</v>
      </c>
      <c r="E258" s="85"/>
    </row>
    <row r="259" spans="2:5" ht="15.75" thickBot="1" x14ac:dyDescent="0.3">
      <c r="B259" s="167" t="s">
        <v>116</v>
      </c>
      <c r="C259" s="164"/>
      <c r="D259" s="164">
        <f>D255-D257^2*$C255</f>
        <v>0.86798070303672148</v>
      </c>
    </row>
  </sheetData>
  <mergeCells count="17">
    <mergeCell ref="C153:F153"/>
    <mergeCell ref="B164:H164"/>
    <mergeCell ref="B220:H220"/>
    <mergeCell ref="B241:H241"/>
    <mergeCell ref="B32:H32"/>
    <mergeCell ref="B52:H52"/>
    <mergeCell ref="C54:F54"/>
    <mergeCell ref="C60:F60"/>
    <mergeCell ref="C68:F68"/>
    <mergeCell ref="B149:H149"/>
    <mergeCell ref="H18:K18"/>
    <mergeCell ref="H20:L20"/>
    <mergeCell ref="A1:T2"/>
    <mergeCell ref="C4:F4"/>
    <mergeCell ref="H6:K6"/>
    <mergeCell ref="N6:P6"/>
    <mergeCell ref="N12:P12"/>
  </mergeCells>
  <conditionalFormatting sqref="D77:D147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4132-3DC7-47B5-BB22-9936835129C5}">
  <dimension ref="A1:X116"/>
  <sheetViews>
    <sheetView showGridLines="0" workbookViewId="0">
      <selection sqref="A1:T2"/>
    </sheetView>
  </sheetViews>
  <sheetFormatPr defaultRowHeight="15" x14ac:dyDescent="0.25"/>
  <cols>
    <col min="1" max="1" width="2.85546875" customWidth="1"/>
    <col min="2" max="2" width="17.7109375" customWidth="1"/>
    <col min="3" max="9" width="12.140625" customWidth="1"/>
  </cols>
  <sheetData>
    <row r="1" spans="1:20" x14ac:dyDescent="0.25">
      <c r="A1" s="230" t="s">
        <v>242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</row>
    <row r="2" spans="1:20" x14ac:dyDescent="0.25">
      <c r="A2" s="230"/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</row>
    <row r="4" spans="1:20" x14ac:dyDescent="0.25">
      <c r="A4" s="225" t="s">
        <v>195</v>
      </c>
      <c r="B4" s="225"/>
      <c r="C4" s="225"/>
      <c r="D4" s="225"/>
      <c r="E4" s="225"/>
      <c r="F4" s="225"/>
      <c r="G4" s="225"/>
      <c r="H4" s="225"/>
      <c r="I4" s="225"/>
      <c r="J4" s="225"/>
    </row>
    <row r="5" spans="1:20" x14ac:dyDescent="0.25">
      <c r="A5" s="225"/>
      <c r="B5" s="225"/>
      <c r="C5" s="225"/>
      <c r="D5" s="225"/>
      <c r="E5" s="225"/>
      <c r="F5" s="225"/>
      <c r="G5" s="225"/>
      <c r="H5" s="225"/>
      <c r="I5" s="225"/>
      <c r="J5" s="225"/>
    </row>
    <row r="7" spans="1:20" x14ac:dyDescent="0.25">
      <c r="B7" t="s">
        <v>176</v>
      </c>
      <c r="C7" t="s">
        <v>177</v>
      </c>
      <c r="L7" s="25"/>
      <c r="M7" s="25"/>
      <c r="N7" s="25"/>
      <c r="O7" s="25"/>
      <c r="P7" s="25"/>
      <c r="Q7" s="25"/>
      <c r="R7" s="25"/>
      <c r="S7" s="25"/>
      <c r="T7" s="25"/>
    </row>
    <row r="8" spans="1:20" x14ac:dyDescent="0.25">
      <c r="B8" t="s">
        <v>178</v>
      </c>
      <c r="C8" s="194">
        <v>80000</v>
      </c>
      <c r="L8" s="25"/>
      <c r="M8" s="25"/>
      <c r="N8" s="25"/>
      <c r="O8" s="25"/>
      <c r="P8" s="25"/>
      <c r="Q8" s="25"/>
      <c r="R8" s="25"/>
      <c r="S8" s="25"/>
      <c r="T8" s="25"/>
    </row>
    <row r="9" spans="1:20" x14ac:dyDescent="0.25">
      <c r="L9" s="25"/>
      <c r="M9" s="25"/>
      <c r="N9" s="25"/>
      <c r="O9" s="25"/>
      <c r="P9" s="25"/>
      <c r="Q9" s="25"/>
      <c r="R9" s="25"/>
      <c r="S9" s="25"/>
      <c r="T9" s="25"/>
    </row>
    <row r="10" spans="1:20" x14ac:dyDescent="0.25">
      <c r="B10" s="257" t="s">
        <v>179</v>
      </c>
      <c r="C10" s="257"/>
      <c r="D10" s="257"/>
      <c r="E10" s="257"/>
      <c r="F10" s="257"/>
      <c r="G10" s="257"/>
      <c r="H10" s="257"/>
      <c r="I10" s="257"/>
      <c r="L10" s="25"/>
      <c r="M10" s="25"/>
      <c r="N10" s="25"/>
      <c r="O10" s="25"/>
      <c r="P10" s="25"/>
      <c r="Q10" s="25"/>
      <c r="R10" s="25"/>
      <c r="S10" s="25"/>
      <c r="T10" s="25"/>
    </row>
    <row r="11" spans="1:20" x14ac:dyDescent="0.25">
      <c r="B11" s="78" t="s">
        <v>180</v>
      </c>
      <c r="C11" s="196">
        <v>0</v>
      </c>
      <c r="D11" s="196">
        <v>10000</v>
      </c>
      <c r="E11" s="196">
        <v>20000</v>
      </c>
      <c r="F11" s="196">
        <v>30000</v>
      </c>
      <c r="G11" s="196">
        <v>40000</v>
      </c>
      <c r="H11" s="196">
        <v>50000</v>
      </c>
      <c r="I11" s="196">
        <v>60000</v>
      </c>
      <c r="J11" s="165" t="s">
        <v>27</v>
      </c>
      <c r="L11" s="25"/>
      <c r="M11" s="25"/>
      <c r="N11" s="25"/>
      <c r="O11" s="25"/>
      <c r="P11" s="25"/>
      <c r="Q11" s="25"/>
      <c r="R11" s="25"/>
      <c r="S11" s="25"/>
      <c r="T11" s="25"/>
    </row>
    <row r="12" spans="1:20" x14ac:dyDescent="0.25">
      <c r="B12" s="78" t="s">
        <v>181</v>
      </c>
      <c r="C12">
        <f>1/7</f>
        <v>0.14285714285714285</v>
      </c>
      <c r="D12">
        <f t="shared" ref="D12:I12" si="0">1/7</f>
        <v>0.14285714285714285</v>
      </c>
      <c r="E12">
        <f t="shared" si="0"/>
        <v>0.14285714285714285</v>
      </c>
      <c r="F12">
        <f t="shared" si="0"/>
        <v>0.14285714285714285</v>
      </c>
      <c r="G12">
        <f t="shared" si="0"/>
        <v>0.14285714285714285</v>
      </c>
      <c r="H12">
        <f t="shared" si="0"/>
        <v>0.14285714285714285</v>
      </c>
      <c r="I12">
        <f t="shared" si="0"/>
        <v>0.14285714285714285</v>
      </c>
      <c r="J12">
        <f>SUM(C12:I12)</f>
        <v>0.99999999999999978</v>
      </c>
      <c r="L12" s="25"/>
      <c r="M12" s="25"/>
      <c r="N12" s="25"/>
      <c r="O12" s="25"/>
      <c r="P12" s="25"/>
      <c r="Q12" s="25"/>
      <c r="R12" s="25"/>
      <c r="S12" s="25"/>
      <c r="T12" s="25"/>
    </row>
    <row r="13" spans="1:20" x14ac:dyDescent="0.25">
      <c r="L13" s="25"/>
      <c r="M13" s="25"/>
      <c r="N13" s="25"/>
      <c r="O13" s="25"/>
      <c r="P13" s="25"/>
      <c r="Q13" s="25"/>
      <c r="R13" s="25"/>
      <c r="S13" s="25"/>
      <c r="T13" s="25"/>
    </row>
    <row r="14" spans="1:20" x14ac:dyDescent="0.25">
      <c r="B14" s="257" t="s">
        <v>182</v>
      </c>
      <c r="C14" s="257"/>
      <c r="D14" s="257"/>
      <c r="E14" s="257"/>
      <c r="F14" s="257"/>
      <c r="G14" s="257"/>
      <c r="H14" s="257"/>
      <c r="I14" s="257"/>
    </row>
    <row r="15" spans="1:20" x14ac:dyDescent="0.25">
      <c r="B15" s="78" t="s">
        <v>183</v>
      </c>
      <c r="C15" s="196">
        <f>$C$8+C11</f>
        <v>80000</v>
      </c>
      <c r="D15" s="196">
        <f t="shared" ref="D15:I15" si="1">$C$8+D11</f>
        <v>90000</v>
      </c>
      <c r="E15" s="196">
        <f t="shared" si="1"/>
        <v>100000</v>
      </c>
      <c r="F15" s="196">
        <f t="shared" si="1"/>
        <v>110000</v>
      </c>
      <c r="G15" s="196">
        <f t="shared" si="1"/>
        <v>120000</v>
      </c>
      <c r="H15" s="196">
        <f t="shared" si="1"/>
        <v>130000</v>
      </c>
      <c r="I15" s="196">
        <f t="shared" si="1"/>
        <v>140000</v>
      </c>
      <c r="J15" s="165" t="s">
        <v>27</v>
      </c>
    </row>
    <row r="16" spans="1:20" x14ac:dyDescent="0.25">
      <c r="B16" s="78" t="s">
        <v>181</v>
      </c>
      <c r="C16">
        <f>C12</f>
        <v>0.14285714285714285</v>
      </c>
      <c r="D16">
        <f t="shared" ref="D16:I16" si="2">D12</f>
        <v>0.14285714285714285</v>
      </c>
      <c r="E16">
        <f t="shared" si="2"/>
        <v>0.14285714285714285</v>
      </c>
      <c r="F16">
        <f t="shared" si="2"/>
        <v>0.14285714285714285</v>
      </c>
      <c r="G16">
        <f t="shared" si="2"/>
        <v>0.14285714285714285</v>
      </c>
      <c r="H16">
        <f t="shared" si="2"/>
        <v>0.14285714285714285</v>
      </c>
      <c r="I16">
        <f t="shared" si="2"/>
        <v>0.14285714285714285</v>
      </c>
      <c r="J16">
        <f>SUM(C16:I16)</f>
        <v>0.99999999999999978</v>
      </c>
    </row>
    <row r="18" spans="2:10" x14ac:dyDescent="0.25">
      <c r="B18" s="257" t="s">
        <v>184</v>
      </c>
      <c r="C18" s="257"/>
      <c r="D18" s="257"/>
      <c r="E18" s="257"/>
      <c r="F18" s="257"/>
      <c r="G18" s="257"/>
      <c r="H18" s="257"/>
      <c r="I18" s="257"/>
    </row>
    <row r="19" spans="2:10" x14ac:dyDescent="0.25">
      <c r="B19" s="78" t="s">
        <v>185</v>
      </c>
      <c r="C19" s="85">
        <f>C15^(1/4)</f>
        <v>16.81792830507429</v>
      </c>
      <c r="D19" s="85">
        <f t="shared" ref="D19:I19" si="3">D15^(1/4)</f>
        <v>17.320508075688771</v>
      </c>
      <c r="E19" s="85">
        <f t="shared" si="3"/>
        <v>17.782794100389228</v>
      </c>
      <c r="F19" s="85">
        <f t="shared" si="3"/>
        <v>18.211602868378716</v>
      </c>
      <c r="G19" s="85">
        <f t="shared" si="3"/>
        <v>18.612097182041992</v>
      </c>
      <c r="H19" s="85">
        <f t="shared" si="3"/>
        <v>18.98828922115942</v>
      </c>
      <c r="I19" s="85">
        <f t="shared" si="3"/>
        <v>19.343364202676689</v>
      </c>
      <c r="J19" s="165" t="s">
        <v>27</v>
      </c>
    </row>
    <row r="20" spans="2:10" x14ac:dyDescent="0.25">
      <c r="B20" s="78" t="s">
        <v>181</v>
      </c>
      <c r="C20">
        <f>C16</f>
        <v>0.14285714285714285</v>
      </c>
      <c r="D20">
        <f t="shared" ref="D20:I20" si="4">D16</f>
        <v>0.14285714285714285</v>
      </c>
      <c r="E20">
        <f t="shared" si="4"/>
        <v>0.14285714285714285</v>
      </c>
      <c r="F20">
        <f t="shared" si="4"/>
        <v>0.14285714285714285</v>
      </c>
      <c r="G20">
        <f t="shared" si="4"/>
        <v>0.14285714285714285</v>
      </c>
      <c r="H20">
        <f t="shared" si="4"/>
        <v>0.14285714285714285</v>
      </c>
      <c r="I20">
        <f t="shared" si="4"/>
        <v>0.14285714285714285</v>
      </c>
      <c r="J20">
        <f>SUM(C20:I20)</f>
        <v>0.99999999999999978</v>
      </c>
    </row>
    <row r="22" spans="2:10" x14ac:dyDescent="0.25">
      <c r="B22" s="78" t="s">
        <v>186</v>
      </c>
      <c r="C22" s="85">
        <f>SUMPRODUCT(C19:I19,C20:I20)</f>
        <v>18.153797707915587</v>
      </c>
      <c r="D22" s="195" t="s">
        <v>187</v>
      </c>
    </row>
    <row r="24" spans="2:10" x14ac:dyDescent="0.25">
      <c r="B24" s="71" t="s">
        <v>188</v>
      </c>
    </row>
    <row r="25" spans="2:10" x14ac:dyDescent="0.25">
      <c r="B25" t="s">
        <v>189</v>
      </c>
      <c r="C25" s="85">
        <f>C22</f>
        <v>18.153797707915587</v>
      </c>
      <c r="D25" s="195" t="s">
        <v>190</v>
      </c>
    </row>
    <row r="26" spans="2:10" x14ac:dyDescent="0.25">
      <c r="B26" t="s">
        <v>191</v>
      </c>
      <c r="C26" s="194">
        <f>C25^4</f>
        <v>108610.03827861226</v>
      </c>
      <c r="D26" s="195" t="s">
        <v>192</v>
      </c>
    </row>
    <row r="28" spans="2:10" x14ac:dyDescent="0.25">
      <c r="B28" s="71" t="s">
        <v>193</v>
      </c>
    </row>
    <row r="29" spans="2:10" x14ac:dyDescent="0.25">
      <c r="B29" t="s">
        <v>189</v>
      </c>
      <c r="C29" s="85">
        <f>C30^(1/4)</f>
        <v>18.154308565049977</v>
      </c>
      <c r="D29" s="195"/>
      <c r="F29" t="s">
        <v>189</v>
      </c>
      <c r="G29" s="85">
        <f>G30^(1/4)</f>
        <v>18.149035858353781</v>
      </c>
    </row>
    <row r="30" spans="2:10" x14ac:dyDescent="0.25">
      <c r="B30" t="s">
        <v>191</v>
      </c>
      <c r="C30" s="194">
        <v>108622.2641623395</v>
      </c>
      <c r="D30" s="195"/>
      <c r="F30" t="s">
        <v>191</v>
      </c>
      <c r="G30" s="194">
        <v>108496.12686103531</v>
      </c>
    </row>
    <row r="31" spans="2:10" x14ac:dyDescent="0.25">
      <c r="B31" t="s">
        <v>194</v>
      </c>
      <c r="C31">
        <v>18.153797707915601</v>
      </c>
      <c r="F31" t="s">
        <v>194</v>
      </c>
      <c r="G31">
        <v>18.153797707915601</v>
      </c>
    </row>
    <row r="33" spans="1:24" x14ac:dyDescent="0.25">
      <c r="A33" s="225" t="s">
        <v>196</v>
      </c>
      <c r="B33" s="225"/>
      <c r="C33" s="225"/>
      <c r="D33" s="225"/>
      <c r="E33" s="225"/>
      <c r="F33" s="225"/>
      <c r="G33" s="225"/>
      <c r="H33" s="225"/>
      <c r="I33" s="225"/>
      <c r="J33" s="225"/>
    </row>
    <row r="34" spans="1:24" x14ac:dyDescent="0.25">
      <c r="A34" s="225"/>
      <c r="B34" s="225"/>
      <c r="C34" s="225"/>
      <c r="D34" s="225"/>
      <c r="E34" s="225"/>
      <c r="F34" s="225"/>
      <c r="G34" s="225"/>
      <c r="H34" s="225"/>
      <c r="I34" s="225"/>
      <c r="J34" s="225"/>
    </row>
    <row r="36" spans="1:24" x14ac:dyDescent="0.25">
      <c r="B36" s="197" t="s">
        <v>197</v>
      </c>
    </row>
    <row r="37" spans="1:24" x14ac:dyDescent="0.25">
      <c r="B37" t="s">
        <v>198</v>
      </c>
      <c r="C37">
        <v>5000</v>
      </c>
    </row>
    <row r="38" spans="1:24" x14ac:dyDescent="0.25">
      <c r="B38" t="s">
        <v>199</v>
      </c>
      <c r="C38">
        <v>50000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 spans="1:24" x14ac:dyDescent="0.25">
      <c r="B39" t="s">
        <v>200</v>
      </c>
      <c r="C39">
        <v>0.04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 spans="1:24" x14ac:dyDescent="0.25"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 spans="1:24" x14ac:dyDescent="0.25">
      <c r="B41" t="s">
        <v>201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1:24" x14ac:dyDescent="0.25">
      <c r="C42" t="s">
        <v>202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x14ac:dyDescent="0.25">
      <c r="B43" t="s">
        <v>105</v>
      </c>
      <c r="C43">
        <v>1</v>
      </c>
      <c r="D43">
        <v>2</v>
      </c>
      <c r="E43">
        <v>3</v>
      </c>
      <c r="F43">
        <v>4</v>
      </c>
      <c r="G43">
        <v>5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x14ac:dyDescent="0.25">
      <c r="B44">
        <v>1</v>
      </c>
      <c r="C44">
        <v>0.03</v>
      </c>
      <c r="D44">
        <v>0</v>
      </c>
      <c r="E44">
        <v>-0.05</v>
      </c>
      <c r="F44">
        <v>0.06</v>
      </c>
      <c r="G44">
        <v>-0.01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x14ac:dyDescent="0.25">
      <c r="B45">
        <v>2</v>
      </c>
      <c r="C45">
        <v>0.06</v>
      </c>
      <c r="D45">
        <v>0.01</v>
      </c>
      <c r="E45">
        <v>0</v>
      </c>
      <c r="F45">
        <v>0.09</v>
      </c>
      <c r="G45">
        <v>0.05</v>
      </c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spans="1:24" x14ac:dyDescent="0.25">
      <c r="B46">
        <v>3</v>
      </c>
      <c r="C46">
        <v>0.05</v>
      </c>
      <c r="D46">
        <v>0.05</v>
      </c>
      <c r="E46">
        <v>0.08</v>
      </c>
      <c r="F46">
        <v>0.08</v>
      </c>
      <c r="G46">
        <v>-0.02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spans="1:24" x14ac:dyDescent="0.25">
      <c r="B47">
        <v>4</v>
      </c>
      <c r="C47">
        <v>0.08</v>
      </c>
      <c r="D47">
        <v>0.06</v>
      </c>
      <c r="E47">
        <v>0.08</v>
      </c>
      <c r="F47">
        <v>0.08</v>
      </c>
      <c r="G47">
        <v>0.01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spans="1:24" x14ac:dyDescent="0.25">
      <c r="B48">
        <v>5</v>
      </c>
      <c r="C48">
        <v>0.02</v>
      </c>
      <c r="D48">
        <v>0.12</v>
      </c>
      <c r="E48">
        <v>-0.03</v>
      </c>
      <c r="F48">
        <v>0.03</v>
      </c>
      <c r="G48">
        <v>-0.02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4" x14ac:dyDescent="0.25">
      <c r="B49">
        <v>6</v>
      </c>
      <c r="C49">
        <v>0.02</v>
      </c>
      <c r="D49">
        <v>-0.02</v>
      </c>
      <c r="E49">
        <v>0</v>
      </c>
      <c r="F49">
        <v>0.16</v>
      </c>
      <c r="G49">
        <v>0.02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1:24" x14ac:dyDescent="0.25">
      <c r="B50">
        <v>7</v>
      </c>
      <c r="C50">
        <v>0.02</v>
      </c>
      <c r="D50">
        <v>0.05</v>
      </c>
      <c r="E50">
        <v>0.04</v>
      </c>
      <c r="F50">
        <v>0.04</v>
      </c>
      <c r="G50">
        <v>0.06</v>
      </c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x14ac:dyDescent="0.25">
      <c r="B51">
        <v>8</v>
      </c>
      <c r="C51">
        <v>-0.03</v>
      </c>
      <c r="D51">
        <v>0.17</v>
      </c>
      <c r="E51">
        <v>0.01</v>
      </c>
      <c r="F51">
        <v>-0.03</v>
      </c>
      <c r="G51">
        <v>0.06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x14ac:dyDescent="0.25">
      <c r="B52">
        <v>9</v>
      </c>
      <c r="C52">
        <v>0</v>
      </c>
      <c r="D52">
        <v>0.06</v>
      </c>
      <c r="E52">
        <v>7.0000000000000007E-2</v>
      </c>
      <c r="F52">
        <v>0.01</v>
      </c>
      <c r="G52">
        <v>0.12</v>
      </c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x14ac:dyDescent="0.25">
      <c r="B53">
        <v>10</v>
      </c>
      <c r="C53">
        <v>0.17</v>
      </c>
      <c r="D53">
        <v>0.01</v>
      </c>
      <c r="E53">
        <v>0.06</v>
      </c>
      <c r="F53">
        <v>0.02</v>
      </c>
      <c r="G53">
        <v>0.06</v>
      </c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x14ac:dyDescent="0.25"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ht="18.75" x14ac:dyDescent="0.3">
      <c r="A55" s="198" t="s">
        <v>203</v>
      </c>
      <c r="B55" t="s">
        <v>204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x14ac:dyDescent="0.25">
      <c r="C56" t="s">
        <v>202</v>
      </c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x14ac:dyDescent="0.25">
      <c r="B57" t="s">
        <v>105</v>
      </c>
      <c r="C57">
        <v>1</v>
      </c>
      <c r="D57">
        <v>2</v>
      </c>
      <c r="E57">
        <v>3</v>
      </c>
      <c r="F57">
        <v>4</v>
      </c>
      <c r="G57">
        <v>5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x14ac:dyDescent="0.25">
      <c r="B58">
        <v>0</v>
      </c>
      <c r="C58">
        <f>$C$37</f>
        <v>5000</v>
      </c>
      <c r="D58">
        <f t="shared" ref="D58:G58" si="5">$C$37</f>
        <v>5000</v>
      </c>
      <c r="E58">
        <f t="shared" si="5"/>
        <v>5000</v>
      </c>
      <c r="F58">
        <f t="shared" si="5"/>
        <v>5000</v>
      </c>
      <c r="G58">
        <f t="shared" si="5"/>
        <v>5000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spans="1:24" x14ac:dyDescent="0.25">
      <c r="B59">
        <v>1</v>
      </c>
      <c r="C59">
        <f>C58*(1+C44) + $C$37</f>
        <v>10150</v>
      </c>
      <c r="D59">
        <f>D58*(1+D44) + $C$37</f>
        <v>10000</v>
      </c>
      <c r="E59">
        <f>E58*(1+E44) + $C$37</f>
        <v>9750</v>
      </c>
      <c r="F59">
        <f>F58*(1+F44) + $C$37</f>
        <v>10300</v>
      </c>
      <c r="G59">
        <f>G58*(1+G44) + $C$37</f>
        <v>9950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4" x14ac:dyDescent="0.25">
      <c r="B60">
        <v>2</v>
      </c>
      <c r="C60">
        <f>C59*(1+C45) + $C$37</f>
        <v>15759</v>
      </c>
      <c r="D60">
        <f t="shared" ref="D60:D68" si="6">D59*(1+D45) + $C$37</f>
        <v>15100</v>
      </c>
      <c r="E60">
        <f t="shared" ref="E60:E68" si="7">E59*(1+E45) + $C$37</f>
        <v>14750</v>
      </c>
      <c r="F60">
        <f t="shared" ref="F60:F68" si="8">F59*(1+F45) + $C$37</f>
        <v>16227</v>
      </c>
      <c r="G60">
        <f t="shared" ref="G60:G68" si="9">G59*(1+G45) + $C$37</f>
        <v>15447.5</v>
      </c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4" x14ac:dyDescent="0.25">
      <c r="B61">
        <v>3</v>
      </c>
      <c r="C61">
        <f t="shared" ref="C61:C68" si="10">C60*(1+C46) + $C$37</f>
        <v>21546.95</v>
      </c>
      <c r="D61">
        <f t="shared" si="6"/>
        <v>20855</v>
      </c>
      <c r="E61">
        <f t="shared" si="7"/>
        <v>20930</v>
      </c>
      <c r="F61">
        <f t="shared" si="8"/>
        <v>22525.16</v>
      </c>
      <c r="G61">
        <f t="shared" si="9"/>
        <v>20138.55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4" x14ac:dyDescent="0.25">
      <c r="B62">
        <v>4</v>
      </c>
      <c r="C62">
        <f t="shared" si="10"/>
        <v>28270.706000000002</v>
      </c>
      <c r="D62">
        <f t="shared" si="6"/>
        <v>27106.300000000003</v>
      </c>
      <c r="E62">
        <f t="shared" si="7"/>
        <v>27604.400000000001</v>
      </c>
      <c r="F62">
        <f t="shared" si="8"/>
        <v>29327.1728</v>
      </c>
      <c r="G62">
        <f t="shared" si="9"/>
        <v>25339.9355</v>
      </c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x14ac:dyDescent="0.25">
      <c r="B63">
        <v>5</v>
      </c>
      <c r="C63">
        <f t="shared" si="10"/>
        <v>33836.120120000007</v>
      </c>
      <c r="D63">
        <f t="shared" si="6"/>
        <v>35359.056000000011</v>
      </c>
      <c r="E63">
        <f t="shared" si="7"/>
        <v>31776.268</v>
      </c>
      <c r="F63">
        <f t="shared" si="8"/>
        <v>35206.987983999999</v>
      </c>
      <c r="G63">
        <f t="shared" si="9"/>
        <v>29833.13679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x14ac:dyDescent="0.25">
      <c r="B64">
        <v>6</v>
      </c>
      <c r="C64">
        <f t="shared" si="10"/>
        <v>39512.842522400009</v>
      </c>
      <c r="D64">
        <f t="shared" si="6"/>
        <v>39651.87488000001</v>
      </c>
      <c r="E64">
        <f t="shared" si="7"/>
        <v>36776.267999999996</v>
      </c>
      <c r="F64">
        <f t="shared" si="8"/>
        <v>45840.106061439998</v>
      </c>
      <c r="G64">
        <f t="shared" si="9"/>
        <v>35429.799525800001</v>
      </c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spans="1:24" x14ac:dyDescent="0.25">
      <c r="B65">
        <v>7</v>
      </c>
      <c r="C65">
        <f t="shared" si="10"/>
        <v>45303.09937284801</v>
      </c>
      <c r="D65">
        <f t="shared" si="6"/>
        <v>46634.468624000016</v>
      </c>
      <c r="E65">
        <f t="shared" si="7"/>
        <v>43247.318719999996</v>
      </c>
      <c r="F65">
        <f t="shared" si="8"/>
        <v>52673.710303897598</v>
      </c>
      <c r="G65">
        <f t="shared" si="9"/>
        <v>42555.587497348002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spans="1:24" x14ac:dyDescent="0.25">
      <c r="B66">
        <v>8</v>
      </c>
      <c r="C66">
        <f t="shared" si="10"/>
        <v>48944.006391662566</v>
      </c>
      <c r="D66">
        <f t="shared" si="6"/>
        <v>59562.328290080011</v>
      </c>
      <c r="E66">
        <f t="shared" si="7"/>
        <v>48679.791907199993</v>
      </c>
      <c r="F66">
        <f t="shared" si="8"/>
        <v>56093.498994780668</v>
      </c>
      <c r="G66">
        <f t="shared" si="9"/>
        <v>50108.922747188888</v>
      </c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spans="1:24" x14ac:dyDescent="0.25">
      <c r="B67">
        <v>9</v>
      </c>
      <c r="C67">
        <f t="shared" si="10"/>
        <v>53944.006391662566</v>
      </c>
      <c r="D67">
        <f t="shared" si="6"/>
        <v>68136.067987484814</v>
      </c>
      <c r="E67">
        <f t="shared" si="7"/>
        <v>57087.377340703999</v>
      </c>
      <c r="F67">
        <f t="shared" si="8"/>
        <v>61654.433984728472</v>
      </c>
      <c r="G67">
        <f t="shared" si="9"/>
        <v>61121.99347685156</v>
      </c>
    </row>
    <row r="68" spans="1:24" x14ac:dyDescent="0.25">
      <c r="B68">
        <v>10</v>
      </c>
      <c r="C68">
        <f t="shared" si="10"/>
        <v>68114.487478245195</v>
      </c>
      <c r="D68">
        <f t="shared" si="6"/>
        <v>73817.428667359665</v>
      </c>
      <c r="E68">
        <f t="shared" si="7"/>
        <v>65512.619981146243</v>
      </c>
      <c r="F68">
        <f t="shared" si="8"/>
        <v>67887.522664423042</v>
      </c>
      <c r="G68">
        <f t="shared" si="9"/>
        <v>69789.313085462665</v>
      </c>
    </row>
    <row r="70" spans="1:24" x14ac:dyDescent="0.25">
      <c r="B70" t="s">
        <v>205</v>
      </c>
      <c r="C70">
        <f>AVERAGE(C68:G68)</f>
        <v>69024.274375327368</v>
      </c>
    </row>
    <row r="72" spans="1:24" ht="18.75" x14ac:dyDescent="0.3">
      <c r="A72" s="198" t="s">
        <v>206</v>
      </c>
      <c r="B72" t="s">
        <v>207</v>
      </c>
      <c r="C72">
        <f>COUNTIF(C68:G68,"&gt;"&amp;70000)/COUNT(C68:G68)</f>
        <v>0.2</v>
      </c>
    </row>
    <row r="74" spans="1:24" ht="18.75" x14ac:dyDescent="0.3">
      <c r="A74" s="198" t="s">
        <v>208</v>
      </c>
      <c r="B74" t="s">
        <v>176</v>
      </c>
    </row>
    <row r="75" spans="1:24" x14ac:dyDescent="0.25">
      <c r="B75" t="s">
        <v>209</v>
      </c>
      <c r="C75" t="s">
        <v>210</v>
      </c>
    </row>
    <row r="76" spans="1:24" x14ac:dyDescent="0.25">
      <c r="B76">
        <v>70</v>
      </c>
      <c r="C76" t="s">
        <v>211</v>
      </c>
    </row>
    <row r="78" spans="1:24" x14ac:dyDescent="0.25">
      <c r="B78" t="s">
        <v>212</v>
      </c>
    </row>
    <row r="79" spans="1:24" x14ac:dyDescent="0.25">
      <c r="B79" t="s">
        <v>185</v>
      </c>
      <c r="C79">
        <f>IF(C68&lt;=70000,1/1000*C68,70)</f>
        <v>68.114487478245195</v>
      </c>
      <c r="D79">
        <f t="shared" ref="D79:G79" si="11">IF(D68&lt;=70000,1/1000*D68,70)</f>
        <v>70</v>
      </c>
      <c r="E79">
        <f t="shared" si="11"/>
        <v>65.512619981146244</v>
      </c>
      <c r="F79">
        <f t="shared" si="11"/>
        <v>67.887522664423045</v>
      </c>
      <c r="G79">
        <f t="shared" si="11"/>
        <v>69.789313085462666</v>
      </c>
    </row>
    <row r="80" spans="1:24" x14ac:dyDescent="0.25">
      <c r="B80" t="s">
        <v>181</v>
      </c>
      <c r="C80">
        <f>1/5</f>
        <v>0.2</v>
      </c>
      <c r="D80">
        <f t="shared" ref="D80:G80" si="12">1/5</f>
        <v>0.2</v>
      </c>
      <c r="E80">
        <f t="shared" si="12"/>
        <v>0.2</v>
      </c>
      <c r="F80">
        <f t="shared" si="12"/>
        <v>0.2</v>
      </c>
      <c r="G80">
        <f t="shared" si="12"/>
        <v>0.2</v>
      </c>
    </row>
    <row r="82" spans="1:14" x14ac:dyDescent="0.25">
      <c r="B82" t="s">
        <v>213</v>
      </c>
      <c r="C82">
        <f>SUMPRODUCT(C79:G79,C80:G80)</f>
        <v>68.260788641855441</v>
      </c>
    </row>
    <row r="84" spans="1:14" ht="18.75" x14ac:dyDescent="0.3">
      <c r="A84" s="198" t="s">
        <v>214</v>
      </c>
      <c r="B84" t="s">
        <v>204</v>
      </c>
      <c r="I84" t="s">
        <v>215</v>
      </c>
    </row>
    <row r="85" spans="1:14" x14ac:dyDescent="0.25">
      <c r="C85" t="s">
        <v>202</v>
      </c>
      <c r="J85" t="s">
        <v>202</v>
      </c>
    </row>
    <row r="86" spans="1:14" x14ac:dyDescent="0.25">
      <c r="B86" t="s">
        <v>105</v>
      </c>
      <c r="C86">
        <v>1</v>
      </c>
      <c r="D86">
        <v>2</v>
      </c>
      <c r="E86">
        <v>3</v>
      </c>
      <c r="F86">
        <v>4</v>
      </c>
      <c r="G86">
        <v>5</v>
      </c>
      <c r="I86" t="s">
        <v>105</v>
      </c>
      <c r="J86">
        <v>1</v>
      </c>
      <c r="K86">
        <v>2</v>
      </c>
      <c r="L86">
        <v>3</v>
      </c>
      <c r="M86">
        <v>4</v>
      </c>
      <c r="N86">
        <v>5</v>
      </c>
    </row>
    <row r="87" spans="1:14" x14ac:dyDescent="0.25">
      <c r="B87">
        <v>0</v>
      </c>
      <c r="C87">
        <f>$C$38</f>
        <v>50000</v>
      </c>
      <c r="D87">
        <f>$C$38</f>
        <v>50000</v>
      </c>
      <c r="E87">
        <f>$C$38</f>
        <v>50000</v>
      </c>
      <c r="F87">
        <f>$C$38</f>
        <v>50000</v>
      </c>
      <c r="G87">
        <f>$C$38</f>
        <v>50000</v>
      </c>
      <c r="I87">
        <v>0</v>
      </c>
      <c r="J87">
        <f>$C$38</f>
        <v>50000</v>
      </c>
      <c r="K87">
        <f>$C$38</f>
        <v>50000</v>
      </c>
      <c r="L87">
        <f>$C$38</f>
        <v>50000</v>
      </c>
      <c r="M87">
        <f>$C$38</f>
        <v>50000</v>
      </c>
      <c r="N87">
        <f>$C$38</f>
        <v>50000</v>
      </c>
    </row>
    <row r="88" spans="1:14" x14ac:dyDescent="0.25">
      <c r="B88">
        <v>1</v>
      </c>
      <c r="C88">
        <f>C87*(1+C44)</f>
        <v>51500</v>
      </c>
      <c r="D88">
        <f t="shared" ref="D88:G97" si="13">D87*(1+D44)</f>
        <v>50000</v>
      </c>
      <c r="E88">
        <f t="shared" si="13"/>
        <v>47500</v>
      </c>
      <c r="F88">
        <f t="shared" si="13"/>
        <v>53000</v>
      </c>
      <c r="G88">
        <f t="shared" si="13"/>
        <v>49500</v>
      </c>
      <c r="I88">
        <v>1</v>
      </c>
      <c r="J88">
        <f>J87*(1+$C$39) - $C$37</f>
        <v>47000</v>
      </c>
      <c r="K88">
        <f t="shared" ref="K88:N97" si="14">K87*(1+$C$5) - $C$3</f>
        <v>50000</v>
      </c>
      <c r="L88">
        <f t="shared" si="14"/>
        <v>50000</v>
      </c>
      <c r="M88">
        <f t="shared" si="14"/>
        <v>50000</v>
      </c>
      <c r="N88">
        <f t="shared" si="14"/>
        <v>50000</v>
      </c>
    </row>
    <row r="89" spans="1:14" x14ac:dyDescent="0.25">
      <c r="B89">
        <v>2</v>
      </c>
      <c r="C89">
        <f t="shared" ref="C89:C97" si="15">C88*(1+C45)</f>
        <v>54590</v>
      </c>
      <c r="D89">
        <f t="shared" si="13"/>
        <v>50500</v>
      </c>
      <c r="E89">
        <f t="shared" si="13"/>
        <v>47500</v>
      </c>
      <c r="F89">
        <f t="shared" si="13"/>
        <v>57770.000000000007</v>
      </c>
      <c r="G89">
        <f t="shared" si="13"/>
        <v>51975</v>
      </c>
      <c r="I89">
        <v>2</v>
      </c>
      <c r="J89">
        <f t="shared" ref="J89:J97" si="16">J88*(1+$C$39) - $C$37</f>
        <v>43880</v>
      </c>
      <c r="K89">
        <f t="shared" si="14"/>
        <v>50000</v>
      </c>
      <c r="L89">
        <f t="shared" si="14"/>
        <v>50000</v>
      </c>
      <c r="M89">
        <f t="shared" si="14"/>
        <v>50000</v>
      </c>
      <c r="N89">
        <f t="shared" si="14"/>
        <v>50000</v>
      </c>
    </row>
    <row r="90" spans="1:14" x14ac:dyDescent="0.25">
      <c r="B90">
        <v>3</v>
      </c>
      <c r="C90">
        <f t="shared" si="15"/>
        <v>57319.5</v>
      </c>
      <c r="D90">
        <f t="shared" si="13"/>
        <v>53025</v>
      </c>
      <c r="E90">
        <f t="shared" si="13"/>
        <v>51300</v>
      </c>
      <c r="F90">
        <f t="shared" si="13"/>
        <v>62391.600000000013</v>
      </c>
      <c r="G90">
        <f t="shared" si="13"/>
        <v>50935.5</v>
      </c>
      <c r="I90">
        <v>3</v>
      </c>
      <c r="J90">
        <f t="shared" si="16"/>
        <v>40635.200000000004</v>
      </c>
      <c r="K90">
        <f t="shared" si="14"/>
        <v>50000</v>
      </c>
      <c r="L90">
        <f t="shared" si="14"/>
        <v>50000</v>
      </c>
      <c r="M90">
        <f t="shared" si="14"/>
        <v>50000</v>
      </c>
      <c r="N90">
        <f t="shared" si="14"/>
        <v>50000</v>
      </c>
    </row>
    <row r="91" spans="1:14" x14ac:dyDescent="0.25">
      <c r="B91">
        <v>4</v>
      </c>
      <c r="C91">
        <f t="shared" si="15"/>
        <v>61905.060000000005</v>
      </c>
      <c r="D91">
        <f t="shared" si="13"/>
        <v>56206.5</v>
      </c>
      <c r="E91">
        <f t="shared" si="13"/>
        <v>55404.000000000007</v>
      </c>
      <c r="F91">
        <f t="shared" si="13"/>
        <v>67382.928000000014</v>
      </c>
      <c r="G91">
        <f t="shared" si="13"/>
        <v>51444.855000000003</v>
      </c>
      <c r="I91">
        <v>4</v>
      </c>
      <c r="J91">
        <f t="shared" si="16"/>
        <v>37260.608000000007</v>
      </c>
      <c r="K91">
        <f t="shared" si="14"/>
        <v>50000</v>
      </c>
      <c r="L91">
        <f t="shared" si="14"/>
        <v>50000</v>
      </c>
      <c r="M91">
        <f t="shared" si="14"/>
        <v>50000</v>
      </c>
      <c r="N91">
        <f t="shared" si="14"/>
        <v>50000</v>
      </c>
    </row>
    <row r="92" spans="1:14" x14ac:dyDescent="0.25">
      <c r="B92">
        <v>5</v>
      </c>
      <c r="C92">
        <f t="shared" si="15"/>
        <v>63143.16120000001</v>
      </c>
      <c r="D92">
        <f t="shared" si="13"/>
        <v>62951.280000000006</v>
      </c>
      <c r="E92">
        <f t="shared" si="13"/>
        <v>53741.880000000005</v>
      </c>
      <c r="F92">
        <f t="shared" si="13"/>
        <v>69404.415840000016</v>
      </c>
      <c r="G92">
        <f t="shared" si="13"/>
        <v>50415.957900000001</v>
      </c>
      <c r="I92">
        <v>5</v>
      </c>
      <c r="J92">
        <f t="shared" si="16"/>
        <v>33751.032320000006</v>
      </c>
      <c r="K92">
        <f t="shared" si="14"/>
        <v>50000</v>
      </c>
      <c r="L92">
        <f t="shared" si="14"/>
        <v>50000</v>
      </c>
      <c r="M92">
        <f t="shared" si="14"/>
        <v>50000</v>
      </c>
      <c r="N92">
        <f t="shared" si="14"/>
        <v>50000</v>
      </c>
    </row>
    <row r="93" spans="1:14" x14ac:dyDescent="0.25">
      <c r="B93">
        <v>6</v>
      </c>
      <c r="C93">
        <f t="shared" si="15"/>
        <v>64406.02442400001</v>
      </c>
      <c r="D93">
        <f t="shared" si="13"/>
        <v>61692.254400000005</v>
      </c>
      <c r="E93">
        <f t="shared" si="13"/>
        <v>53741.880000000005</v>
      </c>
      <c r="F93">
        <f t="shared" si="13"/>
        <v>80509.122374400016</v>
      </c>
      <c r="G93">
        <f t="shared" si="13"/>
        <v>51424.277058</v>
      </c>
      <c r="I93">
        <v>6</v>
      </c>
      <c r="J93">
        <f t="shared" si="16"/>
        <v>30101.073612800006</v>
      </c>
      <c r="K93">
        <f t="shared" si="14"/>
        <v>50000</v>
      </c>
      <c r="L93">
        <f t="shared" si="14"/>
        <v>50000</v>
      </c>
      <c r="M93">
        <f t="shared" si="14"/>
        <v>50000</v>
      </c>
      <c r="N93">
        <f t="shared" si="14"/>
        <v>50000</v>
      </c>
    </row>
    <row r="94" spans="1:14" x14ac:dyDescent="0.25">
      <c r="B94">
        <v>7</v>
      </c>
      <c r="C94">
        <f t="shared" si="15"/>
        <v>65694.144912480013</v>
      </c>
      <c r="D94">
        <f t="shared" si="13"/>
        <v>64776.86712000001</v>
      </c>
      <c r="E94">
        <f t="shared" si="13"/>
        <v>55891.55520000001</v>
      </c>
      <c r="F94">
        <f t="shared" si="13"/>
        <v>83729.487269376026</v>
      </c>
      <c r="G94">
        <f t="shared" si="13"/>
        <v>54509.73368148</v>
      </c>
      <c r="I94">
        <v>7</v>
      </c>
      <c r="J94">
        <f t="shared" si="16"/>
        <v>26305.116557312009</v>
      </c>
      <c r="K94">
        <f t="shared" si="14"/>
        <v>50000</v>
      </c>
      <c r="L94">
        <f t="shared" si="14"/>
        <v>50000</v>
      </c>
      <c r="M94">
        <f t="shared" si="14"/>
        <v>50000</v>
      </c>
      <c r="N94">
        <f t="shared" si="14"/>
        <v>50000</v>
      </c>
    </row>
    <row r="95" spans="1:14" x14ac:dyDescent="0.25">
      <c r="B95">
        <v>8</v>
      </c>
      <c r="C95">
        <f t="shared" si="15"/>
        <v>63723.320565105612</v>
      </c>
      <c r="D95">
        <f t="shared" si="13"/>
        <v>75788.934530400002</v>
      </c>
      <c r="E95">
        <f t="shared" si="13"/>
        <v>56450.470752000008</v>
      </c>
      <c r="F95">
        <f t="shared" si="13"/>
        <v>81217.602651294743</v>
      </c>
      <c r="G95">
        <f t="shared" si="13"/>
        <v>57780.317702368804</v>
      </c>
      <c r="I95">
        <v>8</v>
      </c>
      <c r="J95">
        <f t="shared" si="16"/>
        <v>22357.321219604491</v>
      </c>
      <c r="K95">
        <f t="shared" si="14"/>
        <v>50000</v>
      </c>
      <c r="L95">
        <f t="shared" si="14"/>
        <v>50000</v>
      </c>
      <c r="M95">
        <f t="shared" si="14"/>
        <v>50000</v>
      </c>
      <c r="N95">
        <f t="shared" si="14"/>
        <v>50000</v>
      </c>
    </row>
    <row r="96" spans="1:14" x14ac:dyDescent="0.25">
      <c r="B96">
        <v>9</v>
      </c>
      <c r="C96">
        <f t="shared" si="15"/>
        <v>63723.320565105612</v>
      </c>
      <c r="D96">
        <f t="shared" si="13"/>
        <v>80336.270602224002</v>
      </c>
      <c r="E96">
        <f t="shared" si="13"/>
        <v>60402.00370464001</v>
      </c>
      <c r="F96">
        <f t="shared" si="13"/>
        <v>82029.778677807684</v>
      </c>
      <c r="G96">
        <f t="shared" si="13"/>
        <v>64713.955826653066</v>
      </c>
      <c r="I96">
        <v>9</v>
      </c>
      <c r="J96">
        <f t="shared" si="16"/>
        <v>18251.614068388673</v>
      </c>
      <c r="K96">
        <f t="shared" si="14"/>
        <v>50000</v>
      </c>
      <c r="L96">
        <f t="shared" si="14"/>
        <v>50000</v>
      </c>
      <c r="M96">
        <f t="shared" si="14"/>
        <v>50000</v>
      </c>
      <c r="N96">
        <f t="shared" si="14"/>
        <v>50000</v>
      </c>
    </row>
    <row r="97" spans="1:14" x14ac:dyDescent="0.25">
      <c r="B97">
        <v>10</v>
      </c>
      <c r="C97">
        <f t="shared" si="15"/>
        <v>74556.285061173563</v>
      </c>
      <c r="D97">
        <f t="shared" si="13"/>
        <v>81139.633308246237</v>
      </c>
      <c r="E97">
        <f t="shared" si="13"/>
        <v>64026.123926918415</v>
      </c>
      <c r="F97">
        <f t="shared" si="13"/>
        <v>83670.374251363843</v>
      </c>
      <c r="G97">
        <f t="shared" si="13"/>
        <v>68596.793176252249</v>
      </c>
      <c r="I97">
        <v>10</v>
      </c>
      <c r="J97">
        <f t="shared" si="16"/>
        <v>13981.678631124221</v>
      </c>
      <c r="K97">
        <f t="shared" si="14"/>
        <v>50000</v>
      </c>
      <c r="L97">
        <f t="shared" si="14"/>
        <v>50000</v>
      </c>
      <c r="M97">
        <f t="shared" si="14"/>
        <v>50000</v>
      </c>
      <c r="N97">
        <f t="shared" si="14"/>
        <v>50000</v>
      </c>
    </row>
    <row r="99" spans="1:14" x14ac:dyDescent="0.25">
      <c r="B99" t="s">
        <v>216</v>
      </c>
    </row>
    <row r="100" spans="1:14" x14ac:dyDescent="0.25">
      <c r="C100" t="s">
        <v>202</v>
      </c>
    </row>
    <row r="101" spans="1:14" x14ac:dyDescent="0.25">
      <c r="C101">
        <v>1</v>
      </c>
      <c r="D101">
        <v>2</v>
      </c>
      <c r="E101">
        <v>3</v>
      </c>
      <c r="F101">
        <v>4</v>
      </c>
      <c r="G101">
        <v>5</v>
      </c>
    </row>
    <row r="102" spans="1:14" x14ac:dyDescent="0.25">
      <c r="B102" t="s">
        <v>217</v>
      </c>
      <c r="C102">
        <f>C97-J97</f>
        <v>60574.606430049345</v>
      </c>
      <c r="D102">
        <f t="shared" ref="D102:G102" si="17">D97-K97</f>
        <v>31139.633308246237</v>
      </c>
      <c r="E102">
        <f t="shared" si="17"/>
        <v>14026.123926918415</v>
      </c>
      <c r="F102">
        <f t="shared" si="17"/>
        <v>33670.374251363843</v>
      </c>
      <c r="G102">
        <f t="shared" si="17"/>
        <v>18596.793176252249</v>
      </c>
    </row>
    <row r="104" spans="1:14" x14ac:dyDescent="0.25">
      <c r="B104" t="s">
        <v>205</v>
      </c>
      <c r="C104">
        <f>AVERAGE(C102:G102)</f>
        <v>31601.506218566017</v>
      </c>
    </row>
    <row r="106" spans="1:14" x14ac:dyDescent="0.25">
      <c r="B106" t="s">
        <v>207</v>
      </c>
      <c r="C106">
        <f>COUNTIF(C102:G102,"&gt;"&amp;70000)/COUNT(C102:G102)</f>
        <v>0</v>
      </c>
    </row>
    <row r="108" spans="1:14" x14ac:dyDescent="0.25">
      <c r="A108" t="s">
        <v>208</v>
      </c>
      <c r="B108" t="s">
        <v>176</v>
      </c>
    </row>
    <row r="109" spans="1:14" x14ac:dyDescent="0.25">
      <c r="B109" t="s">
        <v>209</v>
      </c>
      <c r="C109" t="s">
        <v>210</v>
      </c>
    </row>
    <row r="110" spans="1:14" x14ac:dyDescent="0.25">
      <c r="B110">
        <v>70</v>
      </c>
      <c r="C110" t="s">
        <v>211</v>
      </c>
    </row>
    <row r="112" spans="1:14" x14ac:dyDescent="0.25">
      <c r="B112" t="s">
        <v>212</v>
      </c>
    </row>
    <row r="113" spans="2:7" x14ac:dyDescent="0.25">
      <c r="B113" t="s">
        <v>185</v>
      </c>
      <c r="C113">
        <f>MIN(1/1000*C102,70)</f>
        <v>60.57460643004935</v>
      </c>
      <c r="D113">
        <f t="shared" ref="D113:G113" si="18">MIN(1/1000*D102,70)</f>
        <v>31.139633308246239</v>
      </c>
      <c r="E113">
        <f t="shared" si="18"/>
        <v>14.026123926918416</v>
      </c>
      <c r="F113">
        <f t="shared" si="18"/>
        <v>33.670374251363846</v>
      </c>
      <c r="G113">
        <f t="shared" si="18"/>
        <v>18.596793176252248</v>
      </c>
    </row>
    <row r="114" spans="2:7" x14ac:dyDescent="0.25">
      <c r="B114" t="s">
        <v>181</v>
      </c>
      <c r="C114">
        <f>1/5</f>
        <v>0.2</v>
      </c>
      <c r="D114">
        <f t="shared" ref="D114:G114" si="19">1/5</f>
        <v>0.2</v>
      </c>
      <c r="E114">
        <f t="shared" si="19"/>
        <v>0.2</v>
      </c>
      <c r="F114">
        <f t="shared" si="19"/>
        <v>0.2</v>
      </c>
      <c r="G114">
        <f t="shared" si="19"/>
        <v>0.2</v>
      </c>
    </row>
    <row r="116" spans="2:7" x14ac:dyDescent="0.25">
      <c r="B116" t="s">
        <v>213</v>
      </c>
      <c r="C116">
        <f>SUMPRODUCT(C113:G113,C114:G114)</f>
        <v>31.601506218566023</v>
      </c>
    </row>
  </sheetData>
  <mergeCells count="6">
    <mergeCell ref="A33:J34"/>
    <mergeCell ref="B10:I10"/>
    <mergeCell ref="B14:I14"/>
    <mergeCell ref="B18:I18"/>
    <mergeCell ref="A1:T2"/>
    <mergeCell ref="A4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7856-DC1F-43D4-A38F-07C67E254150}">
  <dimension ref="A1:Z69"/>
  <sheetViews>
    <sheetView showGridLines="0" zoomScale="110" zoomScaleNormal="110" workbookViewId="0">
      <selection activeCell="R11" sqref="R11"/>
    </sheetView>
  </sheetViews>
  <sheetFormatPr defaultRowHeight="15" x14ac:dyDescent="0.25"/>
  <cols>
    <col min="1" max="1" width="2.85546875" customWidth="1"/>
    <col min="2" max="2" width="13.140625" bestFit="1" customWidth="1"/>
    <col min="4" max="4" width="10.5703125" bestFit="1" customWidth="1"/>
    <col min="5" max="5" width="10.140625" customWidth="1"/>
    <col min="7" max="7" width="14.140625" customWidth="1"/>
    <col min="8" max="8" width="9" bestFit="1" customWidth="1"/>
    <col min="9" max="9" width="10" bestFit="1" customWidth="1"/>
    <col min="10" max="10" width="9" bestFit="1" customWidth="1"/>
    <col min="11" max="11" width="10.5703125" customWidth="1"/>
    <col min="12" max="12" width="12.42578125" customWidth="1"/>
    <col min="13" max="13" width="10" bestFit="1" customWidth="1"/>
    <col min="14" max="14" width="12.5703125" customWidth="1"/>
    <col min="15" max="15" width="10" bestFit="1" customWidth="1"/>
    <col min="16" max="16" width="9" bestFit="1" customWidth="1"/>
    <col min="17" max="17" width="13.7109375" customWidth="1"/>
    <col min="18" max="18" width="17.7109375" customWidth="1"/>
    <col min="19" max="19" width="16.42578125" bestFit="1" customWidth="1"/>
    <col min="20" max="20" width="12.7109375" customWidth="1"/>
    <col min="21" max="21" width="13.42578125" bestFit="1" customWidth="1"/>
    <col min="22" max="22" width="12.85546875" bestFit="1" customWidth="1"/>
    <col min="23" max="23" width="6.140625" customWidth="1"/>
    <col min="24" max="24" width="14.140625" customWidth="1"/>
    <col min="25" max="25" width="14.7109375" customWidth="1"/>
    <col min="26" max="26" width="12.42578125" customWidth="1"/>
  </cols>
  <sheetData>
    <row r="1" spans="1:23" x14ac:dyDescent="0.25">
      <c r="A1" s="230" t="s">
        <v>241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</row>
    <row r="2" spans="1:23" x14ac:dyDescent="0.25">
      <c r="A2" s="230"/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</row>
    <row r="4" spans="1:23" x14ac:dyDescent="0.25">
      <c r="A4" s="259" t="s">
        <v>234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</row>
    <row r="5" spans="1:23" x14ac:dyDescent="0.25">
      <c r="A5" s="259"/>
      <c r="B5" s="259"/>
      <c r="C5" s="259"/>
      <c r="D5" s="259"/>
      <c r="E5" s="259"/>
      <c r="F5" s="259"/>
      <c r="G5" s="259"/>
      <c r="H5" s="259"/>
      <c r="I5" s="259"/>
      <c r="J5" s="259"/>
      <c r="K5" s="259"/>
      <c r="L5" s="259"/>
      <c r="M5" s="259"/>
      <c r="N5" s="259"/>
      <c r="O5" s="259"/>
      <c r="P5" s="259"/>
      <c r="Q5" s="259"/>
      <c r="R5" s="259"/>
      <c r="S5" s="259"/>
      <c r="T5" s="259"/>
    </row>
    <row r="7" spans="1:23" x14ac:dyDescent="0.25">
      <c r="B7" s="260" t="s">
        <v>218</v>
      </c>
      <c r="C7" s="260"/>
      <c r="D7" s="195"/>
      <c r="G7" s="261" t="s">
        <v>219</v>
      </c>
      <c r="H7" s="261"/>
      <c r="I7" s="261"/>
      <c r="J7" s="261"/>
      <c r="K7" s="20"/>
      <c r="L7" s="263" t="s">
        <v>220</v>
      </c>
      <c r="M7" s="263"/>
      <c r="N7" s="263"/>
      <c r="O7" s="263"/>
      <c r="P7" s="263"/>
      <c r="R7" s="258"/>
      <c r="S7" s="258"/>
      <c r="T7" s="258"/>
      <c r="U7" s="258"/>
      <c r="V7" s="258"/>
    </row>
    <row r="8" spans="1:23" ht="15.75" x14ac:dyDescent="0.25">
      <c r="B8" s="200" t="s">
        <v>167</v>
      </c>
      <c r="C8" s="218">
        <v>0.02</v>
      </c>
      <c r="D8" s="195"/>
      <c r="G8" s="214" t="s">
        <v>221</v>
      </c>
      <c r="H8" s="214" t="s">
        <v>239</v>
      </c>
      <c r="I8" s="214" t="s">
        <v>240</v>
      </c>
      <c r="J8" s="214" t="s">
        <v>26</v>
      </c>
      <c r="K8" s="20"/>
      <c r="L8" s="211" t="s">
        <v>221</v>
      </c>
      <c r="M8" s="211" t="s">
        <v>236</v>
      </c>
      <c r="N8" s="211" t="s">
        <v>237</v>
      </c>
      <c r="O8" s="211" t="s">
        <v>238</v>
      </c>
      <c r="P8" s="211" t="s">
        <v>26</v>
      </c>
      <c r="R8" s="208"/>
      <c r="S8" s="208"/>
      <c r="T8" s="208"/>
      <c r="U8" s="208"/>
      <c r="V8" s="208"/>
    </row>
    <row r="9" spans="1:23" x14ac:dyDescent="0.25">
      <c r="B9" s="200" t="s">
        <v>166</v>
      </c>
      <c r="C9" s="218">
        <v>0.06</v>
      </c>
      <c r="D9" s="195"/>
      <c r="G9" s="204">
        <v>1</v>
      </c>
      <c r="H9" s="219">
        <f>(1+$C$11)^G9</f>
        <v>1.04</v>
      </c>
      <c r="I9" s="219">
        <f>$C$13^G9-(1+$C$11)^(2*G9)</f>
        <v>1.3333333333331865E-4</v>
      </c>
      <c r="J9" s="219">
        <f>SQRT(I9)</f>
        <v>1.1547005383791879E-2</v>
      </c>
      <c r="K9" s="186"/>
      <c r="L9" s="204">
        <v>1</v>
      </c>
      <c r="M9" s="219">
        <f>1+$C$11</f>
        <v>1.04</v>
      </c>
      <c r="N9" s="219">
        <f>$C$13</f>
        <v>1.0817333333333334</v>
      </c>
      <c r="O9" s="219">
        <f>N9-M9^2</f>
        <v>1.3333333333331865E-4</v>
      </c>
      <c r="P9" s="219">
        <f>SQRT(O9)</f>
        <v>1.1547005383791879E-2</v>
      </c>
      <c r="R9" s="209"/>
      <c r="S9" s="210"/>
      <c r="T9" s="210"/>
      <c r="U9" s="210"/>
      <c r="V9" s="210"/>
    </row>
    <row r="10" spans="1:23" x14ac:dyDescent="0.25">
      <c r="C10" s="186"/>
      <c r="G10" s="204">
        <v>2</v>
      </c>
      <c r="H10" s="219">
        <f t="shared" ref="H10:H33" si="0">(1+$C$11)^G10</f>
        <v>1.0816000000000001</v>
      </c>
      <c r="I10" s="219">
        <f t="shared" ref="I10:I33" si="1">$C$13^G10-(1+$C$11)^(2*G10)</f>
        <v>2.8844444444442452E-4</v>
      </c>
      <c r="J10" s="219">
        <f t="shared" ref="J10:J33" si="2">SQRT(I10)</f>
        <v>1.6983652270475408E-2</v>
      </c>
      <c r="K10" s="186"/>
      <c r="L10" s="204">
        <v>2</v>
      </c>
      <c r="M10" s="219">
        <f>$M$9*(1+M9)</f>
        <v>2.1215999999999999</v>
      </c>
      <c r="N10" s="219">
        <f>$N$9*(1+2*M9+N9)</f>
        <v>4.5018856711111113</v>
      </c>
      <c r="O10" s="219">
        <f t="shared" ref="O10:O33" si="3">N10-M10^2</f>
        <v>6.9911111111142787E-4</v>
      </c>
      <c r="P10" s="219">
        <f t="shared" ref="P10:P33" si="4">SQRT(O10)</f>
        <v>2.644070935340858E-2</v>
      </c>
      <c r="R10" s="209"/>
      <c r="S10" s="210"/>
      <c r="T10" s="210"/>
      <c r="U10" s="210"/>
      <c r="V10" s="210"/>
    </row>
    <row r="11" spans="1:23" x14ac:dyDescent="0.25">
      <c r="B11" s="200" t="s">
        <v>225</v>
      </c>
      <c r="C11" s="218">
        <f>(C8+C9)/2</f>
        <v>0.04</v>
      </c>
      <c r="D11" s="195"/>
      <c r="E11" s="195"/>
      <c r="G11" s="204">
        <v>3</v>
      </c>
      <c r="H11" s="219">
        <f t="shared" si="0"/>
        <v>1.1248640000000001</v>
      </c>
      <c r="I11" s="219">
        <f t="shared" si="1"/>
        <v>4.6800111170375303E-4</v>
      </c>
      <c r="J11" s="219">
        <f t="shared" si="2"/>
        <v>2.1633333347030759E-2</v>
      </c>
      <c r="K11" s="186"/>
      <c r="L11" s="204">
        <v>3</v>
      </c>
      <c r="M11" s="219">
        <f>$M$9*(1+M10)</f>
        <v>3.246464</v>
      </c>
      <c r="N11" s="219">
        <f>$N$9*(1+2*M10+N10)</f>
        <v>10.541584006629927</v>
      </c>
      <c r="O11" s="219">
        <f t="shared" si="3"/>
        <v>2.0555033339277884E-3</v>
      </c>
      <c r="P11" s="219">
        <f t="shared" si="4"/>
        <v>4.5337659113895465E-2</v>
      </c>
      <c r="R11" s="209"/>
      <c r="S11" s="210"/>
      <c r="T11" s="210"/>
      <c r="U11" s="210"/>
      <c r="V11" s="210"/>
    </row>
    <row r="12" spans="1:23" ht="17.25" x14ac:dyDescent="0.25">
      <c r="B12" s="200" t="s">
        <v>226</v>
      </c>
      <c r="C12" s="218">
        <f>(C9-C8)^2/12</f>
        <v>1.3333333333333329E-4</v>
      </c>
      <c r="D12" s="195"/>
      <c r="E12" s="195"/>
      <c r="G12" s="204">
        <v>4</v>
      </c>
      <c r="H12" s="219">
        <f t="shared" si="0"/>
        <v>1.1698585600000002</v>
      </c>
      <c r="I12" s="219">
        <f t="shared" si="1"/>
        <v>6.7496160503299762E-4</v>
      </c>
      <c r="J12" s="219">
        <f t="shared" si="2"/>
        <v>2.5980023191540795E-2</v>
      </c>
      <c r="K12" s="186"/>
      <c r="L12" s="204">
        <v>4</v>
      </c>
      <c r="M12" s="219">
        <f t="shared" ref="M12:M33" si="5">$M$9*(1+M11)</f>
        <v>4.4163225599999993</v>
      </c>
      <c r="N12" s="219">
        <f t="shared" ref="N12:N33" si="6">$N$9*(1+2*M11+N11)</f>
        <v>19.508532787971816</v>
      </c>
      <c r="O12" s="219">
        <f t="shared" si="3"/>
        <v>4.62783400686817E-3</v>
      </c>
      <c r="P12" s="219">
        <f t="shared" si="4"/>
        <v>6.8028185385677967E-2</v>
      </c>
      <c r="R12" s="209"/>
      <c r="S12" s="210"/>
      <c r="T12" s="210"/>
      <c r="U12" s="210"/>
      <c r="V12" s="210"/>
    </row>
    <row r="13" spans="1:23" ht="17.25" x14ac:dyDescent="0.25">
      <c r="B13" s="200" t="s">
        <v>227</v>
      </c>
      <c r="C13" s="218">
        <f>1+2*C11+C11^2+C12</f>
        <v>1.0817333333333334</v>
      </c>
      <c r="D13" s="195"/>
      <c r="E13" s="195"/>
      <c r="G13" s="204">
        <v>5</v>
      </c>
      <c r="H13" s="220">
        <f t="shared" si="0"/>
        <v>1.2166529024000003</v>
      </c>
      <c r="I13" s="219">
        <f t="shared" si="1"/>
        <v>9.1260434027184978E-4</v>
      </c>
      <c r="J13" s="220">
        <f t="shared" si="2"/>
        <v>3.0209341937087106E-2</v>
      </c>
      <c r="K13" s="186"/>
      <c r="L13" s="204">
        <v>5</v>
      </c>
      <c r="M13" s="221">
        <f t="shared" si="5"/>
        <v>5.6329754623999992</v>
      </c>
      <c r="N13" s="219">
        <f t="shared" si="6"/>
        <v>31.739330182316714</v>
      </c>
      <c r="O13" s="219">
        <f t="shared" si="3"/>
        <v>8.9176223162290569E-3</v>
      </c>
      <c r="P13" s="221">
        <f t="shared" si="4"/>
        <v>9.4433163222615052E-2</v>
      </c>
      <c r="R13" s="215"/>
      <c r="S13" s="216"/>
      <c r="T13" s="216"/>
      <c r="U13" s="216"/>
      <c r="V13" s="216"/>
      <c r="W13" s="217"/>
    </row>
    <row r="14" spans="1:23" x14ac:dyDescent="0.25">
      <c r="G14" s="204">
        <v>6</v>
      </c>
      <c r="H14" s="219">
        <f t="shared" si="0"/>
        <v>1.2653190184960004</v>
      </c>
      <c r="I14" s="219">
        <f t="shared" si="1"/>
        <v>1.1845604396722997E-3</v>
      </c>
      <c r="J14" s="219">
        <f t="shared" si="2"/>
        <v>3.4417443828272602E-2</v>
      </c>
      <c r="K14" s="186"/>
      <c r="L14" s="204">
        <v>6</v>
      </c>
      <c r="M14" s="219">
        <f t="shared" si="5"/>
        <v>6.8982944808959994</v>
      </c>
      <c r="N14" s="219">
        <f t="shared" si="6"/>
        <v>47.601979416271725</v>
      </c>
      <c r="O14" s="219">
        <f t="shared" si="3"/>
        <v>1.5512671111515886E-2</v>
      </c>
      <c r="P14" s="219">
        <f t="shared" si="4"/>
        <v>0.12454987399237258</v>
      </c>
      <c r="R14" s="215"/>
      <c r="S14" s="216"/>
      <c r="T14" s="216"/>
      <c r="U14" s="216"/>
      <c r="V14" s="216"/>
      <c r="W14" s="217"/>
    </row>
    <row r="15" spans="1:23" x14ac:dyDescent="0.25">
      <c r="B15" s="250"/>
      <c r="C15" s="250"/>
      <c r="G15" s="204">
        <v>7</v>
      </c>
      <c r="H15" s="219">
        <f t="shared" si="0"/>
        <v>1.3159317792358403</v>
      </c>
      <c r="I15" s="219">
        <f t="shared" si="1"/>
        <v>1.4948494754174479E-3</v>
      </c>
      <c r="J15" s="219">
        <f t="shared" si="2"/>
        <v>3.8663283298466106E-2</v>
      </c>
      <c r="K15" s="186"/>
      <c r="L15" s="204">
        <v>7</v>
      </c>
      <c r="M15" s="219">
        <f t="shared" si="5"/>
        <v>8.2142262601318397</v>
      </c>
      <c r="N15" s="219">
        <f t="shared" si="6"/>
        <v>67.498611366830801</v>
      </c>
      <c r="O15" s="219">
        <f t="shared" si="3"/>
        <v>2.5098314191296822E-2</v>
      </c>
      <c r="P15" s="219">
        <f t="shared" si="4"/>
        <v>0.15842447472312104</v>
      </c>
      <c r="R15" s="215"/>
      <c r="S15" s="216"/>
      <c r="T15" s="216"/>
      <c r="U15" s="216"/>
      <c r="V15" s="216"/>
      <c r="W15" s="217"/>
    </row>
    <row r="16" spans="1:23" x14ac:dyDescent="0.25">
      <c r="G16" s="204">
        <v>8</v>
      </c>
      <c r="H16" s="219">
        <f t="shared" si="0"/>
        <v>1.3685690504052741</v>
      </c>
      <c r="I16" s="219">
        <f t="shared" si="1"/>
        <v>1.847918698888229E-3</v>
      </c>
      <c r="J16" s="219">
        <f t="shared" si="2"/>
        <v>4.2987424892498842E-2</v>
      </c>
      <c r="K16" s="186"/>
      <c r="L16" s="204">
        <v>8</v>
      </c>
      <c r="M16" s="219">
        <f t="shared" si="5"/>
        <v>9.5827953105371133</v>
      </c>
      <c r="N16" s="219">
        <f t="shared" si="6"/>
        <v>91.868435908799668</v>
      </c>
      <c r="O16" s="219">
        <f t="shared" si="3"/>
        <v>3.8469945147582507E-2</v>
      </c>
      <c r="P16" s="219">
        <f t="shared" si="4"/>
        <v>0.19613756689523429</v>
      </c>
      <c r="R16" s="215"/>
      <c r="S16" s="216"/>
      <c r="T16" s="216"/>
      <c r="U16" s="216"/>
      <c r="V16" s="216"/>
      <c r="W16" s="217"/>
    </row>
    <row r="17" spans="7:23" x14ac:dyDescent="0.25">
      <c r="G17" s="204">
        <v>9</v>
      </c>
      <c r="H17" s="219">
        <f t="shared" si="0"/>
        <v>1.4233118124214852</v>
      </c>
      <c r="I17" s="219">
        <f t="shared" si="1"/>
        <v>2.2486860866410829E-3</v>
      </c>
      <c r="J17" s="219">
        <f t="shared" si="2"/>
        <v>4.7420313017114121E-2</v>
      </c>
      <c r="K17" s="186"/>
      <c r="L17" s="204">
        <v>9</v>
      </c>
      <c r="M17" s="219">
        <f t="shared" si="5"/>
        <v>11.006107122958598</v>
      </c>
      <c r="N17" s="219">
        <f t="shared" si="6"/>
        <v>121.1909409649156</v>
      </c>
      <c r="O17" s="219">
        <f t="shared" si="3"/>
        <v>5.6546962875614781E-2</v>
      </c>
      <c r="P17" s="219">
        <f t="shared" si="4"/>
        <v>0.23779605311193619</v>
      </c>
      <c r="R17" s="215"/>
      <c r="S17" s="216"/>
      <c r="T17" s="216"/>
      <c r="U17" s="216"/>
      <c r="V17" s="216"/>
      <c r="W17" s="217"/>
    </row>
    <row r="18" spans="7:23" x14ac:dyDescent="0.25">
      <c r="G18" s="204">
        <v>10</v>
      </c>
      <c r="H18" s="220">
        <f t="shared" si="0"/>
        <v>1.4802442849183446</v>
      </c>
      <c r="I18" s="219">
        <f>$C$13^G18-(1+$C$11)^(2*G18)</f>
        <v>2.7025875648396536E-3</v>
      </c>
      <c r="J18" s="220">
        <f t="shared" si="2"/>
        <v>5.1986417118701819E-2</v>
      </c>
      <c r="K18" s="186"/>
      <c r="L18" s="204">
        <v>10</v>
      </c>
      <c r="M18" s="221">
        <f>$M$9*(1+M17)</f>
        <v>12.486351407876942</v>
      </c>
      <c r="N18" s="219">
        <f t="shared" si="6"/>
        <v>155.9893597633982</v>
      </c>
      <c r="O18" s="219">
        <f t="shared" si="3"/>
        <v>8.0388282407710676E-2</v>
      </c>
      <c r="P18" s="221">
        <f t="shared" si="4"/>
        <v>0.2835282744413874</v>
      </c>
      <c r="R18" s="215"/>
      <c r="S18" s="216"/>
      <c r="T18" s="216"/>
      <c r="U18" s="216"/>
      <c r="V18" s="216"/>
      <c r="W18" s="217"/>
    </row>
    <row r="19" spans="7:23" x14ac:dyDescent="0.25">
      <c r="G19" s="204">
        <v>11</v>
      </c>
      <c r="H19" s="219">
        <f t="shared" si="0"/>
        <v>1.5394540563150783</v>
      </c>
      <c r="I19" s="219">
        <f t="shared" si="1"/>
        <v>3.21562880754378E-3</v>
      </c>
      <c r="J19" s="219">
        <f t="shared" si="2"/>
        <v>5.6706514683445147E-2</v>
      </c>
      <c r="K19" s="186"/>
      <c r="L19" s="204">
        <v>11</v>
      </c>
      <c r="M19" s="219">
        <f t="shared" si="5"/>
        <v>14.02580546419202</v>
      </c>
      <c r="N19" s="219">
        <f t="shared" si="6"/>
        <v>196.83442849395479</v>
      </c>
      <c r="O19" s="219">
        <f t="shared" si="3"/>
        <v>0.11120957459607439</v>
      </c>
      <c r="P19" s="219">
        <f t="shared" si="4"/>
        <v>0.33348099585444801</v>
      </c>
      <c r="R19" s="215"/>
      <c r="S19" s="216"/>
      <c r="T19" s="216"/>
      <c r="U19" s="216"/>
      <c r="V19" s="216"/>
      <c r="W19" s="217"/>
    </row>
    <row r="20" spans="7:23" x14ac:dyDescent="0.25">
      <c r="G20" s="204">
        <v>12</v>
      </c>
      <c r="H20" s="219">
        <f t="shared" si="0"/>
        <v>1.6010322185676817</v>
      </c>
      <c r="I20" s="219">
        <f t="shared" si="1"/>
        <v>3.7944420409474766E-3</v>
      </c>
      <c r="J20" s="219">
        <f t="shared" si="2"/>
        <v>6.1599042532716988E-2</v>
      </c>
      <c r="K20" s="186"/>
      <c r="L20" s="204">
        <v>12</v>
      </c>
      <c r="M20" s="219">
        <f t="shared" si="5"/>
        <v>15.626837682759701</v>
      </c>
      <c r="N20" s="219">
        <f t="shared" si="6"/>
        <v>244.34845837779133</v>
      </c>
      <c r="O20" s="219">
        <f t="shared" si="3"/>
        <v>0.15040241447275093</v>
      </c>
      <c r="P20" s="219">
        <f t="shared" si="4"/>
        <v>0.38781750150393024</v>
      </c>
      <c r="R20" s="215"/>
      <c r="S20" s="216"/>
      <c r="T20" s="216"/>
      <c r="U20" s="216"/>
      <c r="V20" s="216"/>
      <c r="W20" s="217"/>
    </row>
    <row r="21" spans="7:23" x14ac:dyDescent="0.25">
      <c r="G21" s="204">
        <v>13</v>
      </c>
      <c r="H21" s="219">
        <f t="shared" si="0"/>
        <v>1.6650735073103891</v>
      </c>
      <c r="I21" s="219">
        <f t="shared" si="1"/>
        <v>4.4463483257466407E-3</v>
      </c>
      <c r="J21" s="219">
        <f t="shared" si="2"/>
        <v>6.6680944247563267E-2</v>
      </c>
      <c r="K21" s="186"/>
      <c r="L21" s="204">
        <v>13</v>
      </c>
      <c r="M21" s="219">
        <f t="shared" si="5"/>
        <v>17.291911190070088</v>
      </c>
      <c r="N21" s="219">
        <f t="shared" si="6"/>
        <v>299.20974814126401</v>
      </c>
      <c r="O21" s="219">
        <f t="shared" si="3"/>
        <v>0.19955553599288578</v>
      </c>
      <c r="P21" s="219">
        <f t="shared" si="4"/>
        <v>0.44671639324395268</v>
      </c>
      <c r="R21" s="215"/>
      <c r="S21" s="216"/>
      <c r="T21" s="216"/>
      <c r="U21" s="216"/>
      <c r="V21" s="216"/>
      <c r="W21" s="217"/>
    </row>
    <row r="22" spans="7:23" x14ac:dyDescent="0.25">
      <c r="G22" s="204">
        <v>14</v>
      </c>
      <c r="H22" s="219">
        <f t="shared" si="0"/>
        <v>1.7316764476028046</v>
      </c>
      <c r="I22" s="219">
        <f t="shared" si="1"/>
        <v>5.1794258335364773E-3</v>
      </c>
      <c r="J22" s="219">
        <f t="shared" si="2"/>
        <v>7.1968227944951363E-2</v>
      </c>
      <c r="K22" s="186"/>
      <c r="L22" s="204">
        <v>14</v>
      </c>
      <c r="M22" s="219">
        <f t="shared" si="5"/>
        <v>19.023587637672893</v>
      </c>
      <c r="N22" s="219">
        <f t="shared" si="6"/>
        <v>362.15736501868702</v>
      </c>
      <c r="O22" s="219">
        <f t="shared" si="3"/>
        <v>0.260478410466078</v>
      </c>
      <c r="P22" s="219">
        <f t="shared" si="4"/>
        <v>0.51037085581572739</v>
      </c>
      <c r="R22" s="215"/>
      <c r="S22" s="216"/>
      <c r="T22" s="216"/>
      <c r="U22" s="216"/>
      <c r="V22" s="216"/>
      <c r="W22" s="217"/>
    </row>
    <row r="23" spans="7:23" x14ac:dyDescent="0.25">
      <c r="G23" s="204">
        <v>15</v>
      </c>
      <c r="H23" s="220">
        <f t="shared" si="0"/>
        <v>1.8009435055069167</v>
      </c>
      <c r="I23" s="219">
        <f t="shared" si="1"/>
        <v>6.0025846808895444E-3</v>
      </c>
      <c r="J23" s="220">
        <f t="shared" si="2"/>
        <v>7.7476349171147346E-2</v>
      </c>
      <c r="K23" s="186"/>
      <c r="L23" s="204">
        <v>15</v>
      </c>
      <c r="M23" s="221">
        <f t="shared" si="5"/>
        <v>20.824531143179808</v>
      </c>
      <c r="N23" s="219">
        <f t="shared" si="6"/>
        <v>433.99632472073182</v>
      </c>
      <c r="O23" s="219">
        <f t="shared" si="3"/>
        <v>0.33522738746609093</v>
      </c>
      <c r="P23" s="221">
        <f t="shared" si="4"/>
        <v>0.57898824467003729</v>
      </c>
      <c r="R23" s="215"/>
      <c r="S23" s="216"/>
      <c r="T23" s="216"/>
      <c r="U23" s="216"/>
      <c r="V23" s="216"/>
      <c r="W23" s="217"/>
    </row>
    <row r="24" spans="7:23" x14ac:dyDescent="0.25">
      <c r="G24" s="204">
        <v>16</v>
      </c>
      <c r="H24" s="219">
        <f t="shared" si="0"/>
        <v>1.8729812457271937</v>
      </c>
      <c r="I24" s="219">
        <f t="shared" si="1"/>
        <v>6.925648936810358E-3</v>
      </c>
      <c r="J24" s="219">
        <f t="shared" si="2"/>
        <v>8.3220483877530768E-2</v>
      </c>
      <c r="K24" s="186"/>
      <c r="L24" s="204">
        <v>16</v>
      </c>
      <c r="M24" s="219">
        <f t="shared" si="5"/>
        <v>22.697512388907001</v>
      </c>
      <c r="N24" s="219">
        <f t="shared" si="6"/>
        <v>515.60320330513775</v>
      </c>
      <c r="O24" s="219">
        <f t="shared" si="3"/>
        <v>0.42613466055092886</v>
      </c>
      <c r="P24" s="219">
        <f t="shared" si="4"/>
        <v>0.65278990536843384</v>
      </c>
      <c r="R24" s="215"/>
      <c r="S24" s="216"/>
      <c r="T24" s="216"/>
      <c r="U24" s="216"/>
      <c r="V24" s="216"/>
      <c r="W24" s="217"/>
    </row>
    <row r="25" spans="7:23" x14ac:dyDescent="0.25">
      <c r="G25" s="204">
        <v>17</v>
      </c>
      <c r="H25" s="219">
        <f t="shared" si="0"/>
        <v>1.9479004955562815</v>
      </c>
      <c r="I25" s="219">
        <f t="shared" si="1"/>
        <v>7.9594464761583161E-3</v>
      </c>
      <c r="J25" s="219">
        <f t="shared" si="2"/>
        <v>8.9215729981647951E-2</v>
      </c>
      <c r="K25" s="186"/>
      <c r="L25" s="204">
        <v>17</v>
      </c>
      <c r="M25" s="219">
        <f t="shared" si="5"/>
        <v>24.64541288446328</v>
      </c>
      <c r="N25" s="219">
        <f t="shared" si="6"/>
        <v>607.93221659159838</v>
      </c>
      <c r="O25" s="219">
        <f t="shared" si="3"/>
        <v>0.53584034592972785</v>
      </c>
      <c r="P25" s="219">
        <f t="shared" si="4"/>
        <v>0.73201116516739539</v>
      </c>
      <c r="R25" s="215"/>
      <c r="S25" s="216"/>
      <c r="T25" s="216"/>
      <c r="U25" s="216"/>
      <c r="V25" s="216"/>
      <c r="W25" s="217"/>
    </row>
    <row r="26" spans="7:23" x14ac:dyDescent="0.25">
      <c r="G26" s="204">
        <v>18</v>
      </c>
      <c r="H26" s="219">
        <f t="shared" si="0"/>
        <v>2.025816515378533</v>
      </c>
      <c r="I26" s="219">
        <f t="shared" si="1"/>
        <v>9.1159074135553908E-3</v>
      </c>
      <c r="J26" s="219">
        <f t="shared" si="2"/>
        <v>9.5477261238241379E-2</v>
      </c>
      <c r="K26" s="186"/>
      <c r="L26" s="204">
        <v>18</v>
      </c>
      <c r="M26" s="219">
        <f t="shared" si="5"/>
        <v>26.671229399841813</v>
      </c>
      <c r="N26" s="219">
        <f t="shared" si="6"/>
        <v>712.02180568945857</v>
      </c>
      <c r="O26" s="219">
        <f t="shared" si="3"/>
        <v>0.66732799047224489</v>
      </c>
      <c r="P26" s="219">
        <f t="shared" si="4"/>
        <v>0.81690145701439709</v>
      </c>
      <c r="R26" s="209"/>
      <c r="S26" s="210"/>
      <c r="T26" s="210"/>
      <c r="U26" s="210"/>
      <c r="V26" s="210"/>
    </row>
    <row r="27" spans="7:23" x14ac:dyDescent="0.25">
      <c r="G27" s="204">
        <v>19</v>
      </c>
      <c r="H27" s="219">
        <f t="shared" si="0"/>
        <v>2.1068491759936743</v>
      </c>
      <c r="I27" s="219">
        <f t="shared" si="1"/>
        <v>1.0408171920020415E-2</v>
      </c>
      <c r="J27" s="219">
        <f t="shared" si="2"/>
        <v>0.1020204485386161</v>
      </c>
      <c r="K27" s="186"/>
      <c r="L27" s="204">
        <v>19</v>
      </c>
      <c r="M27" s="219">
        <f t="shared" si="5"/>
        <v>28.778078575835487</v>
      </c>
      <c r="N27" s="219">
        <f t="shared" si="6"/>
        <v>829.00177037338824</v>
      </c>
      <c r="O27" s="219">
        <f t="shared" si="3"/>
        <v>0.82396385642675796</v>
      </c>
      <c r="P27" s="219">
        <f t="shared" si="4"/>
        <v>0.90772454876287112</v>
      </c>
      <c r="R27" s="209"/>
      <c r="S27" s="210"/>
      <c r="T27" s="210"/>
      <c r="U27" s="210"/>
      <c r="V27" s="210"/>
    </row>
    <row r="28" spans="7:23" x14ac:dyDescent="0.25">
      <c r="G28" s="204">
        <v>20</v>
      </c>
      <c r="H28" s="220">
        <f t="shared" si="0"/>
        <v>2.1911231430334213</v>
      </c>
      <c r="I28" s="219">
        <f t="shared" si="1"/>
        <v>1.1850708298333679E-2</v>
      </c>
      <c r="J28" s="220">
        <f t="shared" si="2"/>
        <v>0.10886095855876743</v>
      </c>
      <c r="K28" s="186"/>
      <c r="L28" s="204">
        <v>20</v>
      </c>
      <c r="M28" s="221">
        <f t="shared" si="5"/>
        <v>30.969201718868906</v>
      </c>
      <c r="N28" s="219">
        <f t="shared" si="6"/>
        <v>960.1009954681075</v>
      </c>
      <c r="O28" s="219">
        <f t="shared" si="3"/>
        <v>1.0095403641147414</v>
      </c>
      <c r="P28" s="221">
        <f t="shared" si="4"/>
        <v>1.0047588586893581</v>
      </c>
      <c r="R28" s="209"/>
      <c r="S28" s="210"/>
      <c r="T28" s="210"/>
      <c r="U28" s="210"/>
      <c r="V28" s="210"/>
    </row>
    <row r="29" spans="7:23" x14ac:dyDescent="0.25">
      <c r="G29" s="204">
        <v>21</v>
      </c>
      <c r="H29" s="219">
        <f t="shared" si="0"/>
        <v>2.2787680687547587</v>
      </c>
      <c r="I29" s="219">
        <f t="shared" si="1"/>
        <v>1.3459442273643596E-2</v>
      </c>
      <c r="J29" s="219">
        <f t="shared" si="2"/>
        <v>0.11601483643760221</v>
      </c>
      <c r="K29" s="186"/>
      <c r="L29" s="204">
        <v>21</v>
      </c>
      <c r="M29" s="219">
        <f t="shared" si="5"/>
        <v>33.24796978762366</v>
      </c>
      <c r="N29" s="219">
        <f t="shared" si="6"/>
        <v>1106.6558191097499</v>
      </c>
      <c r="O29" s="219">
        <f t="shared" si="3"/>
        <v>1.2283241110142171</v>
      </c>
      <c r="P29" s="219">
        <f t="shared" si="4"/>
        <v>1.1082978439996249</v>
      </c>
      <c r="R29" s="209"/>
      <c r="S29" s="210"/>
      <c r="T29" s="210"/>
      <c r="U29" s="210"/>
      <c r="V29" s="210"/>
    </row>
    <row r="30" spans="7:23" x14ac:dyDescent="0.25">
      <c r="G30" s="204">
        <v>22</v>
      </c>
      <c r="H30" s="219">
        <f t="shared" si="0"/>
        <v>2.3699187915049489</v>
      </c>
      <c r="I30" s="219">
        <f t="shared" si="1"/>
        <v>1.5251898543631626E-2</v>
      </c>
      <c r="J30" s="219">
        <f t="shared" si="2"/>
        <v>0.12349857709152615</v>
      </c>
      <c r="K30" s="186"/>
      <c r="L30" s="204">
        <v>22</v>
      </c>
      <c r="M30" s="219">
        <f t="shared" si="5"/>
        <v>35.617888579128611</v>
      </c>
      <c r="N30" s="219">
        <f t="shared" si="6"/>
        <v>1270.1190957615179</v>
      </c>
      <c r="O30" s="219">
        <f t="shared" si="3"/>
        <v>1.485108926297471</v>
      </c>
      <c r="P30" s="219">
        <f t="shared" si="4"/>
        <v>1.2186504528770632</v>
      </c>
      <c r="R30" s="209"/>
      <c r="S30" s="210"/>
      <c r="T30" s="210"/>
      <c r="U30" s="210"/>
      <c r="V30" s="210"/>
    </row>
    <row r="31" spans="7:23" x14ac:dyDescent="0.25">
      <c r="G31" s="204">
        <v>23</v>
      </c>
      <c r="H31" s="219">
        <f t="shared" si="0"/>
        <v>2.4647155431651466</v>
      </c>
      <c r="I31" s="219">
        <f t="shared" si="1"/>
        <v>1.7247355728375879E-2</v>
      </c>
      <c r="J31" s="219">
        <f t="shared" si="2"/>
        <v>0.13132918840979671</v>
      </c>
      <c r="K31" s="186"/>
      <c r="L31" s="204">
        <v>23</v>
      </c>
      <c r="M31" s="219">
        <f t="shared" si="5"/>
        <v>38.082604122293759</v>
      </c>
      <c r="N31" s="219">
        <f t="shared" si="6"/>
        <v>1452.0700111997514</v>
      </c>
      <c r="O31" s="219">
        <f t="shared" si="3"/>
        <v>1.7852744644058021</v>
      </c>
      <c r="P31" s="219">
        <f t="shared" si="4"/>
        <v>1.3361416333629463</v>
      </c>
      <c r="R31" s="209"/>
      <c r="S31" s="210"/>
      <c r="T31" s="210"/>
      <c r="U31" s="210"/>
      <c r="V31" s="210"/>
    </row>
    <row r="32" spans="7:23" x14ac:dyDescent="0.25">
      <c r="G32" s="204">
        <v>24</v>
      </c>
      <c r="H32" s="219">
        <f t="shared" si="0"/>
        <v>2.5633041648917527</v>
      </c>
      <c r="I32" s="219">
        <f t="shared" si="1"/>
        <v>1.94670159644037E-2</v>
      </c>
      <c r="J32" s="219">
        <f t="shared" si="2"/>
        <v>0.13952424866095392</v>
      </c>
      <c r="K32" s="186"/>
      <c r="L32" s="204">
        <v>24</v>
      </c>
      <c r="M32" s="219">
        <f t="shared" si="5"/>
        <v>40.645908287185513</v>
      </c>
      <c r="N32" s="219">
        <f t="shared" si="6"/>
        <v>1654.2247113802564</v>
      </c>
      <c r="O32" s="219">
        <f t="shared" si="3"/>
        <v>2.1348508899604894</v>
      </c>
      <c r="P32" s="219">
        <f t="shared" si="4"/>
        <v>1.4611128943242166</v>
      </c>
      <c r="R32" s="209"/>
      <c r="S32" s="210"/>
      <c r="T32" s="210"/>
      <c r="U32" s="210"/>
      <c r="V32" s="210"/>
    </row>
    <row r="33" spans="1:26" x14ac:dyDescent="0.25">
      <c r="G33" s="204">
        <v>25</v>
      </c>
      <c r="H33" s="220">
        <f t="shared" si="0"/>
        <v>2.6658363314874234</v>
      </c>
      <c r="I33" s="219">
        <f t="shared" si="1"/>
        <v>2.1934190501461615E-2</v>
      </c>
      <c r="J33" s="220">
        <f t="shared" si="2"/>
        <v>0.14810195981641031</v>
      </c>
      <c r="K33" s="186"/>
      <c r="L33" s="204">
        <v>25</v>
      </c>
      <c r="M33" s="221">
        <f t="shared" si="5"/>
        <v>43.311744618672932</v>
      </c>
      <c r="N33" s="219">
        <f t="shared" si="6"/>
        <v>1878.4478121727859</v>
      </c>
      <c r="O33" s="219">
        <f t="shared" si="3"/>
        <v>2.5405902596421583</v>
      </c>
      <c r="P33" s="221">
        <f t="shared" si="4"/>
        <v>1.5939229152133294</v>
      </c>
      <c r="R33" s="209"/>
      <c r="S33" s="210"/>
      <c r="T33" s="210"/>
      <c r="U33" s="210"/>
      <c r="V33" s="210"/>
    </row>
    <row r="35" spans="1:26" x14ac:dyDescent="0.25">
      <c r="A35" s="259" t="s">
        <v>235</v>
      </c>
      <c r="B35" s="259"/>
      <c r="C35" s="259"/>
      <c r="D35" s="259"/>
      <c r="E35" s="259"/>
      <c r="F35" s="259"/>
      <c r="G35" s="259"/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59"/>
    </row>
    <row r="36" spans="1:26" x14ac:dyDescent="0.25">
      <c r="A36" s="259"/>
      <c r="B36" s="259"/>
      <c r="C36" s="259"/>
      <c r="D36" s="259"/>
      <c r="E36" s="259"/>
      <c r="F36" s="259"/>
      <c r="G36" s="259"/>
      <c r="H36" s="259"/>
      <c r="I36" s="259"/>
      <c r="J36" s="259"/>
      <c r="K36" s="259"/>
      <c r="L36" s="259"/>
      <c r="M36" s="259"/>
      <c r="N36" s="259"/>
      <c r="O36" s="259"/>
      <c r="P36" s="259"/>
      <c r="Q36" s="259"/>
      <c r="R36" s="259"/>
      <c r="S36" s="259"/>
      <c r="T36" s="259"/>
    </row>
    <row r="38" spans="1:26" x14ac:dyDescent="0.25">
      <c r="B38" s="260" t="s">
        <v>228</v>
      </c>
      <c r="C38" s="260"/>
      <c r="D38" s="260"/>
      <c r="E38" s="260"/>
      <c r="G38" s="200" t="s">
        <v>225</v>
      </c>
      <c r="H38" s="201">
        <f>SUMPRODUCT(C39:E39,C40:E40)</f>
        <v>3.9999999999999994E-2</v>
      </c>
      <c r="J38" s="261" t="s">
        <v>229</v>
      </c>
      <c r="K38" s="261"/>
      <c r="L38" s="261"/>
      <c r="M38" s="261"/>
      <c r="N38" s="261"/>
      <c r="P38" s="262" t="s">
        <v>230</v>
      </c>
      <c r="Q38" s="262"/>
      <c r="R38" s="262"/>
      <c r="S38" s="262"/>
      <c r="T38" s="262"/>
      <c r="V38" s="258"/>
      <c r="W38" s="258"/>
      <c r="X38" s="258"/>
      <c r="Y38" s="258"/>
      <c r="Z38" s="258"/>
    </row>
    <row r="39" spans="1:26" ht="20.25" customHeight="1" x14ac:dyDescent="0.35">
      <c r="B39" s="200" t="s">
        <v>231</v>
      </c>
      <c r="C39" s="64">
        <v>0.02</v>
      </c>
      <c r="D39" s="64">
        <v>0.04</v>
      </c>
      <c r="E39" s="64">
        <v>0.06</v>
      </c>
      <c r="G39" s="200" t="s">
        <v>226</v>
      </c>
      <c r="H39" s="201">
        <f>SUMPRODUCT(C39:E39,C39:E39,C40:E40)-H38^2</f>
        <v>2.6666666666666722E-4</v>
      </c>
      <c r="J39" s="214" t="s">
        <v>221</v>
      </c>
      <c r="K39" s="214" t="s">
        <v>236</v>
      </c>
      <c r="L39" s="214" t="s">
        <v>237</v>
      </c>
      <c r="M39" s="214" t="s">
        <v>238</v>
      </c>
      <c r="N39" s="214" t="s">
        <v>26</v>
      </c>
      <c r="P39" s="203" t="s">
        <v>221</v>
      </c>
      <c r="Q39" s="203" t="s">
        <v>222</v>
      </c>
      <c r="R39" s="203" t="s">
        <v>223</v>
      </c>
      <c r="S39" s="203" t="s">
        <v>224</v>
      </c>
      <c r="T39" s="203" t="s">
        <v>26</v>
      </c>
      <c r="V39" s="208"/>
      <c r="W39" s="208"/>
      <c r="X39" s="208"/>
      <c r="Y39" s="208"/>
      <c r="Z39" s="208"/>
    </row>
    <row r="40" spans="1:26" ht="17.25" x14ac:dyDescent="0.25">
      <c r="B40" s="200" t="s">
        <v>232</v>
      </c>
      <c r="C40" s="84">
        <f>1/3</f>
        <v>0.33333333333333331</v>
      </c>
      <c r="D40" s="84">
        <f t="shared" ref="D40:E40" si="7">1/3</f>
        <v>0.33333333333333331</v>
      </c>
      <c r="E40" s="84">
        <f t="shared" si="7"/>
        <v>0.33333333333333331</v>
      </c>
      <c r="G40" s="200" t="s">
        <v>227</v>
      </c>
      <c r="H40" s="201">
        <f>1+2*H38+H38^2+H39</f>
        <v>1.0818666666666668</v>
      </c>
      <c r="J40" s="204">
        <v>1</v>
      </c>
      <c r="K40" s="212">
        <f>1+$H$38</f>
        <v>1.04</v>
      </c>
      <c r="L40" s="213">
        <f>$H$40</f>
        <v>1.0818666666666668</v>
      </c>
      <c r="M40" s="213">
        <f t="shared" ref="M40:M49" si="8">L40-K40^2</f>
        <v>2.666666666666373E-4</v>
      </c>
      <c r="N40" s="212">
        <f>SQRT(M40)</f>
        <v>1.632993161855362E-2</v>
      </c>
      <c r="P40" s="204">
        <v>1</v>
      </c>
      <c r="Q40" s="205">
        <f>$H$41*K40</f>
        <v>52000</v>
      </c>
      <c r="R40" s="206">
        <f>$H$41^2*L40</f>
        <v>2704666666.666667</v>
      </c>
      <c r="S40" s="206">
        <f>$H$41^2*M40</f>
        <v>666666.66666659329</v>
      </c>
      <c r="T40" s="205">
        <f>SQRT(S40)</f>
        <v>816.49658092768107</v>
      </c>
      <c r="V40" s="208"/>
      <c r="W40" s="199"/>
      <c r="X40" s="199"/>
      <c r="Y40" s="199"/>
      <c r="Z40" s="199"/>
    </row>
    <row r="41" spans="1:26" x14ac:dyDescent="0.25">
      <c r="G41" s="200" t="s">
        <v>233</v>
      </c>
      <c r="H41" s="202">
        <v>50000</v>
      </c>
      <c r="J41" s="204">
        <v>2</v>
      </c>
      <c r="K41" s="212">
        <f>$K$40*(1+K40)</f>
        <v>2.1215999999999999</v>
      </c>
      <c r="L41" s="213">
        <f>$L$40*(1+2*K40+L40)</f>
        <v>4.5025848177777776</v>
      </c>
      <c r="M41" s="213">
        <f t="shared" si="8"/>
        <v>1.3982577777778005E-3</v>
      </c>
      <c r="N41" s="212">
        <f>SQRT(M41)</f>
        <v>3.7393285196379848E-2</v>
      </c>
      <c r="P41" s="204">
        <v>2</v>
      </c>
      <c r="Q41" s="205">
        <f t="shared" ref="Q41:Q49" si="9">$H$41*K41</f>
        <v>106080</v>
      </c>
      <c r="R41" s="206">
        <f t="shared" ref="R41:R49" si="10">$H$41^2*L41</f>
        <v>11256462044.444445</v>
      </c>
      <c r="S41" s="206">
        <f t="shared" ref="S41:S49" si="11">$H$41^2*M41</f>
        <v>3495644.4444445013</v>
      </c>
      <c r="T41" s="205">
        <f t="shared" ref="T41:T49" si="12">SQRT(S41)</f>
        <v>1869.6642598189926</v>
      </c>
      <c r="V41" s="208"/>
      <c r="W41" s="199"/>
      <c r="X41" s="199"/>
      <c r="Y41" s="199"/>
      <c r="Z41" s="199"/>
    </row>
    <row r="42" spans="1:26" x14ac:dyDescent="0.25">
      <c r="D42" s="195"/>
      <c r="E42" s="195"/>
      <c r="J42" s="204">
        <v>3</v>
      </c>
      <c r="K42" s="212">
        <f t="shared" ref="K42:K49" si="13">$K$40*(1+K41)</f>
        <v>3.246464</v>
      </c>
      <c r="L42" s="213">
        <f t="shared" ref="L42:L49" si="14">$L$40*(1+2*K41+L41)</f>
        <v>10.543639734859854</v>
      </c>
      <c r="M42" s="213">
        <f t="shared" si="8"/>
        <v>4.1112315638542896E-3</v>
      </c>
      <c r="N42" s="212">
        <f t="shared" ref="N42:N49" si="15">SQRT(M42)</f>
        <v>6.4118886171348061E-2</v>
      </c>
      <c r="P42" s="204">
        <v>3</v>
      </c>
      <c r="Q42" s="205">
        <f t="shared" si="9"/>
        <v>162323.20000000001</v>
      </c>
      <c r="R42" s="206">
        <f t="shared" si="10"/>
        <v>26359099337.149635</v>
      </c>
      <c r="S42" s="206">
        <f t="shared" si="11"/>
        <v>10278078.909635724</v>
      </c>
      <c r="T42" s="205">
        <f t="shared" si="12"/>
        <v>3205.9443085674029</v>
      </c>
      <c r="V42" s="208"/>
      <c r="W42" s="199"/>
      <c r="X42" s="199"/>
      <c r="Y42" s="199"/>
      <c r="Z42" s="199"/>
    </row>
    <row r="43" spans="1:26" x14ac:dyDescent="0.25">
      <c r="D43" s="195"/>
      <c r="E43" s="195"/>
      <c r="J43" s="204">
        <v>4</v>
      </c>
      <c r="K43" s="212">
        <f t="shared" si="13"/>
        <v>4.4163225599999993</v>
      </c>
      <c r="L43" s="213">
        <f t="shared" si="14"/>
        <v>19.513161413420384</v>
      </c>
      <c r="M43" s="213">
        <f t="shared" si="8"/>
        <v>9.2564594554360724E-3</v>
      </c>
      <c r="N43" s="212">
        <f t="shared" si="15"/>
        <v>9.6210495557584944E-2</v>
      </c>
      <c r="P43" s="204">
        <v>4</v>
      </c>
      <c r="Q43" s="205">
        <f t="shared" si="9"/>
        <v>220816.12799999997</v>
      </c>
      <c r="R43" s="206">
        <f t="shared" si="10"/>
        <v>48782903533.550964</v>
      </c>
      <c r="S43" s="206">
        <f t="shared" si="11"/>
        <v>23141148.638590179</v>
      </c>
      <c r="T43" s="205">
        <f t="shared" si="12"/>
        <v>4810.5247778792473</v>
      </c>
      <c r="V43" s="208"/>
      <c r="W43" s="199"/>
      <c r="X43" s="199"/>
      <c r="Y43" s="199"/>
      <c r="Z43" s="199"/>
    </row>
    <row r="44" spans="1:26" x14ac:dyDescent="0.25">
      <c r="D44" s="195"/>
      <c r="E44" s="195"/>
      <c r="J44" s="204">
        <v>5</v>
      </c>
      <c r="K44" s="212">
        <f t="shared" si="13"/>
        <v>5.6329754623999992</v>
      </c>
      <c r="L44" s="213">
        <f t="shared" si="14"/>
        <v>31.748249894956402</v>
      </c>
      <c r="M44" s="213">
        <f t="shared" si="8"/>
        <v>1.7837334955917328E-2</v>
      </c>
      <c r="N44" s="212">
        <f t="shared" si="15"/>
        <v>0.13355648601216388</v>
      </c>
      <c r="P44" s="204">
        <v>5</v>
      </c>
      <c r="Q44" s="205">
        <f t="shared" si="9"/>
        <v>281648.77311999997</v>
      </c>
      <c r="R44" s="206">
        <f t="shared" si="10"/>
        <v>79370624737.391006</v>
      </c>
      <c r="S44" s="206">
        <f t="shared" si="11"/>
        <v>44593337.389793321</v>
      </c>
      <c r="T44" s="205">
        <f t="shared" si="12"/>
        <v>6677.8243006081948</v>
      </c>
      <c r="V44" s="208"/>
      <c r="W44" s="199"/>
      <c r="X44" s="199"/>
      <c r="Y44" s="199"/>
      <c r="Z44" s="199"/>
    </row>
    <row r="45" spans="1:26" x14ac:dyDescent="0.25">
      <c r="J45" s="204">
        <v>6</v>
      </c>
      <c r="K45" s="212">
        <f t="shared" si="13"/>
        <v>6.8982944808959994</v>
      </c>
      <c r="L45" s="213">
        <f t="shared" si="14"/>
        <v>47.617496726867124</v>
      </c>
      <c r="M45" s="213">
        <f t="shared" si="8"/>
        <v>3.1029981706915066E-2</v>
      </c>
      <c r="N45" s="212">
        <f t="shared" si="15"/>
        <v>0.17615329036641655</v>
      </c>
      <c r="P45" s="204">
        <v>6</v>
      </c>
      <c r="Q45" s="205">
        <f t="shared" si="9"/>
        <v>344914.72404479998</v>
      </c>
      <c r="R45" s="206">
        <f t="shared" si="10"/>
        <v>119043741817.16782</v>
      </c>
      <c r="S45" s="206">
        <f t="shared" si="11"/>
        <v>77574954.267287672</v>
      </c>
      <c r="T45" s="205">
        <f t="shared" si="12"/>
        <v>8807.6645183208293</v>
      </c>
      <c r="V45" s="208"/>
      <c r="W45" s="199"/>
      <c r="X45" s="199"/>
      <c r="Y45" s="199"/>
      <c r="Z45" s="199"/>
    </row>
    <row r="46" spans="1:26" x14ac:dyDescent="0.25">
      <c r="J46" s="204">
        <v>7</v>
      </c>
      <c r="K46" s="212">
        <f t="shared" si="13"/>
        <v>8.2142262601318397</v>
      </c>
      <c r="L46" s="213">
        <f t="shared" si="14"/>
        <v>67.52371883703735</v>
      </c>
      <c r="M46" s="213">
        <f t="shared" si="8"/>
        <v>5.0205784397846287E-2</v>
      </c>
      <c r="N46" s="212">
        <f t="shared" si="15"/>
        <v>0.22406647316777734</v>
      </c>
      <c r="P46" s="204">
        <v>7</v>
      </c>
      <c r="Q46" s="205">
        <f t="shared" si="9"/>
        <v>410711.31300659198</v>
      </c>
      <c r="R46" s="206">
        <f t="shared" si="10"/>
        <v>168809297092.59338</v>
      </c>
      <c r="S46" s="206">
        <f t="shared" si="11"/>
        <v>125514460.99461572</v>
      </c>
      <c r="T46" s="205">
        <f t="shared" si="12"/>
        <v>11203.323658388868</v>
      </c>
      <c r="V46" s="208"/>
      <c r="W46" s="199"/>
      <c r="X46" s="199"/>
      <c r="Y46" s="199"/>
      <c r="Z46" s="199"/>
    </row>
    <row r="47" spans="1:26" x14ac:dyDescent="0.25">
      <c r="J47" s="204">
        <v>8</v>
      </c>
      <c r="K47" s="212">
        <f t="shared" si="13"/>
        <v>9.5827953105371133</v>
      </c>
      <c r="L47" s="213">
        <f t="shared" si="14"/>
        <v>91.90692245241874</v>
      </c>
      <c r="M47" s="213">
        <f t="shared" si="8"/>
        <v>7.6956488766654729E-2</v>
      </c>
      <c r="N47" s="212">
        <f t="shared" si="15"/>
        <v>0.27741032563092299</v>
      </c>
      <c r="P47" s="204">
        <v>8</v>
      </c>
      <c r="Q47" s="205">
        <f t="shared" si="9"/>
        <v>479139.76552685566</v>
      </c>
      <c r="R47" s="206">
        <f t="shared" si="10"/>
        <v>229767306131.04684</v>
      </c>
      <c r="S47" s="206">
        <f t="shared" si="11"/>
        <v>192391221.91663682</v>
      </c>
      <c r="T47" s="205">
        <f t="shared" si="12"/>
        <v>13870.51628154615</v>
      </c>
      <c r="V47" s="208"/>
      <c r="W47" s="199"/>
      <c r="X47" s="199"/>
      <c r="Y47" s="199"/>
      <c r="Z47" s="199"/>
    </row>
    <row r="48" spans="1:26" x14ac:dyDescent="0.25">
      <c r="J48" s="204">
        <v>9</v>
      </c>
      <c r="K48" s="212">
        <f t="shared" si="13"/>
        <v>11.006107122958598</v>
      </c>
      <c r="L48" s="213">
        <f t="shared" si="14"/>
        <v>121.24751614377627</v>
      </c>
      <c r="M48" s="213">
        <f t="shared" si="8"/>
        <v>0.11312214173628377</v>
      </c>
      <c r="N48" s="212">
        <f t="shared" si="15"/>
        <v>0.33633635208862533</v>
      </c>
      <c r="P48" s="204">
        <v>9</v>
      </c>
      <c r="Q48" s="205">
        <f t="shared" si="9"/>
        <v>550305.35614792991</v>
      </c>
      <c r="R48" s="206">
        <f t="shared" si="10"/>
        <v>303118790359.44067</v>
      </c>
      <c r="S48" s="206">
        <f t="shared" si="11"/>
        <v>282805354.34070939</v>
      </c>
      <c r="T48" s="205">
        <f t="shared" si="12"/>
        <v>16816.817604431268</v>
      </c>
      <c r="V48" s="208"/>
      <c r="W48" s="199"/>
      <c r="X48" s="199"/>
      <c r="Y48" s="199"/>
      <c r="Z48" s="199"/>
    </row>
    <row r="49" spans="3:26" x14ac:dyDescent="0.25">
      <c r="J49" s="204">
        <v>10</v>
      </c>
      <c r="K49" s="212">
        <f t="shared" si="13"/>
        <v>12.486351407876942</v>
      </c>
      <c r="L49" s="213">
        <f t="shared" si="14"/>
        <v>156.06979365092971</v>
      </c>
      <c r="M49" s="213">
        <f t="shared" si="8"/>
        <v>0.16082216993922316</v>
      </c>
      <c r="N49" s="212">
        <f t="shared" si="15"/>
        <v>0.40102639556421116</v>
      </c>
      <c r="P49" s="204">
        <v>10</v>
      </c>
      <c r="Q49" s="205">
        <f t="shared" si="9"/>
        <v>624317.57039384707</v>
      </c>
      <c r="R49" s="206">
        <f t="shared" si="10"/>
        <v>390174484127.32428</v>
      </c>
      <c r="S49" s="206">
        <f t="shared" si="11"/>
        <v>402055424.84805793</v>
      </c>
      <c r="T49" s="207">
        <f t="shared" si="12"/>
        <v>20051.31977821056</v>
      </c>
      <c r="V49" s="208"/>
      <c r="W49" s="199"/>
      <c r="X49" s="199"/>
      <c r="Y49" s="199"/>
      <c r="Z49" s="199"/>
    </row>
    <row r="51" spans="3:26" x14ac:dyDescent="0.25">
      <c r="C51" s="217"/>
      <c r="D51" s="217"/>
      <c r="E51" s="217"/>
      <c r="F51" s="217"/>
      <c r="G51" s="217"/>
      <c r="H51" s="217"/>
      <c r="I51" s="217"/>
      <c r="J51" s="217"/>
      <c r="K51" s="217"/>
    </row>
    <row r="52" spans="3:26" x14ac:dyDescent="0.25">
      <c r="C52" s="217"/>
      <c r="D52" s="217"/>
      <c r="E52" s="217"/>
      <c r="F52" s="217"/>
      <c r="G52" s="217"/>
      <c r="H52" s="217"/>
      <c r="I52" s="217"/>
      <c r="J52" s="217"/>
      <c r="K52" s="217"/>
    </row>
    <row r="53" spans="3:26" x14ac:dyDescent="0.25">
      <c r="C53" s="217"/>
      <c r="D53" s="217"/>
      <c r="E53" s="217"/>
      <c r="F53" s="217"/>
      <c r="G53" s="217"/>
      <c r="H53" s="217"/>
      <c r="I53" s="217"/>
      <c r="J53" s="217"/>
      <c r="K53" s="217"/>
    </row>
    <row r="54" spans="3:26" x14ac:dyDescent="0.25">
      <c r="C54" s="217"/>
      <c r="D54" s="217"/>
      <c r="E54" s="217"/>
      <c r="F54" s="217"/>
      <c r="G54" s="217"/>
      <c r="H54" s="217"/>
      <c r="I54" s="217"/>
      <c r="J54" s="217"/>
      <c r="K54" s="217"/>
    </row>
    <row r="55" spans="3:26" x14ac:dyDescent="0.25">
      <c r="C55" s="217"/>
      <c r="D55" s="217"/>
      <c r="E55" s="217"/>
      <c r="F55" s="217"/>
      <c r="G55" s="217"/>
      <c r="H55" s="217"/>
      <c r="I55" s="217"/>
      <c r="J55" s="217"/>
      <c r="K55" s="217"/>
    </row>
    <row r="56" spans="3:26" x14ac:dyDescent="0.25">
      <c r="C56" s="217"/>
      <c r="D56" s="217"/>
      <c r="E56" s="217"/>
      <c r="F56" s="217"/>
      <c r="G56" s="217"/>
      <c r="H56" s="217"/>
      <c r="I56" s="217"/>
      <c r="J56" s="217"/>
      <c r="K56" s="217"/>
      <c r="N56" s="217"/>
      <c r="O56" s="217"/>
      <c r="P56" s="217"/>
      <c r="Q56" s="217"/>
      <c r="R56" s="217"/>
      <c r="S56" s="217"/>
    </row>
    <row r="57" spans="3:26" x14ac:dyDescent="0.25">
      <c r="C57" s="217"/>
      <c r="D57" s="217"/>
      <c r="E57" s="217"/>
      <c r="F57" s="217"/>
      <c r="G57" s="217"/>
      <c r="H57" s="217"/>
      <c r="I57" s="217"/>
      <c r="J57" s="217"/>
      <c r="K57" s="217"/>
      <c r="N57" s="217"/>
      <c r="O57" s="217"/>
      <c r="P57" s="217"/>
      <c r="Q57" s="217"/>
      <c r="R57" s="217"/>
      <c r="S57" s="217"/>
    </row>
    <row r="58" spans="3:26" x14ac:dyDescent="0.25">
      <c r="C58" s="217"/>
      <c r="D58" s="217"/>
      <c r="E58" s="217"/>
      <c r="F58" s="217"/>
      <c r="G58" s="217"/>
      <c r="H58" s="217"/>
      <c r="I58" s="217"/>
      <c r="J58" s="217"/>
      <c r="K58" s="217"/>
      <c r="N58" s="217"/>
      <c r="O58" s="217"/>
      <c r="P58" s="217"/>
      <c r="Q58" s="217"/>
      <c r="R58" s="217"/>
      <c r="S58" s="217"/>
    </row>
    <row r="59" spans="3:26" x14ac:dyDescent="0.25">
      <c r="C59" s="217"/>
      <c r="D59" s="217"/>
      <c r="E59" s="217"/>
      <c r="F59" s="217"/>
      <c r="G59" s="217"/>
      <c r="H59" s="217"/>
      <c r="I59" s="217"/>
      <c r="J59" s="217"/>
      <c r="K59" s="217"/>
      <c r="N59" s="217"/>
      <c r="O59" s="217"/>
      <c r="P59" s="217"/>
      <c r="Q59" s="217"/>
      <c r="R59" s="217"/>
      <c r="S59" s="217"/>
    </row>
    <row r="60" spans="3:26" x14ac:dyDescent="0.25">
      <c r="C60" s="217"/>
      <c r="D60" s="217"/>
      <c r="E60" s="217"/>
      <c r="F60" s="217"/>
      <c r="G60" s="217"/>
      <c r="H60" s="217"/>
      <c r="I60" s="217"/>
      <c r="J60" s="217"/>
      <c r="K60" s="217"/>
      <c r="N60" s="217"/>
      <c r="O60" s="217"/>
      <c r="P60" s="217"/>
      <c r="Q60" s="217"/>
      <c r="R60" s="217"/>
      <c r="S60" s="217"/>
    </row>
    <row r="61" spans="3:26" x14ac:dyDescent="0.25">
      <c r="C61" s="217"/>
      <c r="D61" s="217"/>
      <c r="E61" s="217"/>
      <c r="F61" s="217"/>
      <c r="G61" s="217"/>
      <c r="H61" s="217"/>
      <c r="I61" s="217"/>
      <c r="J61" s="217"/>
      <c r="K61" s="217"/>
      <c r="N61" s="217"/>
      <c r="O61" s="217"/>
      <c r="P61" s="217"/>
      <c r="Q61" s="217"/>
      <c r="R61" s="217"/>
      <c r="S61" s="217"/>
    </row>
    <row r="62" spans="3:26" x14ac:dyDescent="0.25">
      <c r="C62" s="217"/>
      <c r="D62" s="217"/>
      <c r="E62" s="217"/>
      <c r="F62" s="217"/>
      <c r="G62" s="217"/>
      <c r="H62" s="217"/>
      <c r="I62" s="217"/>
      <c r="J62" s="217"/>
      <c r="K62" s="217"/>
      <c r="N62" s="217"/>
      <c r="O62" s="217"/>
      <c r="P62" s="217"/>
      <c r="Q62" s="217"/>
      <c r="R62" s="217"/>
      <c r="S62" s="217"/>
    </row>
    <row r="63" spans="3:26" x14ac:dyDescent="0.25">
      <c r="C63" s="217"/>
      <c r="D63" s="217"/>
      <c r="E63" s="217"/>
      <c r="F63" s="217"/>
      <c r="G63" s="217"/>
      <c r="H63" s="217"/>
      <c r="I63" s="217"/>
      <c r="J63" s="217"/>
      <c r="K63" s="217"/>
    </row>
    <row r="64" spans="3:26" x14ac:dyDescent="0.25">
      <c r="C64" s="217"/>
      <c r="D64" s="217"/>
      <c r="E64" s="217"/>
      <c r="F64" s="217"/>
      <c r="G64" s="217"/>
      <c r="H64" s="217"/>
      <c r="I64" s="217"/>
      <c r="J64" s="217"/>
      <c r="K64" s="217"/>
    </row>
    <row r="65" spans="3:11" x14ac:dyDescent="0.25">
      <c r="C65" s="217"/>
      <c r="D65" s="217"/>
      <c r="E65" s="217"/>
      <c r="F65" s="217"/>
      <c r="G65" s="217"/>
      <c r="H65" s="217"/>
      <c r="I65" s="217"/>
      <c r="J65" s="217"/>
      <c r="K65" s="217"/>
    </row>
    <row r="66" spans="3:11" x14ac:dyDescent="0.25">
      <c r="C66" s="217"/>
      <c r="D66" s="217"/>
      <c r="E66" s="217"/>
      <c r="F66" s="217"/>
      <c r="G66" s="217"/>
      <c r="H66" s="217"/>
      <c r="I66" s="217"/>
      <c r="J66" s="217"/>
      <c r="K66" s="217"/>
    </row>
    <row r="67" spans="3:11" x14ac:dyDescent="0.25">
      <c r="C67" s="217"/>
      <c r="D67" s="217"/>
      <c r="E67" s="217"/>
      <c r="F67" s="217"/>
      <c r="G67" s="217"/>
      <c r="H67" s="217"/>
      <c r="I67" s="217"/>
      <c r="J67" s="217"/>
      <c r="K67" s="217"/>
    </row>
    <row r="68" spans="3:11" x14ac:dyDescent="0.25">
      <c r="C68" s="217"/>
      <c r="D68" s="217"/>
      <c r="E68" s="217"/>
      <c r="F68" s="217"/>
      <c r="G68" s="217"/>
      <c r="H68" s="217"/>
      <c r="I68" s="217"/>
      <c r="J68" s="217"/>
      <c r="K68" s="217"/>
    </row>
    <row r="69" spans="3:11" x14ac:dyDescent="0.25">
      <c r="C69" s="217"/>
      <c r="D69" s="217"/>
      <c r="E69" s="217"/>
      <c r="F69" s="217"/>
      <c r="G69" s="217"/>
      <c r="H69" s="217"/>
      <c r="I69" s="217"/>
      <c r="J69" s="217"/>
      <c r="K69" s="217"/>
    </row>
  </sheetData>
  <mergeCells count="12">
    <mergeCell ref="A1:T2"/>
    <mergeCell ref="A4:T5"/>
    <mergeCell ref="B7:C7"/>
    <mergeCell ref="G7:J7"/>
    <mergeCell ref="L7:P7"/>
    <mergeCell ref="R7:V7"/>
    <mergeCell ref="V38:Z38"/>
    <mergeCell ref="B15:C15"/>
    <mergeCell ref="A35:T36"/>
    <mergeCell ref="B38:E38"/>
    <mergeCell ref="J38:N38"/>
    <mergeCell ref="P38:T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 Variance Portfolio Theory1</vt:lpstr>
      <vt:lpstr>Mean Variance Portfolio Theory2</vt:lpstr>
      <vt:lpstr>CAPM</vt:lpstr>
      <vt:lpstr>Models of Asset Returns</vt:lpstr>
      <vt:lpstr>Risk Measures</vt:lpstr>
      <vt:lpstr>Stochastic Interest Rate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2023-03-14T12:59:15Z</dcterms:modified>
  <cp:contentStatus/>
</cp:coreProperties>
</file>