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Github Uploads\Financial Engineering 2\Excel Part\"/>
    </mc:Choice>
  </mc:AlternateContent>
  <xr:revisionPtr revIDLastSave="0" documentId="8_{1873ADB8-E333-49F5-9B99-05FE256471C1}" xr6:coauthVersionLast="47" xr6:coauthVersionMax="47" xr10:uidLastSave="{00000000-0000-0000-0000-000000000000}"/>
  <workbookProtection workbookAlgorithmName="SHA-512" workbookHashValue="4OyCSSfF4bi4KP5lDvG0bD5Ifxj+0UA1dPSF0hBR8MjJWuR75XO0dfBFilGulIf/vMsmheFO2HEJN9zl+1VJfQ==" workbookSaltValue="V7OEubuYvQKg2E2UzkaxaQ==" workbookSpinCount="100000" lockStructure="1"/>
  <bookViews>
    <workbookView xWindow="20685" yWindow="2955" windowWidth="33030" windowHeight="22545" tabRatio="835" xr2:uid="{00000000-000D-0000-FFFF-FFFF00000000}"/>
  </bookViews>
  <sheets>
    <sheet name="Binomial Tree Model" sheetId="11" r:id="rId1"/>
    <sheet name="Black Scholes Simulation" sheetId="13" r:id="rId2"/>
    <sheet name="Greeks" sheetId="14" r:id="rId3"/>
    <sheet name="Credit Risk - Merton Model" sheetId="15" r:id="rId4"/>
    <sheet name="Credit Risk - JLT Model" sheetId="16" r:id="rId5"/>
  </sheets>
  <externalReferences>
    <externalReference r:id="rId6"/>
  </externalReferences>
  <definedNames>
    <definedName name="q3_">'Binomial Tree Model'!$B$10</definedName>
    <definedName name="q4_">'Binomial Tree Model'!$B$13</definedName>
    <definedName name="Rate">'Binomial Tree Model'!$B$3</definedName>
    <definedName name="std">'Binomial Tree Model'!$B$4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5" i="15" l="1"/>
  <c r="N57" i="15" s="1"/>
  <c r="N54" i="15"/>
  <c r="N53" i="15"/>
  <c r="N56" i="15" l="1"/>
  <c r="N58" i="15" s="1"/>
  <c r="N62" i="15" s="1"/>
  <c r="N61" i="15" l="1"/>
  <c r="G29" i="11"/>
  <c r="M29" i="11" s="1"/>
  <c r="L29" i="11" s="1"/>
  <c r="G28" i="11"/>
  <c r="F28" i="11"/>
  <c r="M28" i="11"/>
  <c r="M27" i="11"/>
  <c r="M30" i="11"/>
  <c r="L28" i="11" l="1"/>
  <c r="K28" i="11" s="1"/>
  <c r="L27" i="11"/>
  <c r="K27" i="11" l="1"/>
  <c r="J27" i="11" s="1"/>
  <c r="G30" i="11" l="1"/>
  <c r="F29" i="11"/>
  <c r="E28" i="11"/>
  <c r="G27" i="11"/>
  <c r="F27" i="11"/>
  <c r="E27" i="11"/>
  <c r="F69" i="15"/>
  <c r="C13" i="16" a="1"/>
  <c r="C13" i="16" s="1"/>
  <c r="H71" i="15"/>
  <c r="G71" i="15"/>
  <c r="F71" i="15"/>
  <c r="E71" i="15"/>
  <c r="D71" i="15"/>
  <c r="C71" i="15"/>
  <c r="E69" i="15"/>
  <c r="C68" i="15"/>
  <c r="C70" i="15" s="1"/>
  <c r="H67" i="15"/>
  <c r="H68" i="15" s="1"/>
  <c r="H70" i="15" s="1"/>
  <c r="G67" i="15"/>
  <c r="G68" i="15" s="1"/>
  <c r="G70" i="15" s="1"/>
  <c r="F67" i="15"/>
  <c r="F68" i="15" s="1"/>
  <c r="F70" i="15" s="1"/>
  <c r="E67" i="15"/>
  <c r="E68" i="15" s="1"/>
  <c r="E70" i="15" s="1"/>
  <c r="D67" i="15"/>
  <c r="D69" i="15" s="1"/>
  <c r="C67" i="15"/>
  <c r="C69" i="15" s="1"/>
  <c r="H66" i="15"/>
  <c r="G66" i="15"/>
  <c r="F66" i="15"/>
  <c r="E66" i="15"/>
  <c r="D66" i="15"/>
  <c r="C66" i="15"/>
  <c r="C30" i="15"/>
  <c r="C25" i="15" s="1"/>
  <c r="C26" i="15"/>
  <c r="C28" i="15" s="1"/>
  <c r="C18" i="16" l="1" a="1"/>
  <c r="E65" i="15"/>
  <c r="E62" i="15" s="1"/>
  <c r="E63" i="15" s="1"/>
  <c r="E64" i="15" s="1"/>
  <c r="C65" i="15"/>
  <c r="C62" i="15" s="1"/>
  <c r="C63" i="15" s="1"/>
  <c r="C64" i="15" s="1"/>
  <c r="D68" i="15"/>
  <c r="D70" i="15" s="1"/>
  <c r="D65" i="15" s="1"/>
  <c r="D62" i="15" s="1"/>
  <c r="D63" i="15" s="1"/>
  <c r="D64" i="15" s="1"/>
  <c r="F65" i="15"/>
  <c r="F62" i="15" s="1"/>
  <c r="F63" i="15" s="1"/>
  <c r="F64" i="15" s="1"/>
  <c r="G69" i="15"/>
  <c r="G65" i="15" s="1"/>
  <c r="G62" i="15" s="1"/>
  <c r="G63" i="15" s="1"/>
  <c r="G64" i="15" s="1"/>
  <c r="H69" i="15"/>
  <c r="H65" i="15" s="1"/>
  <c r="H62" i="15" s="1"/>
  <c r="H63" i="15" s="1"/>
  <c r="H64" i="15" s="1"/>
  <c r="C27" i="15"/>
  <c r="C29" i="15" s="1"/>
  <c r="C24" i="15" s="1"/>
  <c r="C21" i="15" s="1"/>
  <c r="C22" i="15" s="1"/>
  <c r="C23" i="15" s="1"/>
  <c r="E44" i="14"/>
  <c r="E43" i="14"/>
  <c r="F39" i="14" a="1"/>
  <c r="F40" i="14" s="1"/>
  <c r="H34" i="14"/>
  <c r="E34" i="14"/>
  <c r="D34" i="14"/>
  <c r="J33" i="14" a="1"/>
  <c r="K34" i="14" s="1"/>
  <c r="H33" i="14"/>
  <c r="E33" i="14"/>
  <c r="D33" i="14"/>
  <c r="D17" i="14"/>
  <c r="D18" i="14" s="1"/>
  <c r="D12" i="14"/>
  <c r="D13" i="14" s="1"/>
  <c r="D14" i="14" s="1"/>
  <c r="D15" i="14" s="1"/>
  <c r="C18" i="16" l="1"/>
  <c r="G18" i="16" s="1"/>
  <c r="C22" i="16" s="1"/>
  <c r="I20" i="16"/>
  <c r="E24" i="16" s="1"/>
  <c r="H19" i="16"/>
  <c r="D23" i="16" s="1"/>
  <c r="J33" i="14"/>
  <c r="F39" i="14"/>
  <c r="K33" i="14"/>
  <c r="J34" i="14"/>
  <c r="D22" i="14"/>
  <c r="D23" i="14" s="1"/>
  <c r="D19" i="14"/>
  <c r="D20" i="14" s="1"/>
  <c r="C27" i="16" l="1" a="1"/>
  <c r="C27" i="16" s="1"/>
  <c r="E102" i="13"/>
  <c r="F102" i="13" s="1"/>
  <c r="G102" i="13" s="1"/>
  <c r="E101" i="13"/>
  <c r="F101" i="13" s="1"/>
  <c r="G101" i="13" s="1"/>
  <c r="E100" i="13"/>
  <c r="F100" i="13" s="1"/>
  <c r="G100" i="13" s="1"/>
  <c r="E99" i="13"/>
  <c r="F99" i="13" s="1"/>
  <c r="G99" i="13" s="1"/>
  <c r="E98" i="13"/>
  <c r="F98" i="13" s="1"/>
  <c r="G98" i="13" s="1"/>
  <c r="E97" i="13"/>
  <c r="F97" i="13" s="1"/>
  <c r="G97" i="13" s="1"/>
  <c r="E96" i="13"/>
  <c r="F96" i="13" s="1"/>
  <c r="G96" i="13" s="1"/>
  <c r="E95" i="13"/>
  <c r="F95" i="13" s="1"/>
  <c r="G95" i="13" s="1"/>
  <c r="E94" i="13"/>
  <c r="F94" i="13" s="1"/>
  <c r="G94" i="13" s="1"/>
  <c r="E93" i="13"/>
  <c r="F93" i="13" s="1"/>
  <c r="G93" i="13" s="1"/>
  <c r="E92" i="13"/>
  <c r="F92" i="13" s="1"/>
  <c r="G92" i="13" s="1"/>
  <c r="E91" i="13"/>
  <c r="F91" i="13" s="1"/>
  <c r="G91" i="13" s="1"/>
  <c r="E90" i="13"/>
  <c r="F90" i="13" s="1"/>
  <c r="G90" i="13" s="1"/>
  <c r="E89" i="13"/>
  <c r="F89" i="13" s="1"/>
  <c r="G89" i="13" s="1"/>
  <c r="E88" i="13"/>
  <c r="F88" i="13" s="1"/>
  <c r="G88" i="13" s="1"/>
  <c r="E87" i="13"/>
  <c r="F87" i="13" s="1"/>
  <c r="G87" i="13" s="1"/>
  <c r="E86" i="13"/>
  <c r="F86" i="13" s="1"/>
  <c r="G86" i="13" s="1"/>
  <c r="E85" i="13"/>
  <c r="F85" i="13" s="1"/>
  <c r="G85" i="13" s="1"/>
  <c r="E84" i="13"/>
  <c r="F84" i="13" s="1"/>
  <c r="G84" i="13" s="1"/>
  <c r="E83" i="13"/>
  <c r="F83" i="13" s="1"/>
  <c r="G83" i="13" s="1"/>
  <c r="E82" i="13"/>
  <c r="F82" i="13" s="1"/>
  <c r="G82" i="13" s="1"/>
  <c r="E81" i="13"/>
  <c r="F81" i="13" s="1"/>
  <c r="G81" i="13" s="1"/>
  <c r="E80" i="13"/>
  <c r="F80" i="13" s="1"/>
  <c r="G80" i="13" s="1"/>
  <c r="E79" i="13"/>
  <c r="F79" i="13" s="1"/>
  <c r="G79" i="13" s="1"/>
  <c r="E78" i="13"/>
  <c r="F78" i="13" s="1"/>
  <c r="G78" i="13" s="1"/>
  <c r="E77" i="13"/>
  <c r="F77" i="13" s="1"/>
  <c r="G77" i="13" s="1"/>
  <c r="E76" i="13"/>
  <c r="F76" i="13" s="1"/>
  <c r="G76" i="13" s="1"/>
  <c r="E75" i="13"/>
  <c r="F75" i="13" s="1"/>
  <c r="G75" i="13" s="1"/>
  <c r="E74" i="13"/>
  <c r="F74" i="13" s="1"/>
  <c r="G74" i="13" s="1"/>
  <c r="E73" i="13"/>
  <c r="F73" i="13" s="1"/>
  <c r="G73" i="13" s="1"/>
  <c r="E72" i="13"/>
  <c r="F72" i="13" s="1"/>
  <c r="G72" i="13" s="1"/>
  <c r="E71" i="13"/>
  <c r="F71" i="13" s="1"/>
  <c r="G71" i="13" s="1"/>
  <c r="E70" i="13"/>
  <c r="F70" i="13" s="1"/>
  <c r="G70" i="13" s="1"/>
  <c r="E69" i="13"/>
  <c r="F69" i="13" s="1"/>
  <c r="G69" i="13" s="1"/>
  <c r="E68" i="13"/>
  <c r="F68" i="13" s="1"/>
  <c r="G68" i="13" s="1"/>
  <c r="E67" i="13"/>
  <c r="F67" i="13" s="1"/>
  <c r="G67" i="13" s="1"/>
  <c r="E66" i="13"/>
  <c r="F66" i="13" s="1"/>
  <c r="G66" i="13" s="1"/>
  <c r="E65" i="13"/>
  <c r="F65" i="13" s="1"/>
  <c r="G65" i="13" s="1"/>
  <c r="E64" i="13"/>
  <c r="F64" i="13" s="1"/>
  <c r="G64" i="13" s="1"/>
  <c r="E63" i="13"/>
  <c r="F63" i="13" s="1"/>
  <c r="G63" i="13" s="1"/>
  <c r="E62" i="13"/>
  <c r="F62" i="13" s="1"/>
  <c r="G62" i="13" s="1"/>
  <c r="E61" i="13"/>
  <c r="F61" i="13" s="1"/>
  <c r="G61" i="13" s="1"/>
  <c r="E60" i="13"/>
  <c r="F60" i="13" s="1"/>
  <c r="G60" i="13" s="1"/>
  <c r="E59" i="13"/>
  <c r="F59" i="13" s="1"/>
  <c r="G59" i="13" s="1"/>
  <c r="E58" i="13"/>
  <c r="F58" i="13" s="1"/>
  <c r="G58" i="13" s="1"/>
  <c r="E57" i="13"/>
  <c r="F57" i="13" s="1"/>
  <c r="G57" i="13" s="1"/>
  <c r="E56" i="13"/>
  <c r="F56" i="13" s="1"/>
  <c r="G56" i="13" s="1"/>
  <c r="E55" i="13"/>
  <c r="F55" i="13" s="1"/>
  <c r="G55" i="13" s="1"/>
  <c r="E54" i="13"/>
  <c r="F54" i="13" s="1"/>
  <c r="G54" i="13" s="1"/>
  <c r="E53" i="13"/>
  <c r="F53" i="13" s="1"/>
  <c r="G53" i="13" s="1"/>
  <c r="E52" i="13"/>
  <c r="F52" i="13" s="1"/>
  <c r="G52" i="13" s="1"/>
  <c r="E51" i="13"/>
  <c r="F51" i="13" s="1"/>
  <c r="G51" i="13" s="1"/>
  <c r="E50" i="13"/>
  <c r="F50" i="13" s="1"/>
  <c r="G50" i="13" s="1"/>
  <c r="E49" i="13"/>
  <c r="F49" i="13" s="1"/>
  <c r="G49" i="13" s="1"/>
  <c r="E48" i="13"/>
  <c r="F48" i="13" s="1"/>
  <c r="G48" i="13" s="1"/>
  <c r="E47" i="13"/>
  <c r="F47" i="13" s="1"/>
  <c r="G47" i="13" s="1"/>
  <c r="E46" i="13"/>
  <c r="F46" i="13" s="1"/>
  <c r="G46" i="13" s="1"/>
  <c r="E45" i="13"/>
  <c r="F45" i="13" s="1"/>
  <c r="G45" i="13" s="1"/>
  <c r="E44" i="13"/>
  <c r="F44" i="13" s="1"/>
  <c r="G44" i="13" s="1"/>
  <c r="E43" i="13"/>
  <c r="F43" i="13" s="1"/>
  <c r="G43" i="13" s="1"/>
  <c r="E42" i="13"/>
  <c r="F42" i="13" s="1"/>
  <c r="G42" i="13" s="1"/>
  <c r="E41" i="13"/>
  <c r="F41" i="13" s="1"/>
  <c r="G41" i="13" s="1"/>
  <c r="E40" i="13"/>
  <c r="F40" i="13" s="1"/>
  <c r="G40" i="13" s="1"/>
  <c r="E39" i="13"/>
  <c r="F39" i="13" s="1"/>
  <c r="G39" i="13" s="1"/>
  <c r="E38" i="13"/>
  <c r="F38" i="13" s="1"/>
  <c r="G38" i="13" s="1"/>
  <c r="E37" i="13"/>
  <c r="F37" i="13" s="1"/>
  <c r="G37" i="13" s="1"/>
  <c r="E36" i="13"/>
  <c r="F36" i="13" s="1"/>
  <c r="G36" i="13" s="1"/>
  <c r="E35" i="13"/>
  <c r="F35" i="13" s="1"/>
  <c r="G35" i="13" s="1"/>
  <c r="E34" i="13"/>
  <c r="F34" i="13" s="1"/>
  <c r="G34" i="13" s="1"/>
  <c r="E33" i="13"/>
  <c r="F33" i="13" s="1"/>
  <c r="G33" i="13" s="1"/>
  <c r="E32" i="13"/>
  <c r="F32" i="13" s="1"/>
  <c r="G32" i="13" s="1"/>
  <c r="E31" i="13"/>
  <c r="F31" i="13" s="1"/>
  <c r="G31" i="13" s="1"/>
  <c r="E30" i="13"/>
  <c r="F30" i="13" s="1"/>
  <c r="G30" i="13" s="1"/>
  <c r="E29" i="13"/>
  <c r="F29" i="13" s="1"/>
  <c r="G29" i="13" s="1"/>
  <c r="E28" i="13"/>
  <c r="F28" i="13" s="1"/>
  <c r="G28" i="13" s="1"/>
  <c r="E27" i="13"/>
  <c r="F27" i="13" s="1"/>
  <c r="G27" i="13" s="1"/>
  <c r="E26" i="13"/>
  <c r="F26" i="13" s="1"/>
  <c r="G26" i="13" s="1"/>
  <c r="E25" i="13"/>
  <c r="F25" i="13" s="1"/>
  <c r="G25" i="13" s="1"/>
  <c r="E24" i="13"/>
  <c r="F24" i="13" s="1"/>
  <c r="G24" i="13" s="1"/>
  <c r="E23" i="13"/>
  <c r="F23" i="13" s="1"/>
  <c r="G23" i="13" s="1"/>
  <c r="E22" i="13"/>
  <c r="F22" i="13" s="1"/>
  <c r="G22" i="13" s="1"/>
  <c r="E21" i="13"/>
  <c r="F21" i="13" s="1"/>
  <c r="G21" i="13" s="1"/>
  <c r="E20" i="13"/>
  <c r="F20" i="13" s="1"/>
  <c r="G20" i="13" s="1"/>
  <c r="E19" i="13"/>
  <c r="F19" i="13" s="1"/>
  <c r="G19" i="13" s="1"/>
  <c r="E18" i="13"/>
  <c r="F18" i="13" s="1"/>
  <c r="G18" i="13" s="1"/>
  <c r="E17" i="13"/>
  <c r="F17" i="13" s="1"/>
  <c r="G17" i="13" s="1"/>
  <c r="E16" i="13"/>
  <c r="F16" i="13" s="1"/>
  <c r="G16" i="13" s="1"/>
  <c r="E15" i="13"/>
  <c r="F15" i="13" s="1"/>
  <c r="G15" i="13" s="1"/>
  <c r="E14" i="13"/>
  <c r="F14" i="13" s="1"/>
  <c r="G14" i="13" s="1"/>
  <c r="E13" i="13"/>
  <c r="F13" i="13" s="1"/>
  <c r="G13" i="13" s="1"/>
  <c r="E12" i="13"/>
  <c r="F12" i="13" s="1"/>
  <c r="G12" i="13" s="1"/>
  <c r="E11" i="13"/>
  <c r="F11" i="13" s="1"/>
  <c r="G11" i="13" s="1"/>
  <c r="B11" i="13"/>
  <c r="B13" i="13" s="1"/>
  <c r="E10" i="13"/>
  <c r="F10" i="13" s="1"/>
  <c r="G10" i="13" s="1"/>
  <c r="B10" i="13"/>
  <c r="B12" i="13" s="1"/>
  <c r="E9" i="13"/>
  <c r="F9" i="13" s="1"/>
  <c r="G9" i="13" s="1"/>
  <c r="E8" i="13"/>
  <c r="F8" i="13" s="1"/>
  <c r="G8" i="13" s="1"/>
  <c r="E7" i="13"/>
  <c r="F7" i="13" s="1"/>
  <c r="G7" i="13" s="1"/>
  <c r="E6" i="13"/>
  <c r="F6" i="13" s="1"/>
  <c r="G6" i="13" s="1"/>
  <c r="E5" i="13"/>
  <c r="F5" i="13" s="1"/>
  <c r="G5" i="13" s="1"/>
  <c r="E4" i="13"/>
  <c r="F4" i="13" s="1"/>
  <c r="G4" i="13" s="1"/>
  <c r="J3" i="13"/>
  <c r="E3" i="13"/>
  <c r="J5" i="13" l="1"/>
  <c r="F3" i="13"/>
  <c r="G3" i="13" s="1"/>
  <c r="J6" i="13" s="1"/>
  <c r="J7" i="13" s="1"/>
  <c r="B14" i="13"/>
  <c r="J4" i="13"/>
  <c r="B7" i="11" l="1"/>
  <c r="B6" i="11"/>
  <c r="D59" i="11"/>
  <c r="B58" i="11"/>
  <c r="B57" i="11"/>
  <c r="L49" i="11"/>
  <c r="B49" i="11"/>
  <c r="L48" i="11"/>
  <c r="D48" i="11"/>
  <c r="B47" i="11"/>
  <c r="B46" i="11"/>
  <c r="D35" i="11"/>
  <c r="B26" i="11"/>
  <c r="B25" i="11"/>
  <c r="B4" i="11"/>
  <c r="B11" i="11" s="1"/>
  <c r="B3" i="11"/>
  <c r="H13" i="11" l="1"/>
  <c r="G13" i="11"/>
  <c r="F13" i="11"/>
  <c r="E13" i="11"/>
  <c r="B12" i="11"/>
  <c r="H14" i="11" s="1"/>
  <c r="B8" i="11"/>
  <c r="B9" i="11" s="1"/>
  <c r="G8" i="11" s="1"/>
  <c r="B61" i="11"/>
  <c r="B60" i="11"/>
  <c r="E60" i="11"/>
  <c r="B51" i="11"/>
  <c r="E49" i="11" s="1"/>
  <c r="F50" i="11" s="1"/>
  <c r="L50" i="11" s="1"/>
  <c r="K49" i="11" s="1"/>
  <c r="B50" i="11"/>
  <c r="E48" i="11" s="1"/>
  <c r="M8" i="11" l="1"/>
  <c r="G5" i="11"/>
  <c r="G7" i="11"/>
  <c r="G14" i="11"/>
  <c r="E6" i="11"/>
  <c r="B10" i="11"/>
  <c r="E5" i="11"/>
  <c r="E35" i="11"/>
  <c r="F35" i="11" s="1"/>
  <c r="F7" i="11"/>
  <c r="G6" i="11"/>
  <c r="F15" i="11"/>
  <c r="E14" i="11"/>
  <c r="G16" i="11"/>
  <c r="H17" i="11"/>
  <c r="N17" i="11" s="1"/>
  <c r="B13" i="11"/>
  <c r="H15" i="11"/>
  <c r="N15" i="11" s="1"/>
  <c r="F5" i="11"/>
  <c r="F6" i="11"/>
  <c r="H16" i="11"/>
  <c r="N16" i="11" s="1"/>
  <c r="F14" i="11"/>
  <c r="G15" i="11"/>
  <c r="F48" i="11"/>
  <c r="F49" i="11"/>
  <c r="E36" i="11"/>
  <c r="F37" i="11" s="1"/>
  <c r="G38" i="11" s="1"/>
  <c r="H39" i="11" s="1"/>
  <c r="N39" i="11" s="1"/>
  <c r="F61" i="11"/>
  <c r="B52" i="11"/>
  <c r="E59" i="11"/>
  <c r="B62" i="11"/>
  <c r="M5" i="11" l="1"/>
  <c r="F36" i="11"/>
  <c r="G37" i="11" s="1"/>
  <c r="H38" i="11" s="1"/>
  <c r="N38" i="11" s="1"/>
  <c r="N13" i="11"/>
  <c r="N14" i="11"/>
  <c r="C19" i="11" s="1"/>
  <c r="M38" i="11"/>
  <c r="G35" i="11"/>
  <c r="G36" i="11"/>
  <c r="H37" i="11" s="1"/>
  <c r="N37" i="11" s="1"/>
  <c r="G62" i="11"/>
  <c r="M62" i="11" s="1"/>
  <c r="M15" i="11"/>
  <c r="M16" i="11"/>
  <c r="M13" i="11"/>
  <c r="M14" i="11"/>
  <c r="F60" i="11"/>
  <c r="F59" i="11"/>
  <c r="M7" i="11"/>
  <c r="L7" i="11" s="1"/>
  <c r="K48" i="11"/>
  <c r="J48" i="11" s="1"/>
  <c r="M37" i="11" l="1"/>
  <c r="L13" i="11"/>
  <c r="L14" i="11"/>
  <c r="L37" i="11"/>
  <c r="M6" i="11"/>
  <c r="L6" i="11" s="1"/>
  <c r="K6" i="11" s="1"/>
  <c r="L15" i="11"/>
  <c r="G61" i="11"/>
  <c r="M61" i="11" s="1"/>
  <c r="L61" i="11" s="1"/>
  <c r="H36" i="11"/>
  <c r="N36" i="11" s="1"/>
  <c r="M36" i="11" s="1"/>
  <c r="L36" i="11" s="1"/>
  <c r="K36" i="11" s="1"/>
  <c r="H35" i="11"/>
  <c r="N35" i="11" s="1"/>
  <c r="G60" i="11"/>
  <c r="M60" i="11" s="1"/>
  <c r="G59" i="11"/>
  <c r="M59" i="11" s="1"/>
  <c r="L5" i="11" l="1"/>
  <c r="K14" i="11"/>
  <c r="L59" i="11"/>
  <c r="K13" i="11"/>
  <c r="J13" i="11" s="1"/>
  <c r="K5" i="11"/>
  <c r="J5" i="11" s="1"/>
  <c r="L60" i="11"/>
  <c r="K60" i="11" s="1"/>
  <c r="M35" i="11"/>
  <c r="L35" i="11" s="1"/>
  <c r="K35" i="11" s="1"/>
  <c r="J35" i="11" s="1"/>
  <c r="K59" i="11" l="1"/>
  <c r="J59" i="11" s="1"/>
  <c r="P59" i="11"/>
  <c r="Q59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<sst xmlns="http://schemas.openxmlformats.org/spreadsheetml/2006/main" count="281" uniqueCount="164">
  <si>
    <t>sigma</t>
  </si>
  <si>
    <t>r</t>
  </si>
  <si>
    <t>T</t>
  </si>
  <si>
    <t>u</t>
  </si>
  <si>
    <t>d</t>
  </si>
  <si>
    <t>q</t>
  </si>
  <si>
    <t>d1</t>
  </si>
  <si>
    <t>K</t>
  </si>
  <si>
    <t>d2</t>
  </si>
  <si>
    <t>E0</t>
  </si>
  <si>
    <t>mu</t>
  </si>
  <si>
    <t>RP</t>
  </si>
  <si>
    <t xml:space="preserve"> </t>
  </si>
  <si>
    <t>t0</t>
  </si>
  <si>
    <t>t1</t>
  </si>
  <si>
    <t>t2</t>
  </si>
  <si>
    <t>S0</t>
  </si>
  <si>
    <t>QUESTION 1</t>
  </si>
  <si>
    <t>(a)</t>
  </si>
  <si>
    <t>Share value lattice</t>
  </si>
  <si>
    <t>Value at each node</t>
  </si>
  <si>
    <t>3 Period</t>
  </si>
  <si>
    <t>σ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</si>
  <si>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</si>
  <si>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</si>
  <si>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</si>
  <si>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</si>
  <si>
    <t>X</t>
  </si>
  <si>
    <t>q4</t>
  </si>
  <si>
    <t>4 Period</t>
  </si>
  <si>
    <r>
      <t>t</t>
    </r>
    <r>
      <rPr>
        <vertAlign val="subscript"/>
        <sz val="11"/>
        <color theme="1"/>
        <rFont val="Calibri"/>
        <family val="2"/>
        <scheme val="minor"/>
      </rPr>
      <t>4</t>
    </r>
  </si>
  <si>
    <t>(b)</t>
  </si>
  <si>
    <t xml:space="preserve"> Share must be bought</t>
  </si>
  <si>
    <t>QUESTION 2</t>
  </si>
  <si>
    <t>American Put Option</t>
  </si>
  <si>
    <t>u_3</t>
  </si>
  <si>
    <t>d_3</t>
  </si>
  <si>
    <t>u_4</t>
  </si>
  <si>
    <t>d_4</t>
  </si>
  <si>
    <t>q3</t>
  </si>
  <si>
    <t>No, don't exercise.</t>
  </si>
  <si>
    <t>QUESTION 3</t>
  </si>
  <si>
    <t>Look-Back Put Option</t>
  </si>
  <si>
    <t>t</t>
  </si>
  <si>
    <t>QUESTION 4</t>
  </si>
  <si>
    <t xml:space="preserve">Knockout Option </t>
  </si>
  <si>
    <t>∆</t>
  </si>
  <si>
    <t>Invest -68.7126 in Shares</t>
  </si>
  <si>
    <t>Barrier level</t>
  </si>
  <si>
    <t>del_t3</t>
  </si>
  <si>
    <t>del_t4</t>
  </si>
  <si>
    <t>q_3</t>
  </si>
  <si>
    <t>Call</t>
  </si>
  <si>
    <t>Exact</t>
  </si>
  <si>
    <t>Simulation</t>
  </si>
  <si>
    <r>
      <t>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W</t>
    </r>
    <r>
      <rPr>
        <vertAlign val="subscript"/>
        <sz val="11"/>
        <color theme="1"/>
        <rFont val="Calibri"/>
        <family val="2"/>
        <scheme val="minor"/>
      </rPr>
      <t>t</t>
    </r>
  </si>
  <si>
    <r>
      <t>X</t>
    </r>
    <r>
      <rPr>
        <vertAlign val="subscript"/>
        <sz val="11"/>
        <color theme="1"/>
        <rFont val="Calibri"/>
        <family val="2"/>
        <scheme val="minor"/>
      </rPr>
      <t>T</t>
    </r>
  </si>
  <si>
    <r>
      <t>max(X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-K,0)</t>
    </r>
  </si>
  <si>
    <t>Discount Factor</t>
  </si>
  <si>
    <t>SampleMean(WT - Wt)</t>
  </si>
  <si>
    <t>S(0)</t>
  </si>
  <si>
    <t>SampleVar(WT - Wt)</t>
  </si>
  <si>
    <t>Average Payoff</t>
  </si>
  <si>
    <t>Discounted Avr Payoff</t>
  </si>
  <si>
    <t>T-t</t>
  </si>
  <si>
    <t>Phi(d1)</t>
  </si>
  <si>
    <t>Phi(d2)</t>
  </si>
  <si>
    <t>2(a)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</si>
  <si>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</si>
  <si>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Φ</t>
    </r>
    <r>
      <rPr>
        <sz val="11"/>
        <color theme="1"/>
        <rFont val="Calibri"/>
        <family val="2"/>
        <scheme val="minor"/>
      </rPr>
      <t>(d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</si>
  <si>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Δ</t>
    </r>
    <r>
      <rPr>
        <vertAlign val="subscript"/>
        <sz val="11"/>
        <color theme="1"/>
        <rFont val="Calibri"/>
        <family val="2"/>
      </rPr>
      <t>C</t>
    </r>
  </si>
  <si>
    <t># shares</t>
  </si>
  <si>
    <t>2(b)</t>
  </si>
  <si>
    <t>2(c)</t>
  </si>
  <si>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</rPr>
      <t>P</t>
    </r>
  </si>
  <si>
    <r>
      <t>Δ</t>
    </r>
    <r>
      <rPr>
        <vertAlign val="subscript"/>
        <sz val="11"/>
        <color theme="1"/>
        <rFont val="Calibri"/>
        <family val="2"/>
      </rPr>
      <t>Π</t>
    </r>
  </si>
  <si>
    <t>Matrix multiplication method</t>
  </si>
  <si>
    <t>Can also use excel to help perform Gauss elimination</t>
  </si>
  <si>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</rPr>
      <t>Π</t>
    </r>
  </si>
  <si>
    <t>linear system (in matrix form)</t>
  </si>
  <si>
    <r>
      <t>Δ</t>
    </r>
    <r>
      <rPr>
        <vertAlign val="subscript"/>
        <sz val="11"/>
        <color theme="1"/>
        <rFont val="Calibri"/>
        <family val="2"/>
      </rPr>
      <t>Y</t>
    </r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</si>
  <si>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>Y</t>
    </r>
  </si>
  <si>
    <t>=</t>
  </si>
  <si>
    <t>Remember ctrl + shift + enter!</t>
  </si>
  <si>
    <r>
      <t>Γ</t>
    </r>
    <r>
      <rPr>
        <vertAlign val="subscript"/>
        <sz val="11"/>
        <color theme="1"/>
        <rFont val="Calibri"/>
        <family val="2"/>
      </rPr>
      <t>Y</t>
    </r>
  </si>
  <si>
    <r>
      <t>β</t>
    </r>
    <r>
      <rPr>
        <vertAlign val="subscript"/>
        <sz val="11"/>
        <color theme="1"/>
        <rFont val="Calibri"/>
        <family val="2"/>
      </rPr>
      <t>Z</t>
    </r>
  </si>
  <si>
    <r>
      <t>Δ</t>
    </r>
    <r>
      <rPr>
        <vertAlign val="subscript"/>
        <sz val="11"/>
        <color theme="1"/>
        <rFont val="Calibri"/>
        <family val="2"/>
      </rPr>
      <t>Z</t>
    </r>
  </si>
  <si>
    <t>A</t>
  </si>
  <si>
    <t>B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</si>
  <si>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</si>
  <si>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Γ</t>
    </r>
    <r>
      <rPr>
        <vertAlign val="subscript"/>
        <sz val="11"/>
        <color theme="1"/>
        <rFont val="Calibri"/>
        <family val="2"/>
      </rPr>
      <t>Z</t>
    </r>
  </si>
  <si>
    <t>Therefore,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</si>
  <si>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B</t>
    </r>
  </si>
  <si>
    <t>That is,</t>
  </si>
  <si>
    <t>Check:</t>
  </si>
  <si>
    <t>Need to short 13 units of Y and short 5 units of Z</t>
  </si>
  <si>
    <r>
      <t>β</t>
    </r>
    <r>
      <rPr>
        <vertAlign val="subscript"/>
        <sz val="11"/>
        <color theme="1"/>
        <rFont val="Calibri"/>
        <family val="2"/>
      </rPr>
      <t>Y</t>
    </r>
  </si>
  <si>
    <t>Φ(d1)</t>
  </si>
  <si>
    <t>Φ(d2)</t>
  </si>
  <si>
    <t>φ(d1)</t>
  </si>
  <si>
    <t>C0</t>
  </si>
  <si>
    <t>P0</t>
  </si>
  <si>
    <t>ΔC</t>
  </si>
  <si>
    <t>ΔP</t>
  </si>
  <si>
    <t>ΓC</t>
  </si>
  <si>
    <t>ΓP</t>
  </si>
  <si>
    <t>ρC</t>
  </si>
  <si>
    <t>ΘC</t>
  </si>
  <si>
    <t>νC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</si>
  <si>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</si>
  <si>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(0,T)</t>
    </r>
  </si>
  <si>
    <t>The current value of the defaultable bonds</t>
  </si>
  <si>
    <t>Y^d(0,T)</t>
  </si>
  <si>
    <t>The risk premium</t>
  </si>
  <si>
    <t>The current value of the equity</t>
  </si>
  <si>
    <t>PD</t>
  </si>
  <si>
    <t>The real world probability of default in %</t>
  </si>
  <si>
    <t>z-value</t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</si>
  <si>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(0,T)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</si>
  <si>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</si>
  <si>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Both the RP and PD increases as volatility increases</t>
  </si>
  <si>
    <t>This is to be expected. The firm's assets&gt;liabilities; as vol increases,</t>
  </si>
  <si>
    <t>the prob. that it ends up below K will naturally increase.</t>
  </si>
  <si>
    <t>Investors more likely to receive &lt;K, so will need greater compensation</t>
  </si>
  <si>
    <t>i.e. larger RP</t>
  </si>
  <si>
    <t>PD increases, as mu decreases, as is to be expected, since with</t>
  </si>
  <si>
    <t>less growth, the prob that the firm values is &lt;K naturally increases.</t>
  </si>
  <si>
    <t>However, the RP stays the same. This is to be expected,</t>
  </si>
  <si>
    <t>since mu has no effect on the cost of the replication,</t>
  </si>
  <si>
    <t>which determines the price of the call option, which</t>
  </si>
  <si>
    <t>is ultimately responsible for the bond price and RP.</t>
  </si>
  <si>
    <t>(9a)</t>
  </si>
  <si>
    <t>P</t>
  </si>
  <si>
    <t>STEP1:</t>
  </si>
  <si>
    <r>
      <t>P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</si>
  <si>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t>STEP2:</t>
  </si>
  <si>
    <r>
      <t>D = PAP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</si>
  <si>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r>
      <t>e</t>
    </r>
    <r>
      <rPr>
        <vertAlign val="superscript"/>
        <sz val="11"/>
        <color theme="1"/>
        <rFont val="Calibri"/>
        <family val="2"/>
        <scheme val="minor"/>
      </rPr>
      <t>5D</t>
    </r>
    <r>
      <rPr>
        <sz val="11"/>
        <color theme="1"/>
        <rFont val="Calibri"/>
        <family val="2"/>
        <scheme val="minor"/>
      </rPr>
      <t>=</t>
    </r>
  </si>
  <si>
    <t>STEP3: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</si>
  <si>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P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e</t>
    </r>
    <r>
      <rPr>
        <vertAlign val="superscript"/>
        <sz val="11"/>
        <color theme="1"/>
        <rFont val="Calibri"/>
        <family val="2"/>
        <scheme val="minor"/>
      </rPr>
      <t>5D</t>
    </r>
    <r>
      <rPr>
        <sz val="11"/>
        <color theme="1"/>
        <rFont val="Calibri"/>
        <family val="2"/>
        <scheme val="minor"/>
      </rPr>
      <t>P =</t>
    </r>
  </si>
  <si>
    <t>(c)</t>
  </si>
  <si>
    <t>(d)</t>
  </si>
  <si>
    <t>Merton Model Yeld of defaultal ond</t>
  </si>
  <si>
    <t>E0: equals a call option on V</t>
  </si>
  <si>
    <t>Equity=Assets-Liabiities So E0=V0-P^d</t>
  </si>
  <si>
    <t>P^d * exp(yield * (T-t))=K So yield = ln(K/P^d)/(T-t)</t>
  </si>
  <si>
    <t>V_T&lt;K  iff  V0*exp((mu-0.5*sigma^2)(T-t)+sigma(W_T-W_t))&lt;K</t>
  </si>
  <si>
    <t xml:space="preserve">              iff (W_T-W_t)/sqrt(T-t)&lt;(ln(K/V0)-(mu-0.5*sigma^2)(T-t))/(sigma*sqrt(T-t))</t>
  </si>
  <si>
    <t>t3</t>
  </si>
  <si>
    <t>Black-Scholes calculator</t>
  </si>
  <si>
    <t>Parameters</t>
  </si>
  <si>
    <t>Share price</t>
  </si>
  <si>
    <t>Strike price</t>
  </si>
  <si>
    <t>Maturity</t>
  </si>
  <si>
    <t>Risk-free rate</t>
  </si>
  <si>
    <t>Volatility</t>
  </si>
  <si>
    <t>Calculations</t>
  </si>
  <si>
    <t>Present value of strike</t>
  </si>
  <si>
    <r>
      <t>s</t>
    </r>
    <r>
      <rPr>
        <sz val="11"/>
        <color theme="1"/>
        <rFont val="Calibri"/>
        <family val="2"/>
        <scheme val="minor"/>
      </rPr>
      <t>*t^.5</t>
    </r>
  </si>
  <si>
    <t>N(d1)</t>
  </si>
  <si>
    <t>N(d2)</t>
  </si>
  <si>
    <t>Option values</t>
  </si>
  <si>
    <t>Value of Put option</t>
  </si>
  <si>
    <t>Value of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</si>
</sst>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"/>
    <numFmt numFmtId="166" formatCode="#,##0.0000"/>
    <numFmt numFmtId="167" formatCode="0.0000E+00"/>
    <numFmt numFmtId="168" formatCode="_-* #,##0_-;\-* #,##0_-;_-* &quot;-&quot;??_-;_-@_-"/>
    <numFmt numFmtId="169" formatCode="_-* #,##0.000_-;\-* #,##0.000_-;_-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67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65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7" fillId="0" borderId="1" xfId="0" applyFont="1" applyBorder="1"/>
    <xf numFmtId="0" fontId="8" fillId="0" borderId="1" xfId="0" applyFont="1" applyBorder="1"/>
    <xf numFmtId="0" fontId="3" fillId="0" borderId="0" xfId="0" applyFont="1"/>
    <xf numFmtId="164" fontId="0" fillId="0" borderId="0" xfId="0" applyNumberFormat="1"/>
    <xf numFmtId="0" fontId="0" fillId="5" borderId="0" xfId="0" applyFill="1"/>
    <xf numFmtId="0" fontId="6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/>
    <xf numFmtId="4" fontId="0" fillId="0" borderId="1" xfId="0" applyNumberFormat="1" applyBorder="1"/>
    <xf numFmtId="4" fontId="12" fillId="0" borderId="1" xfId="0" applyNumberFormat="1" applyFont="1" applyBorder="1"/>
    <xf numFmtId="166" fontId="0" fillId="0" borderId="1" xfId="0" applyNumberFormat="1" applyBorder="1"/>
    <xf numFmtId="166" fontId="12" fillId="0" borderId="1" xfId="0" applyNumberFormat="1" applyFont="1" applyBorder="1"/>
    <xf numFmtId="167" fontId="0" fillId="0" borderId="1" xfId="0" applyNumberFormat="1" applyBorder="1"/>
    <xf numFmtId="0" fontId="2" fillId="0" borderId="0" xfId="0" applyFont="1"/>
    <xf numFmtId="0" fontId="1" fillId="5" borderId="0" xfId="0" applyFont="1" applyFill="1"/>
    <xf numFmtId="0" fontId="1" fillId="2" borderId="0" xfId="0" applyFont="1" applyFill="1" applyAlignment="1">
      <alignment horizontal="center"/>
    </xf>
    <xf numFmtId="4" fontId="0" fillId="6" borderId="1" xfId="0" applyNumberFormat="1" applyFill="1" applyBorder="1"/>
    <xf numFmtId="166" fontId="0" fillId="6" borderId="1" xfId="0" applyNumberFormat="1" applyFill="1" applyBorder="1"/>
    <xf numFmtId="0" fontId="15" fillId="0" borderId="0" xfId="0" applyFont="1"/>
    <xf numFmtId="168" fontId="0" fillId="7" borderId="0" xfId="0" applyNumberFormat="1" applyFill="1"/>
    <xf numFmtId="10" fontId="0" fillId="7" borderId="0" xfId="0" applyNumberFormat="1" applyFill="1"/>
    <xf numFmtId="0" fontId="16" fillId="0" borderId="0" xfId="0" applyFont="1"/>
    <xf numFmtId="168" fontId="0" fillId="0" borderId="0" xfId="2" applyNumberFormat="1" applyFont="1"/>
    <xf numFmtId="169" fontId="0" fillId="0" borderId="0" xfId="2" applyNumberFormat="1" applyFont="1"/>
    <xf numFmtId="0" fontId="1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omma" xfId="2" builtinId="3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'Black Scholes Simulation'!$G$2</c:f>
              <c:strCache>
                <c:ptCount val="1"/>
                <c:pt idx="0">
                  <c:v>max(XT-K,0)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'Black Scholes Simulation'!$F$3:$F$102</c:f>
              <c:numCache>
                <c:formatCode>General</c:formatCode>
                <c:ptCount val="100"/>
                <c:pt idx="0">
                  <c:v>102.38707605854212</c:v>
                </c:pt>
                <c:pt idx="1">
                  <c:v>97.611084220473515</c:v>
                </c:pt>
                <c:pt idx="2">
                  <c:v>99.567434625878988</c:v>
                </c:pt>
                <c:pt idx="3">
                  <c:v>107.61555062453986</c:v>
                </c:pt>
                <c:pt idx="4">
                  <c:v>102.58538282529084</c:v>
                </c:pt>
                <c:pt idx="5">
                  <c:v>103.72475099303308</c:v>
                </c:pt>
                <c:pt idx="6">
                  <c:v>96.715987350079757</c:v>
                </c:pt>
                <c:pt idx="7">
                  <c:v>102.23022098950152</c:v>
                </c:pt>
                <c:pt idx="8">
                  <c:v>104.14915216557415</c:v>
                </c:pt>
                <c:pt idx="9">
                  <c:v>93.149812759980804</c:v>
                </c:pt>
                <c:pt idx="10">
                  <c:v>96.115322304234923</c:v>
                </c:pt>
                <c:pt idx="11">
                  <c:v>103.42323200412451</c:v>
                </c:pt>
                <c:pt idx="12">
                  <c:v>104.67916346938478</c:v>
                </c:pt>
                <c:pt idx="13">
                  <c:v>99.417419179482579</c:v>
                </c:pt>
                <c:pt idx="14">
                  <c:v>102.15132253997761</c:v>
                </c:pt>
                <c:pt idx="15">
                  <c:v>102.23667325268056</c:v>
                </c:pt>
                <c:pt idx="16">
                  <c:v>98.54057696152762</c:v>
                </c:pt>
                <c:pt idx="17">
                  <c:v>103.39321626340725</c:v>
                </c:pt>
                <c:pt idx="18">
                  <c:v>103.28183146134211</c:v>
                </c:pt>
                <c:pt idx="19">
                  <c:v>101.00115550771216</c:v>
                </c:pt>
                <c:pt idx="20">
                  <c:v>104.86290583682714</c:v>
                </c:pt>
                <c:pt idx="21">
                  <c:v>99.021604302412115</c:v>
                </c:pt>
                <c:pt idx="22">
                  <c:v>106.20846083929227</c:v>
                </c:pt>
                <c:pt idx="23">
                  <c:v>99.860460866301437</c:v>
                </c:pt>
                <c:pt idx="24">
                  <c:v>111.89631813822503</c:v>
                </c:pt>
                <c:pt idx="25">
                  <c:v>96.836146323023783</c:v>
                </c:pt>
                <c:pt idx="26">
                  <c:v>98.511587717425158</c:v>
                </c:pt>
                <c:pt idx="27">
                  <c:v>109.60896537068547</c:v>
                </c:pt>
                <c:pt idx="28">
                  <c:v>95.889962063388637</c:v>
                </c:pt>
                <c:pt idx="29">
                  <c:v>90.355384097154939</c:v>
                </c:pt>
                <c:pt idx="30">
                  <c:v>95.949144804496143</c:v>
                </c:pt>
                <c:pt idx="31">
                  <c:v>103.98603276506826</c:v>
                </c:pt>
                <c:pt idx="32">
                  <c:v>104.7379336846804</c:v>
                </c:pt>
                <c:pt idx="33">
                  <c:v>98.963244175889315</c:v>
                </c:pt>
                <c:pt idx="34">
                  <c:v>99.788825224582681</c:v>
                </c:pt>
                <c:pt idx="35">
                  <c:v>100.17244907458951</c:v>
                </c:pt>
                <c:pt idx="36">
                  <c:v>104.08222001836738</c:v>
                </c:pt>
                <c:pt idx="37">
                  <c:v>100.96051236996826</c:v>
                </c:pt>
                <c:pt idx="38">
                  <c:v>98.445066004295555</c:v>
                </c:pt>
                <c:pt idx="39">
                  <c:v>100.16083403009044</c:v>
                </c:pt>
                <c:pt idx="40">
                  <c:v>99.096631957941767</c:v>
                </c:pt>
                <c:pt idx="41">
                  <c:v>100.81939283902929</c:v>
                </c:pt>
                <c:pt idx="42">
                  <c:v>101.35190153585607</c:v>
                </c:pt>
                <c:pt idx="43">
                  <c:v>96.321136819908006</c:v>
                </c:pt>
                <c:pt idx="44">
                  <c:v>108.51087664748962</c:v>
                </c:pt>
                <c:pt idx="45">
                  <c:v>99.100517628876702</c:v>
                </c:pt>
                <c:pt idx="46">
                  <c:v>107.39582712857035</c:v>
                </c:pt>
                <c:pt idx="47">
                  <c:v>96.742305851681522</c:v>
                </c:pt>
                <c:pt idx="48">
                  <c:v>99.957771906592541</c:v>
                </c:pt>
                <c:pt idx="49">
                  <c:v>97.402982717721969</c:v>
                </c:pt>
                <c:pt idx="50">
                  <c:v>104.10616735445801</c:v>
                </c:pt>
                <c:pt idx="51">
                  <c:v>95.239632875223748</c:v>
                </c:pt>
                <c:pt idx="52">
                  <c:v>95.445972083432309</c:v>
                </c:pt>
                <c:pt idx="53">
                  <c:v>97.135711016461414</c:v>
                </c:pt>
                <c:pt idx="54">
                  <c:v>99.727368352913729</c:v>
                </c:pt>
                <c:pt idx="55">
                  <c:v>99.643698029736555</c:v>
                </c:pt>
                <c:pt idx="56">
                  <c:v>93.006717674948106</c:v>
                </c:pt>
                <c:pt idx="57">
                  <c:v>101.1224717987316</c:v>
                </c:pt>
                <c:pt idx="58">
                  <c:v>96.131207123792791</c:v>
                </c:pt>
                <c:pt idx="59">
                  <c:v>97.773168068721773</c:v>
                </c:pt>
                <c:pt idx="60">
                  <c:v>101.23408472397801</c:v>
                </c:pt>
                <c:pt idx="61">
                  <c:v>94.710460119426003</c:v>
                </c:pt>
                <c:pt idx="62">
                  <c:v>103.43732957179917</c:v>
                </c:pt>
                <c:pt idx="63">
                  <c:v>100.26498825108708</c:v>
                </c:pt>
                <c:pt idx="64">
                  <c:v>95.181252421776364</c:v>
                </c:pt>
                <c:pt idx="65">
                  <c:v>105.7025702115632</c:v>
                </c:pt>
                <c:pt idx="66">
                  <c:v>106.63074075146832</c:v>
                </c:pt>
                <c:pt idx="67">
                  <c:v>97.79950410440162</c:v>
                </c:pt>
                <c:pt idx="68">
                  <c:v>105.29101046772789</c:v>
                </c:pt>
                <c:pt idx="69">
                  <c:v>89.760956010084286</c:v>
                </c:pt>
                <c:pt idx="70">
                  <c:v>99.08966772620451</c:v>
                </c:pt>
                <c:pt idx="71">
                  <c:v>93.732197594636148</c:v>
                </c:pt>
                <c:pt idx="72">
                  <c:v>95.098408205247708</c:v>
                </c:pt>
                <c:pt idx="73">
                  <c:v>95.03059180040313</c:v>
                </c:pt>
                <c:pt idx="74">
                  <c:v>104.41613728463241</c:v>
                </c:pt>
                <c:pt idx="75">
                  <c:v>109.44765718789593</c:v>
                </c:pt>
                <c:pt idx="76">
                  <c:v>99.258006638400687</c:v>
                </c:pt>
                <c:pt idx="77">
                  <c:v>106.75349506842362</c:v>
                </c:pt>
                <c:pt idx="78">
                  <c:v>97.483647570585205</c:v>
                </c:pt>
                <c:pt idx="79">
                  <c:v>103.28846037275534</c:v>
                </c:pt>
                <c:pt idx="80">
                  <c:v>106.69148755217508</c:v>
                </c:pt>
                <c:pt idx="81">
                  <c:v>96.552772842203197</c:v>
                </c:pt>
                <c:pt idx="82">
                  <c:v>94.70665807317468</c:v>
                </c:pt>
                <c:pt idx="83">
                  <c:v>95.963274038442265</c:v>
                </c:pt>
                <c:pt idx="84">
                  <c:v>100.67433155865098</c:v>
                </c:pt>
                <c:pt idx="85">
                  <c:v>101.55478197467427</c:v>
                </c:pt>
                <c:pt idx="86">
                  <c:v>96.27696333430616</c:v>
                </c:pt>
                <c:pt idx="87">
                  <c:v>103.78434313658201</c:v>
                </c:pt>
                <c:pt idx="88">
                  <c:v>101.50940753685649</c:v>
                </c:pt>
                <c:pt idx="89">
                  <c:v>97.984962024364592</c:v>
                </c:pt>
                <c:pt idx="90">
                  <c:v>97.348874800031808</c:v>
                </c:pt>
                <c:pt idx="91">
                  <c:v>98.360351492539891</c:v>
                </c:pt>
                <c:pt idx="92">
                  <c:v>103.24174129252886</c:v>
                </c:pt>
                <c:pt idx="93">
                  <c:v>98.10602520910588</c:v>
                </c:pt>
                <c:pt idx="94">
                  <c:v>101.71911326853595</c:v>
                </c:pt>
                <c:pt idx="95">
                  <c:v>93.645740582003896</c:v>
                </c:pt>
                <c:pt idx="96">
                  <c:v>101.46722590093545</c:v>
                </c:pt>
                <c:pt idx="97">
                  <c:v>92.929112204687684</c:v>
                </c:pt>
                <c:pt idx="98">
                  <c:v>102.0548472346215</c:v>
                </c:pt>
                <c:pt idx="99">
                  <c:v>95.900588359868109</c:v>
                </c:pt>
              </c:numCache>
            </c:numRef>
          </c:xVal>
          <c:yVal>
            <c:numRef>
              <c:f>'Black Scholes Simulation'!$G$3:$G$102</c:f>
              <c:numCache>
                <c:formatCode>General</c:formatCode>
                <c:ptCount val="100"/>
                <c:pt idx="0">
                  <c:v>12.387076058542121</c:v>
                </c:pt>
                <c:pt idx="1">
                  <c:v>7.611084220473515</c:v>
                </c:pt>
                <c:pt idx="2">
                  <c:v>9.5674346258789882</c:v>
                </c:pt>
                <c:pt idx="3">
                  <c:v>17.615550624539864</c:v>
                </c:pt>
                <c:pt idx="4">
                  <c:v>12.585382825290836</c:v>
                </c:pt>
                <c:pt idx="5">
                  <c:v>13.724750993033084</c:v>
                </c:pt>
                <c:pt idx="6">
                  <c:v>6.7159873500797573</c:v>
                </c:pt>
                <c:pt idx="7">
                  <c:v>12.230220989501518</c:v>
                </c:pt>
                <c:pt idx="8">
                  <c:v>14.149152165574151</c:v>
                </c:pt>
                <c:pt idx="9">
                  <c:v>3.1498127599808043</c:v>
                </c:pt>
                <c:pt idx="10">
                  <c:v>6.1153223042349225</c:v>
                </c:pt>
                <c:pt idx="11">
                  <c:v>13.423232004124515</c:v>
                </c:pt>
                <c:pt idx="12">
                  <c:v>14.679163469384775</c:v>
                </c:pt>
                <c:pt idx="13">
                  <c:v>9.4174191794825788</c:v>
                </c:pt>
                <c:pt idx="14">
                  <c:v>12.151322539977613</c:v>
                </c:pt>
                <c:pt idx="15">
                  <c:v>12.236673252680561</c:v>
                </c:pt>
                <c:pt idx="16">
                  <c:v>8.5405769615276199</c:v>
                </c:pt>
                <c:pt idx="17">
                  <c:v>13.393216263407254</c:v>
                </c:pt>
                <c:pt idx="18">
                  <c:v>13.281831461342108</c:v>
                </c:pt>
                <c:pt idx="19">
                  <c:v>11.001155507712156</c:v>
                </c:pt>
                <c:pt idx="20">
                  <c:v>14.862905836827139</c:v>
                </c:pt>
                <c:pt idx="21">
                  <c:v>9.0216043024121149</c:v>
                </c:pt>
                <c:pt idx="22">
                  <c:v>16.208460839292272</c:v>
                </c:pt>
                <c:pt idx="23">
                  <c:v>9.8604608663014375</c:v>
                </c:pt>
                <c:pt idx="24">
                  <c:v>21.896318138225027</c:v>
                </c:pt>
                <c:pt idx="25">
                  <c:v>6.8361463230237831</c:v>
                </c:pt>
                <c:pt idx="26">
                  <c:v>8.511587717425158</c:v>
                </c:pt>
                <c:pt idx="27">
                  <c:v>19.608965370685468</c:v>
                </c:pt>
                <c:pt idx="28">
                  <c:v>5.8899620633886371</c:v>
                </c:pt>
                <c:pt idx="29">
                  <c:v>0.35538409715493913</c:v>
                </c:pt>
                <c:pt idx="30">
                  <c:v>5.949144804496143</c:v>
                </c:pt>
                <c:pt idx="31">
                  <c:v>13.986032765068259</c:v>
                </c:pt>
                <c:pt idx="32">
                  <c:v>14.737933684680399</c:v>
                </c:pt>
                <c:pt idx="33">
                  <c:v>8.9632441758893151</c:v>
                </c:pt>
                <c:pt idx="34">
                  <c:v>9.7888252245826806</c:v>
                </c:pt>
                <c:pt idx="35">
                  <c:v>10.172449074589508</c:v>
                </c:pt>
                <c:pt idx="36">
                  <c:v>14.08222001836738</c:v>
                </c:pt>
                <c:pt idx="37">
                  <c:v>10.960512369968257</c:v>
                </c:pt>
                <c:pt idx="38">
                  <c:v>8.4450660042955548</c:v>
                </c:pt>
                <c:pt idx="39">
                  <c:v>10.160834030090442</c:v>
                </c:pt>
                <c:pt idx="40">
                  <c:v>9.0966319579417672</c:v>
                </c:pt>
                <c:pt idx="41">
                  <c:v>10.819392839029291</c:v>
                </c:pt>
                <c:pt idx="42">
                  <c:v>11.351901535856072</c:v>
                </c:pt>
                <c:pt idx="43">
                  <c:v>6.3211368199080056</c:v>
                </c:pt>
                <c:pt idx="44">
                  <c:v>18.510876647489624</c:v>
                </c:pt>
                <c:pt idx="45">
                  <c:v>9.1005176288767018</c:v>
                </c:pt>
                <c:pt idx="46">
                  <c:v>17.395827128570346</c:v>
                </c:pt>
                <c:pt idx="47">
                  <c:v>6.7423058516815217</c:v>
                </c:pt>
                <c:pt idx="48">
                  <c:v>9.9577719065925407</c:v>
                </c:pt>
                <c:pt idx="49">
                  <c:v>7.4029827177219687</c:v>
                </c:pt>
                <c:pt idx="50">
                  <c:v>14.106167354458009</c:v>
                </c:pt>
                <c:pt idx="51">
                  <c:v>5.239632875223748</c:v>
                </c:pt>
                <c:pt idx="52">
                  <c:v>5.4459720834323093</c:v>
                </c:pt>
                <c:pt idx="53">
                  <c:v>7.1357110164614141</c:v>
                </c:pt>
                <c:pt idx="54">
                  <c:v>9.7273683529137287</c:v>
                </c:pt>
                <c:pt idx="55">
                  <c:v>9.6436980297365551</c:v>
                </c:pt>
                <c:pt idx="56">
                  <c:v>3.0067176749481064</c:v>
                </c:pt>
                <c:pt idx="57">
                  <c:v>11.122471798731596</c:v>
                </c:pt>
                <c:pt idx="58">
                  <c:v>6.131207123792791</c:v>
                </c:pt>
                <c:pt idx="59">
                  <c:v>7.7731680687217732</c:v>
                </c:pt>
                <c:pt idx="60">
                  <c:v>11.234084723978015</c:v>
                </c:pt>
                <c:pt idx="61">
                  <c:v>4.7104601194260027</c:v>
                </c:pt>
                <c:pt idx="62">
                  <c:v>13.437329571799168</c:v>
                </c:pt>
                <c:pt idx="63">
                  <c:v>10.264988251087075</c:v>
                </c:pt>
                <c:pt idx="64">
                  <c:v>5.1812524217763638</c:v>
                </c:pt>
                <c:pt idx="65">
                  <c:v>15.702570211563199</c:v>
                </c:pt>
                <c:pt idx="66">
                  <c:v>16.630740751468323</c:v>
                </c:pt>
                <c:pt idx="67">
                  <c:v>7.7995041044016205</c:v>
                </c:pt>
                <c:pt idx="68">
                  <c:v>15.291010467727887</c:v>
                </c:pt>
                <c:pt idx="69">
                  <c:v>0</c:v>
                </c:pt>
                <c:pt idx="70">
                  <c:v>9.0896677262045102</c:v>
                </c:pt>
                <c:pt idx="71">
                  <c:v>3.7321975946361476</c:v>
                </c:pt>
                <c:pt idx="72">
                  <c:v>5.0984082052477078</c:v>
                </c:pt>
                <c:pt idx="73">
                  <c:v>5.0305918004031298</c:v>
                </c:pt>
                <c:pt idx="74">
                  <c:v>14.416137284632413</c:v>
                </c:pt>
                <c:pt idx="75">
                  <c:v>19.447657187895928</c:v>
                </c:pt>
                <c:pt idx="76">
                  <c:v>9.2580066384006869</c:v>
                </c:pt>
                <c:pt idx="77">
                  <c:v>16.753495068423618</c:v>
                </c:pt>
                <c:pt idx="78">
                  <c:v>7.4836475705852052</c:v>
                </c:pt>
                <c:pt idx="79">
                  <c:v>13.288460372755338</c:v>
                </c:pt>
                <c:pt idx="80">
                  <c:v>16.691487552175076</c:v>
                </c:pt>
                <c:pt idx="81">
                  <c:v>6.552772842203197</c:v>
                </c:pt>
                <c:pt idx="82">
                  <c:v>4.7066580731746797</c:v>
                </c:pt>
                <c:pt idx="83">
                  <c:v>5.9632740384422647</c:v>
                </c:pt>
                <c:pt idx="84">
                  <c:v>10.674331558650977</c:v>
                </c:pt>
                <c:pt idx="85">
                  <c:v>11.55478197467427</c:v>
                </c:pt>
                <c:pt idx="86">
                  <c:v>6.2769633343061599</c:v>
                </c:pt>
                <c:pt idx="87">
                  <c:v>13.784343136582009</c:v>
                </c:pt>
                <c:pt idx="88">
                  <c:v>11.509407536856486</c:v>
                </c:pt>
                <c:pt idx="89">
                  <c:v>7.9849620243645916</c:v>
                </c:pt>
                <c:pt idx="90">
                  <c:v>7.3488748000318083</c:v>
                </c:pt>
                <c:pt idx="91">
                  <c:v>8.3603514925398912</c:v>
                </c:pt>
                <c:pt idx="92">
                  <c:v>13.241741292528857</c:v>
                </c:pt>
                <c:pt idx="93">
                  <c:v>8.10602520910588</c:v>
                </c:pt>
                <c:pt idx="94">
                  <c:v>11.719113268535949</c:v>
                </c:pt>
                <c:pt idx="95">
                  <c:v>3.6457405820038957</c:v>
                </c:pt>
                <c:pt idx="96">
                  <c:v>11.467225900935446</c:v>
                </c:pt>
                <c:pt idx="97">
                  <c:v>2.9291122046876836</c:v>
                </c:pt>
                <c:pt idx="98">
                  <c:v>12.054847234621505</c:v>
                </c:pt>
                <c:pt idx="99">
                  <c:v>5.9005883598681095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A-491E-88C1-1181C5BF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195263"/>
        <c:axId val="1976200671"/>
      </c:scatterChart>
      <c:valAx>
        <c:axId val="197619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00671"/>
        <c:crosses val="autoZero"/>
        <c:crossBetween val="midCat"/>
      </c:valAx>
      <c:valAx>
        <c:axId val="197620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19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 Scholes Simulation'!$F$2</c:f>
              <c:strCache>
                <c:ptCount val="1"/>
                <c:pt idx="0">
                  <c:v>XT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'Black Scholes Simulation'!$F$3:$F$102</c:f>
              <c:numCache>
                <c:formatCode>General</c:formatCode>
                <c:ptCount val="100"/>
                <c:pt idx="0">
                  <c:v>102.38707605854212</c:v>
                </c:pt>
                <c:pt idx="1">
                  <c:v>97.611084220473515</c:v>
                </c:pt>
                <c:pt idx="2">
                  <c:v>99.567434625878988</c:v>
                </c:pt>
                <c:pt idx="3">
                  <c:v>107.61555062453986</c:v>
                </c:pt>
                <c:pt idx="4">
                  <c:v>102.58538282529084</c:v>
                </c:pt>
                <c:pt idx="5">
                  <c:v>103.72475099303308</c:v>
                </c:pt>
                <c:pt idx="6">
                  <c:v>96.715987350079757</c:v>
                </c:pt>
                <c:pt idx="7">
                  <c:v>102.23022098950152</c:v>
                </c:pt>
                <c:pt idx="8">
                  <c:v>104.14915216557415</c:v>
                </c:pt>
                <c:pt idx="9">
                  <c:v>93.149812759980804</c:v>
                </c:pt>
                <c:pt idx="10">
                  <c:v>96.115322304234923</c:v>
                </c:pt>
                <c:pt idx="11">
                  <c:v>103.42323200412451</c:v>
                </c:pt>
                <c:pt idx="12">
                  <c:v>104.67916346938478</c:v>
                </c:pt>
                <c:pt idx="13">
                  <c:v>99.417419179482579</c:v>
                </c:pt>
                <c:pt idx="14">
                  <c:v>102.15132253997761</c:v>
                </c:pt>
                <c:pt idx="15">
                  <c:v>102.23667325268056</c:v>
                </c:pt>
                <c:pt idx="16">
                  <c:v>98.54057696152762</c:v>
                </c:pt>
                <c:pt idx="17">
                  <c:v>103.39321626340725</c:v>
                </c:pt>
                <c:pt idx="18">
                  <c:v>103.28183146134211</c:v>
                </c:pt>
                <c:pt idx="19">
                  <c:v>101.00115550771216</c:v>
                </c:pt>
                <c:pt idx="20">
                  <c:v>104.86290583682714</c:v>
                </c:pt>
                <c:pt idx="21">
                  <c:v>99.021604302412115</c:v>
                </c:pt>
                <c:pt idx="22">
                  <c:v>106.20846083929227</c:v>
                </c:pt>
                <c:pt idx="23">
                  <c:v>99.860460866301437</c:v>
                </c:pt>
                <c:pt idx="24">
                  <c:v>111.89631813822503</c:v>
                </c:pt>
                <c:pt idx="25">
                  <c:v>96.836146323023783</c:v>
                </c:pt>
                <c:pt idx="26">
                  <c:v>98.511587717425158</c:v>
                </c:pt>
                <c:pt idx="27">
                  <c:v>109.60896537068547</c:v>
                </c:pt>
                <c:pt idx="28">
                  <c:v>95.889962063388637</c:v>
                </c:pt>
                <c:pt idx="29">
                  <c:v>90.355384097154939</c:v>
                </c:pt>
                <c:pt idx="30">
                  <c:v>95.949144804496143</c:v>
                </c:pt>
                <c:pt idx="31">
                  <c:v>103.98603276506826</c:v>
                </c:pt>
                <c:pt idx="32">
                  <c:v>104.7379336846804</c:v>
                </c:pt>
                <c:pt idx="33">
                  <c:v>98.963244175889315</c:v>
                </c:pt>
                <c:pt idx="34">
                  <c:v>99.788825224582681</c:v>
                </c:pt>
                <c:pt idx="35">
                  <c:v>100.17244907458951</c:v>
                </c:pt>
                <c:pt idx="36">
                  <c:v>104.08222001836738</c:v>
                </c:pt>
                <c:pt idx="37">
                  <c:v>100.96051236996826</c:v>
                </c:pt>
                <c:pt idx="38">
                  <c:v>98.445066004295555</c:v>
                </c:pt>
                <c:pt idx="39">
                  <c:v>100.16083403009044</c:v>
                </c:pt>
                <c:pt idx="40">
                  <c:v>99.096631957941767</c:v>
                </c:pt>
                <c:pt idx="41">
                  <c:v>100.81939283902929</c:v>
                </c:pt>
                <c:pt idx="42">
                  <c:v>101.35190153585607</c:v>
                </c:pt>
                <c:pt idx="43">
                  <c:v>96.321136819908006</c:v>
                </c:pt>
                <c:pt idx="44">
                  <c:v>108.51087664748962</c:v>
                </c:pt>
                <c:pt idx="45">
                  <c:v>99.100517628876702</c:v>
                </c:pt>
                <c:pt idx="46">
                  <c:v>107.39582712857035</c:v>
                </c:pt>
                <c:pt idx="47">
                  <c:v>96.742305851681522</c:v>
                </c:pt>
                <c:pt idx="48">
                  <c:v>99.957771906592541</c:v>
                </c:pt>
                <c:pt idx="49">
                  <c:v>97.402982717721969</c:v>
                </c:pt>
                <c:pt idx="50">
                  <c:v>104.10616735445801</c:v>
                </c:pt>
                <c:pt idx="51">
                  <c:v>95.239632875223748</c:v>
                </c:pt>
                <c:pt idx="52">
                  <c:v>95.445972083432309</c:v>
                </c:pt>
                <c:pt idx="53">
                  <c:v>97.135711016461414</c:v>
                </c:pt>
                <c:pt idx="54">
                  <c:v>99.727368352913729</c:v>
                </c:pt>
                <c:pt idx="55">
                  <c:v>99.643698029736555</c:v>
                </c:pt>
                <c:pt idx="56">
                  <c:v>93.006717674948106</c:v>
                </c:pt>
                <c:pt idx="57">
                  <c:v>101.1224717987316</c:v>
                </c:pt>
                <c:pt idx="58">
                  <c:v>96.131207123792791</c:v>
                </c:pt>
                <c:pt idx="59">
                  <c:v>97.773168068721773</c:v>
                </c:pt>
                <c:pt idx="60">
                  <c:v>101.23408472397801</c:v>
                </c:pt>
                <c:pt idx="61">
                  <c:v>94.710460119426003</c:v>
                </c:pt>
                <c:pt idx="62">
                  <c:v>103.43732957179917</c:v>
                </c:pt>
                <c:pt idx="63">
                  <c:v>100.26498825108708</c:v>
                </c:pt>
                <c:pt idx="64">
                  <c:v>95.181252421776364</c:v>
                </c:pt>
                <c:pt idx="65">
                  <c:v>105.7025702115632</c:v>
                </c:pt>
                <c:pt idx="66">
                  <c:v>106.63074075146832</c:v>
                </c:pt>
                <c:pt idx="67">
                  <c:v>97.79950410440162</c:v>
                </c:pt>
                <c:pt idx="68">
                  <c:v>105.29101046772789</c:v>
                </c:pt>
                <c:pt idx="69">
                  <c:v>89.760956010084286</c:v>
                </c:pt>
                <c:pt idx="70">
                  <c:v>99.08966772620451</c:v>
                </c:pt>
                <c:pt idx="71">
                  <c:v>93.732197594636148</c:v>
                </c:pt>
                <c:pt idx="72">
                  <c:v>95.098408205247708</c:v>
                </c:pt>
                <c:pt idx="73">
                  <c:v>95.03059180040313</c:v>
                </c:pt>
                <c:pt idx="74">
                  <c:v>104.41613728463241</c:v>
                </c:pt>
                <c:pt idx="75">
                  <c:v>109.44765718789593</c:v>
                </c:pt>
                <c:pt idx="76">
                  <c:v>99.258006638400687</c:v>
                </c:pt>
                <c:pt idx="77">
                  <c:v>106.75349506842362</c:v>
                </c:pt>
                <c:pt idx="78">
                  <c:v>97.483647570585205</c:v>
                </c:pt>
                <c:pt idx="79">
                  <c:v>103.28846037275534</c:v>
                </c:pt>
                <c:pt idx="80">
                  <c:v>106.69148755217508</c:v>
                </c:pt>
                <c:pt idx="81">
                  <c:v>96.552772842203197</c:v>
                </c:pt>
                <c:pt idx="82">
                  <c:v>94.70665807317468</c:v>
                </c:pt>
                <c:pt idx="83">
                  <c:v>95.963274038442265</c:v>
                </c:pt>
                <c:pt idx="84">
                  <c:v>100.67433155865098</c:v>
                </c:pt>
                <c:pt idx="85">
                  <c:v>101.55478197467427</c:v>
                </c:pt>
                <c:pt idx="86">
                  <c:v>96.27696333430616</c:v>
                </c:pt>
                <c:pt idx="87">
                  <c:v>103.78434313658201</c:v>
                </c:pt>
                <c:pt idx="88">
                  <c:v>101.50940753685649</c:v>
                </c:pt>
                <c:pt idx="89">
                  <c:v>97.984962024364592</c:v>
                </c:pt>
                <c:pt idx="90">
                  <c:v>97.348874800031808</c:v>
                </c:pt>
                <c:pt idx="91">
                  <c:v>98.360351492539891</c:v>
                </c:pt>
                <c:pt idx="92">
                  <c:v>103.24174129252886</c:v>
                </c:pt>
                <c:pt idx="93">
                  <c:v>98.10602520910588</c:v>
                </c:pt>
                <c:pt idx="94">
                  <c:v>101.71911326853595</c:v>
                </c:pt>
                <c:pt idx="95">
                  <c:v>93.645740582003896</c:v>
                </c:pt>
                <c:pt idx="96">
                  <c:v>101.46722590093545</c:v>
                </c:pt>
                <c:pt idx="97">
                  <c:v>92.929112204687684</c:v>
                </c:pt>
                <c:pt idx="98">
                  <c:v>102.0548472346215</c:v>
                </c:pt>
                <c:pt idx="99">
                  <c:v>95.900588359868109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9-4A0A-9E68-4E3BCEE55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574479"/>
        <c:axId val="2026574063"/>
      </c:lineChart>
      <c:catAx>
        <c:axId val="20265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574063"/>
        <c:crosses val="autoZero"/>
        <c:auto val="1"/>
        <c:lblAlgn val="ctr"/>
        <c:lblOffset val="100"/>
        <c:noMultiLvlLbl val="0"/>
      </c:catAx>
      <c:valAx>
        <c:axId val="202657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57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strRef>
              <c:f>[1]Q6!$L$1</c:f>
              <c:strCache>
                <c:ptCount val="1"/>
                <c:pt idx="0">
                  <c:v>ΔC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[1]Q6!$D$2:$D$17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[1]Q6!$L$2:$L$17</c:f>
              <c:numCache>
                <c:formatCode>General</c:formatCode>
                <c:ptCount val="16"/>
                <c:pt idx="0">
                  <c:v>9.6519405811809673E-26</c:v>
                </c:pt>
                <c:pt idx="1">
                  <c:v>3.1424904292082629E-9</c:v>
                </c:pt>
                <c:pt idx="2">
                  <c:v>9.3704879648104703E-4</c:v>
                </c:pt>
                <c:pt idx="3">
                  <c:v>0.11620678285214749</c:v>
                </c:pt>
                <c:pt idx="4">
                  <c:v>0.21460662150282367</c:v>
                </c:pt>
                <c:pt idx="5">
                  <c:v>0.34090664731597253</c:v>
                </c:pt>
                <c:pt idx="6">
                  <c:v>0.48005250801595001</c:v>
                </c:pt>
                <c:pt idx="7">
                  <c:v>0.61465717849711743</c:v>
                </c:pt>
                <c:pt idx="8">
                  <c:v>0.73115595728875193</c:v>
                </c:pt>
                <c:pt idx="9">
                  <c:v>0.82278565931329961</c:v>
                </c:pt>
                <c:pt idx="10">
                  <c:v>0.8891431178464676</c:v>
                </c:pt>
                <c:pt idx="11">
                  <c:v>0.933881236668474</c:v>
                </c:pt>
                <c:pt idx="12">
                  <c:v>0.99432346803453853</c:v>
                </c:pt>
                <c:pt idx="13">
                  <c:v>0.99968765706843776</c:v>
                </c:pt>
                <c:pt idx="14">
                  <c:v>0.9999869365453925</c:v>
                </c:pt>
                <c:pt idx="15">
                  <c:v>0.99999953596214086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C1-4345-A87E-F3EB9D4796F6}"/>
            </c:ext>
          </c:extLst>
        </c:ser>
        <c:ser>
          <c:idx val="6"/>
          <c:order val="6"/>
          <c:tx>
            <c:strRef>
              <c:f>[1]Q6!$N$1</c:f>
              <c:strCache>
                <c:ptCount val="1"/>
                <c:pt idx="0">
                  <c:v>ΓC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[1]Q6!$D$2:$D$17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[1]Q6!$N$2:$N$17</c:f>
              <c:numCache>
                <c:formatCode>General</c:formatCode>
                <c:ptCount val="16"/>
                <c:pt idx="0">
                  <c:v>3.3794853962343682E-25</c:v>
                </c:pt>
                <c:pt idx="1">
                  <c:v>3.1237586511200269E-9</c:v>
                </c:pt>
                <c:pt idx="2">
                  <c:v>3.5197027017574501E-4</c:v>
                </c:pt>
                <c:pt idx="3">
                  <c:v>1.6273907170057039E-2</c:v>
                </c:pt>
                <c:pt idx="4">
                  <c:v>2.2862027075515292E-2</c:v>
                </c:pt>
                <c:pt idx="5">
                  <c:v>2.7132946336132283E-2</c:v>
                </c:pt>
                <c:pt idx="6">
                  <c:v>2.7923714324255403E-2</c:v>
                </c:pt>
                <c:pt idx="7">
                  <c:v>2.5456073014363541E-2</c:v>
                </c:pt>
                <c:pt idx="8">
                  <c:v>2.0920367269502319E-2</c:v>
                </c:pt>
                <c:pt idx="9">
                  <c:v>1.5726624352745258E-2</c:v>
                </c:pt>
                <c:pt idx="10">
                  <c:v>1.0946830792286014E-2</c:v>
                </c:pt>
                <c:pt idx="11">
                  <c:v>7.1284456397896732E-3</c:v>
                </c:pt>
                <c:pt idx="12">
                  <c:v>7.6979003827597398E-4</c:v>
                </c:pt>
                <c:pt idx="13">
                  <c:v>4.7785227881546523E-5</c:v>
                </c:pt>
                <c:pt idx="14">
                  <c:v>2.1362905262864944E-6</c:v>
                </c:pt>
                <c:pt idx="15">
                  <c:v>7.8718398503952117E-8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C1-4345-A87E-F3EB9D4796F6}"/>
            </c:ext>
          </c:extLst>
        </c:ser>
        <c:ser>
          <c:idx val="8"/>
          <c:order val="8"/>
          <c:tx>
            <c:strRef>
              <c:f>[1]Q6!$P$1</c:f>
              <c:strCache>
                <c:ptCount val="1"/>
                <c:pt idx="0">
                  <c:v>ρC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[1]Q6!$D$2:$D$17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[1]Q6!$P$2:$P$17</c:f>
              <c:numCache>
                <c:formatCode>General</c:formatCode>
                <c:ptCount val="16"/>
                <c:pt idx="0">
                  <c:v>4.7586018180695822E-25</c:v>
                </c:pt>
                <c:pt idx="1">
                  <c:v>3.0672633904056778E-8</c:v>
                </c:pt>
                <c:pt idx="2">
                  <c:v>1.3495867548857871E-2</c:v>
                </c:pt>
                <c:pt idx="3">
                  <c:v>2.1638991996893702</c:v>
                </c:pt>
                <c:pt idx="4">
                  <c:v>4.196846721476172</c:v>
                </c:pt>
                <c:pt idx="5">
                  <c:v>6.9618947360677881</c:v>
                </c:pt>
                <c:pt idx="6">
                  <c:v>10.180052221322656</c:v>
                </c:pt>
                <c:pt idx="7">
                  <c:v>13.459744725841402</c:v>
                </c:pt>
                <c:pt idx="8">
                  <c:v>16.442650805686604</c:v>
                </c:pt>
                <c:pt idx="9">
                  <c:v>18.902484513259019</c:v>
                </c:pt>
                <c:pt idx="10">
                  <c:v>20.766293913408017</c:v>
                </c:pt>
                <c:pt idx="11">
                  <c:v>22.078486651886376</c:v>
                </c:pt>
                <c:pt idx="12">
                  <c:v>23.991890429156825</c:v>
                </c:pt>
                <c:pt idx="13">
                  <c:v>24.187569002791459</c:v>
                </c:pt>
                <c:pt idx="14">
                  <c:v>24.199953666781749</c:v>
                </c:pt>
                <c:pt idx="15">
                  <c:v>24.200537364352897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C1-4345-A87E-F3EB9D4796F6}"/>
            </c:ext>
          </c:extLst>
        </c:ser>
        <c:ser>
          <c:idx val="9"/>
          <c:order val="9"/>
          <c:tx>
            <c:strRef>
              <c:f>[1]Q6!$Q$1</c:f>
              <c:strCache>
                <c:ptCount val="1"/>
                <c:pt idx="0">
                  <c:v>ΘC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[1]Q6!$D$2:$D$17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[1]Q6!$Q$2:$Q$17</c:f>
              <c:numCache>
                <c:formatCode>General</c:formatCode>
                <c:ptCount val="16"/>
                <c:pt idx="0">
                  <c:v>-6.3467533520166741E-24</c:v>
                </c:pt>
                <c:pt idx="1">
                  <c:v>-2.4146055401287389E-7</c:v>
                </c:pt>
                <c:pt idx="2">
                  <c:v>-6.4189187418030522E-2</c:v>
                </c:pt>
                <c:pt idx="3">
                  <c:v>-5.8246195417619742</c:v>
                </c:pt>
                <c:pt idx="4">
                  <c:v>-9.6352114398206403</c:v>
                </c:pt>
                <c:pt idx="5">
                  <c:v>-13.536535008263415</c:v>
                </c:pt>
                <c:pt idx="6">
                  <c:v>-16.664407178560921</c:v>
                </c:pt>
                <c:pt idx="7">
                  <c:v>-18.48486776637677</c:v>
                </c:pt>
                <c:pt idx="8">
                  <c:v>-18.956991728200357</c:v>
                </c:pt>
                <c:pt idx="9">
                  <c:v>-18.415289188897042</c:v>
                </c:pt>
                <c:pt idx="10">
                  <c:v>-17.330589712445718</c:v>
                </c:pt>
                <c:pt idx="11">
                  <c:v>-16.112371999599556</c:v>
                </c:pt>
                <c:pt idx="12">
                  <c:v>-13.156549590121763</c:v>
                </c:pt>
                <c:pt idx="13">
                  <c:v>-12.632731358055299</c:v>
                </c:pt>
                <c:pt idx="14">
                  <c:v>-12.587098929748667</c:v>
                </c:pt>
                <c:pt idx="15">
                  <c:v>-12.584421500681024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C1-4345-A87E-F3EB9D4796F6}"/>
            </c:ext>
          </c:extLst>
        </c:ser>
        <c:ser>
          <c:idx val="10"/>
          <c:order val="10"/>
          <c:tx>
            <c:strRef>
              <c:f>[1]Q6!$R$1</c:f>
              <c:strCache>
                <c:ptCount val="1"/>
                <c:pt idx="0">
                  <c:v>νC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[1]Q6!$D$2:$D$17</c:f>
              <c:numCache>
                <c:formatCode>General</c:formatCode>
                <c:ptCount val="1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110</c:v>
                </c:pt>
                <c:pt idx="10">
                  <c:v>115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[1]Q6!$R$2:$R$17</c:f>
              <c:numCache>
                <c:formatCode>General</c:formatCode>
                <c:ptCount val="16"/>
                <c:pt idx="0">
                  <c:v>1.0151974130288042E-23</c:v>
                </c:pt>
                <c:pt idx="1">
                  <c:v>3.7535083951858248E-7</c:v>
                </c:pt>
                <c:pt idx="2">
                  <c:v>9.5158682244714424E-2</c:v>
                </c:pt>
                <c:pt idx="3">
                  <c:v>7.8218907422162145</c:v>
                </c:pt>
                <c:pt idx="4">
                  <c:v>12.404878736106909</c:v>
                </c:pt>
                <c:pt idx="5">
                  <c:v>16.505242585732631</c:v>
                </c:pt>
                <c:pt idx="6">
                  <c:v>18.926065285408018</c:v>
                </c:pt>
                <c:pt idx="7">
                  <c:v>19.117510833787019</c:v>
                </c:pt>
                <c:pt idx="8">
                  <c:v>17.321593390884356</c:v>
                </c:pt>
                <c:pt idx="9">
                  <c:v>14.290940815583141</c:v>
                </c:pt>
                <c:pt idx="10">
                  <c:v>10.872364975821489</c:v>
                </c:pt>
                <c:pt idx="11">
                  <c:v>7.7089862526941451</c:v>
                </c:pt>
                <c:pt idx="12">
                  <c:v>1.1331001447407025</c:v>
                </c:pt>
                <c:pt idx="13">
                  <c:v>9.1869967715946091E-2</c:v>
                </c:pt>
                <c:pt idx="14">
                  <c:v>5.1981075601813505E-3</c:v>
                </c:pt>
                <c:pt idx="15">
                  <c:v>2.3647006910587214E-4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FC1-4345-A87E-F3EB9D479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64848"/>
        <c:axId val="611465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[1]Q6!$E$1</c15:sqref>
                        </c15:formulaRef>
                      </c:ext>
                    </c:extLst>
                    <c:strCache>
                      <c:ptCount val="1"/>
                      <c:pt idx="0">
                        <c:v>d1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[1]Q6!$D$2:$D$17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85</c:v>
                      </c:pt>
                      <c:pt idx="5">
                        <c:v>90</c:v>
                      </c:pt>
                      <c:pt idx="6">
                        <c:v>95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110</c:v>
                      </c:pt>
                      <c:pt idx="10">
                        <c:v>115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[1]Q6!$E$2:$E$17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-10.423820855087218</c:v>
                      </c:pt>
                      <c:pt idx="1">
                        <c:v>-5.8089927554870506</c:v>
                      </c:pt>
                      <c:pt idx="2">
                        <c:v>-3.1094913699466757</c:v>
                      </c:pt>
                      <c:pt idx="3">
                        <c:v>-1.1941646558868821</c:v>
                      </c:pt>
                      <c:pt idx="4">
                        <c:v>-0.79053867841394765</c:v>
                      </c:pt>
                      <c:pt idx="5">
                        <c:v>-0.40998998440630013</c:v>
                      </c:pt>
                      <c:pt idx="6">
                        <c:v>-5.0021800183425932E-2</c:v>
                      </c:pt>
                      <c:pt idx="7">
                        <c:v>0.29147816245006658</c:v>
                      </c:pt>
                      <c:pt idx="8">
                        <c:v>0.61631281071526001</c:v>
                      </c:pt>
                      <c:pt idx="9">
                        <c:v>0.92603328764530579</c:v>
                      </c:pt>
                      <c:pt idx="10">
                        <c:v>1.2219837708066488</c:v>
                      </c:pt>
                      <c:pt idx="11">
                        <c:v>1.5053367296534927</c:v>
                      </c:pt>
                      <c:pt idx="12">
                        <c:v>2.5316395247750525</c:v>
                      </c:pt>
                      <c:pt idx="13">
                        <c:v>3.4206634437132863</c:v>
                      </c:pt>
                      <c:pt idx="14">
                        <c:v>4.2048381151938692</c:v>
                      </c:pt>
                      <c:pt idx="15">
                        <c:v>4.9063062620502356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FC1-4345-A87E-F3EB9D4796F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[1]Q6!$F$1</c15:sqref>
                        </c15:formulaRef>
                      </c:ext>
                    </c:extLst>
                    <c:strCache>
                      <c:ptCount val="1"/>
                      <c:pt idx="0">
                        <c:v>d2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85</c:v>
                      </c:pt>
                      <c:pt idx="5">
                        <c:v>90</c:v>
                      </c:pt>
                      <c:pt idx="6">
                        <c:v>95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110</c:v>
                      </c:pt>
                      <c:pt idx="10">
                        <c:v>115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[1]Q6!$F$2:$F$17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-10.574020855087218</c:v>
                      </c:pt>
                      <c:pt idx="1">
                        <c:v>-5.9591927554870505</c:v>
                      </c:pt>
                      <c:pt idx="2">
                        <c:v>-3.2596913699466756</c:v>
                      </c:pt>
                      <c:pt idx="3">
                        <c:v>-1.3443646558868823</c:v>
                      </c:pt>
                      <c:pt idx="4">
                        <c:v>-0.94073867841394765</c:v>
                      </c:pt>
                      <c:pt idx="5">
                        <c:v>-0.56018998440630008</c:v>
                      </c:pt>
                      <c:pt idx="6">
                        <c:v>-0.20022180018342595</c:v>
                      </c:pt>
                      <c:pt idx="7">
                        <c:v>0.14127816245006658</c:v>
                      </c:pt>
                      <c:pt idx="8">
                        <c:v>0.46611281071526001</c:v>
                      </c:pt>
                      <c:pt idx="9">
                        <c:v>0.77583328764530579</c:v>
                      </c:pt>
                      <c:pt idx="10">
                        <c:v>1.0717837708066487</c:v>
                      </c:pt>
                      <c:pt idx="11">
                        <c:v>1.3551367296534926</c:v>
                      </c:pt>
                      <c:pt idx="12">
                        <c:v>2.3814395247750526</c:v>
                      </c:pt>
                      <c:pt idx="13">
                        <c:v>3.2704634437132865</c:v>
                      </c:pt>
                      <c:pt idx="14">
                        <c:v>4.0546381151938693</c:v>
                      </c:pt>
                      <c:pt idx="15">
                        <c:v>4.7561062620502357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C1-4345-A87E-F3EB9D4796F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[1]Q6!$J$1</c15:sqref>
                        </c15:formulaRef>
                      </c:ext>
                    </c:extLst>
                    <c:strCache>
                      <c:ptCount val="1"/>
                      <c:pt idx="0">
                        <c:v>C0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85</c:v>
                      </c:pt>
                      <c:pt idx="5">
                        <c:v>90</c:v>
                      </c:pt>
                      <c:pt idx="6">
                        <c:v>95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110</c:v>
                      </c:pt>
                      <c:pt idx="10">
                        <c:v>115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[1]Q6!$J$2:$J$17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2.6947389008360671E-26</c:v>
                      </c:pt>
                      <c:pt idx="1">
                        <c:v>3.0090815521034072E-9</c:v>
                      </c:pt>
                      <c:pt idx="2">
                        <c:v>2.239457593431339E-3</c:v>
                      </c:pt>
                      <c:pt idx="3">
                        <c:v>0.64094582941431888</c:v>
                      </c:pt>
                      <c:pt idx="4">
                        <c:v>1.4541759418353237</c:v>
                      </c:pt>
                      <c:pt idx="5">
                        <c:v>2.8340193141663761</c:v>
                      </c:pt>
                      <c:pt idx="6">
                        <c:v>4.8847793762246283</c:v>
                      </c:pt>
                      <c:pt idx="7">
                        <c:v>7.626738946346137</c:v>
                      </c:pt>
                      <c:pt idx="8">
                        <c:v>11.000772292572535</c:v>
                      </c:pt>
                      <c:pt idx="9">
                        <c:v>14.896484471426888</c:v>
                      </c:pt>
                      <c:pt idx="10">
                        <c:v>19.18628289871171</c:v>
                      </c:pt>
                      <c:pt idx="11">
                        <c:v>23.751801792671372</c:v>
                      </c:pt>
                      <c:pt idx="12">
                        <c:v>43.237723808208102</c:v>
                      </c:pt>
                      <c:pt idx="13">
                        <c:v>63.199749119784215</c:v>
                      </c:pt>
                      <c:pt idx="14">
                        <c:v>83.197833911043645</c:v>
                      </c:pt>
                      <c:pt idx="15">
                        <c:v>103.19775773501658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FC1-4345-A87E-F3EB9D4796F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[1]Q6!$K$1</c15:sqref>
                        </c15:formulaRef>
                      </c:ext>
                    </c:extLst>
                    <c:strCache>
                      <c:ptCount val="1"/>
                      <c:pt idx="0">
                        <c:v>P0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85</c:v>
                      </c:pt>
                      <c:pt idx="5">
                        <c:v>90</c:v>
                      </c:pt>
                      <c:pt idx="6">
                        <c:v>95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110</c:v>
                      </c:pt>
                      <c:pt idx="10">
                        <c:v>115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[1]Q6!$K$2:$K$17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76.802244983130606</c:v>
                      </c:pt>
                      <c:pt idx="1">
                        <c:v>56.802244986139691</c:v>
                      </c:pt>
                      <c:pt idx="2">
                        <c:v>36.804484440724039</c:v>
                      </c:pt>
                      <c:pt idx="3">
                        <c:v>17.443190812544927</c:v>
                      </c:pt>
                      <c:pt idx="4">
                        <c:v>13.256420924965937</c:v>
                      </c:pt>
                      <c:pt idx="5">
                        <c:v>9.6362642972969752</c:v>
                      </c:pt>
                      <c:pt idx="6">
                        <c:v>6.6870243593552345</c:v>
                      </c:pt>
                      <c:pt idx="7">
                        <c:v>4.4289839294767432</c:v>
                      </c:pt>
                      <c:pt idx="8">
                        <c:v>2.8030172757031409</c:v>
                      </c:pt>
                      <c:pt idx="9">
                        <c:v>1.698729454557494</c:v>
                      </c:pt>
                      <c:pt idx="10">
                        <c:v>0.98852788184231599</c:v>
                      </c:pt>
                      <c:pt idx="11">
                        <c:v>0.5540467758019787</c:v>
                      </c:pt>
                      <c:pt idx="12">
                        <c:v>3.9968791338708343E-2</c:v>
                      </c:pt>
                      <c:pt idx="13">
                        <c:v>1.9941029148213829E-3</c:v>
                      </c:pt>
                      <c:pt idx="14">
                        <c:v>7.8894174251331606E-5</c:v>
                      </c:pt>
                      <c:pt idx="15">
                        <c:v>2.7181471864423656E-6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FC1-4345-A87E-F3EB9D4796F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[1]Q6!$M$1</c15:sqref>
                        </c15:formulaRef>
                      </c:ext>
                    </c:extLst>
                    <c:strCache>
                      <c:ptCount val="1"/>
                      <c:pt idx="0">
                        <c:v>ΔP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85</c:v>
                      </c:pt>
                      <c:pt idx="5">
                        <c:v>90</c:v>
                      </c:pt>
                      <c:pt idx="6">
                        <c:v>95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110</c:v>
                      </c:pt>
                      <c:pt idx="10">
                        <c:v>115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[1]Q6!$M$2:$M$17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-1</c:v>
                      </c:pt>
                      <c:pt idx="1">
                        <c:v>-0.99999999685750962</c:v>
                      </c:pt>
                      <c:pt idx="2">
                        <c:v>-0.99906295120351896</c:v>
                      </c:pt>
                      <c:pt idx="3">
                        <c:v>-0.88379321714785253</c:v>
                      </c:pt>
                      <c:pt idx="4">
                        <c:v>-0.78539337849717628</c:v>
                      </c:pt>
                      <c:pt idx="5">
                        <c:v>-0.65909335268402747</c:v>
                      </c:pt>
                      <c:pt idx="6">
                        <c:v>-0.51994749198404999</c:v>
                      </c:pt>
                      <c:pt idx="7">
                        <c:v>-0.38534282150288257</c:v>
                      </c:pt>
                      <c:pt idx="8">
                        <c:v>-0.26884404271124807</c:v>
                      </c:pt>
                      <c:pt idx="9">
                        <c:v>-0.17721434068670039</c:v>
                      </c:pt>
                      <c:pt idx="10">
                        <c:v>-0.1108568821535324</c:v>
                      </c:pt>
                      <c:pt idx="11">
                        <c:v>-6.6118763331525998E-2</c:v>
                      </c:pt>
                      <c:pt idx="12">
                        <c:v>-5.6765319654614732E-3</c:v>
                      </c:pt>
                      <c:pt idx="13">
                        <c:v>-3.1234293156223725E-4</c:v>
                      </c:pt>
                      <c:pt idx="14">
                        <c:v>-1.3063454607498137E-5</c:v>
                      </c:pt>
                      <c:pt idx="15">
                        <c:v>-4.6403785913806672E-7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FC1-4345-A87E-F3EB9D4796F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[1]Q6!$O$1</c15:sqref>
                        </c15:formulaRef>
                      </c:ext>
                    </c:extLst>
                    <c:strCache>
                      <c:ptCount val="1"/>
                      <c:pt idx="0">
                        <c:v>ΓP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85</c:v>
                      </c:pt>
                      <c:pt idx="5">
                        <c:v>90</c:v>
                      </c:pt>
                      <c:pt idx="6">
                        <c:v>95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110</c:v>
                      </c:pt>
                      <c:pt idx="10">
                        <c:v>115</c:v>
                      </c:pt>
                      <c:pt idx="11">
                        <c:v>120</c:v>
                      </c:pt>
                      <c:pt idx="12">
                        <c:v>140</c:v>
                      </c:pt>
                      <c:pt idx="13">
                        <c:v>160</c:v>
                      </c:pt>
                      <c:pt idx="14">
                        <c:v>180</c:v>
                      </c:pt>
                      <c:pt idx="15">
                        <c:v>200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[1]Q6!$O$2:$O$17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3.3794853962343682E-25</c:v>
                      </c:pt>
                      <c:pt idx="1">
                        <c:v>3.1237586511200269E-9</c:v>
                      </c:pt>
                      <c:pt idx="2">
                        <c:v>3.5197027017574501E-4</c:v>
                      </c:pt>
                      <c:pt idx="3">
                        <c:v>1.6273907170057039E-2</c:v>
                      </c:pt>
                      <c:pt idx="4">
                        <c:v>2.2862027075515292E-2</c:v>
                      </c:pt>
                      <c:pt idx="5">
                        <c:v>2.7132946336132283E-2</c:v>
                      </c:pt>
                      <c:pt idx="6">
                        <c:v>2.7923714324255403E-2</c:v>
                      </c:pt>
                      <c:pt idx="7">
                        <c:v>2.5456073014363541E-2</c:v>
                      </c:pt>
                      <c:pt idx="8">
                        <c:v>2.0920367269502319E-2</c:v>
                      </c:pt>
                      <c:pt idx="9">
                        <c:v>1.5726624352745258E-2</c:v>
                      </c:pt>
                      <c:pt idx="10">
                        <c:v>1.0946830792286014E-2</c:v>
                      </c:pt>
                      <c:pt idx="11">
                        <c:v>7.1284456397896732E-3</c:v>
                      </c:pt>
                      <c:pt idx="12">
                        <c:v>7.6979003827597398E-4</c:v>
                      </c:pt>
                      <c:pt idx="13">
                        <c:v>4.7785227881546523E-5</c:v>
                      </c:pt>
                      <c:pt idx="14">
                        <c:v>2.1362905262864944E-6</c:v>
                      </c:pt>
                      <c:pt idx="15">
                        <c:v>7.8718398503952117E-8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FC1-4345-A87E-F3EB9D4796F6}"/>
                  </c:ext>
                </c:extLst>
              </c15:ser>
            </c15:filteredScatterSeries>
          </c:ext>
        </c:extLst>
      </c:scatterChart>
      <c:valAx>
        <c:axId val="61146484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65168"/>
        <c:crosses val="autoZero"/>
        <c:crossBetween val="midCat"/>
      </c:valAx>
      <c:valAx>
        <c:axId val="6114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6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219076</xdr:colOff>
      <xdr:row>5</xdr:row>
      <xdr:rowOff>171451</xdr:rowOff>
    </xdr:from>
    <xdr:to>
      <xdr:col>27</xdr:col>
      <xdr:colOff>114300</xdr:colOff>
      <xdr:row>13</xdr:row>
      <xdr:rowOff>8131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046B90-B55B-437F-8F82-59CA16B05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3176" y="1162051"/>
          <a:ext cx="6600824" cy="1379730"/>
        </a:xfrm>
        <a:prstGeom prst="rect">
          <a:avLst/>
        </a:prstGeom>
      </xdr:spPr>
    </xdr:pic>
    <xdr:clientData/>
  </xdr:twoCellAnchor>
  <xdr:twoCellAnchor editAs="oneCell">
    <xdr:from>
      <xdr:col>16</xdr:col>
      <xdr:colOff>530740</xdr:colOff>
      <xdr:row>17</xdr:row>
      <xdr:rowOff>85725</xdr:rowOff>
    </xdr:from>
    <xdr:to>
      <xdr:col>26</xdr:col>
      <xdr:colOff>598851</xdr:colOff>
      <xdr:row>19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222245-CB1F-4BB7-BB53-9FC7A9306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4840" y="3400425"/>
          <a:ext cx="6164111" cy="438150"/>
        </a:xfrm>
        <a:prstGeom prst="rect">
          <a:avLst/>
        </a:prstGeom>
      </xdr:spPr>
    </xdr:pic>
    <xdr:clientData/>
  </xdr:twoCellAnchor>
  <xdr:twoCellAnchor editAs="oneCell">
    <xdr:from>
      <xdr:col>16</xdr:col>
      <xdr:colOff>514350</xdr:colOff>
      <xdr:row>26</xdr:row>
      <xdr:rowOff>9525</xdr:rowOff>
    </xdr:from>
    <xdr:to>
      <xdr:col>27</xdr:col>
      <xdr:colOff>566452</xdr:colOff>
      <xdr:row>32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B0D318-CA92-421F-ABA6-A9ABBE45B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5150" y="5048250"/>
          <a:ext cx="6757702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411306</xdr:colOff>
      <xdr:row>16</xdr:row>
      <xdr:rowOff>117763</xdr:rowOff>
    </xdr:from>
    <xdr:to>
      <xdr:col>23</xdr:col>
      <xdr:colOff>134215</xdr:colOff>
      <xdr:row>31</xdr:row>
      <xdr:rowOff>3463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1C3D9-2208-478D-8A45-FFA8A2251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766330</xdr:colOff>
      <xdr:row>16</xdr:row>
      <xdr:rowOff>117760</xdr:rowOff>
    </xdr:from>
    <xdr:to>
      <xdr:col>15</xdr:col>
      <xdr:colOff>298739</xdr:colOff>
      <xdr:row>31</xdr:row>
      <xdr:rowOff>3460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D8582E-E85F-4B1F-A22C-CA585D221F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61605</xdr:colOff>
      <xdr:row>1</xdr:row>
      <xdr:rowOff>207818</xdr:rowOff>
    </xdr:from>
    <xdr:to>
      <xdr:col>21</xdr:col>
      <xdr:colOff>285750</xdr:colOff>
      <xdr:row>11</xdr:row>
      <xdr:rowOff>139742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9B26B7-98D4-4B76-8A85-FC3CA7CC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9230" y="398318"/>
          <a:ext cx="6320145" cy="1875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19051</xdr:rowOff>
    </xdr:from>
    <xdr:to>
      <xdr:col>10</xdr:col>
      <xdr:colOff>600217</xdr:colOff>
      <xdr:row>9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FDD43C-4071-451F-9A39-437E576D8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09551"/>
          <a:ext cx="6486667" cy="1676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25</xdr:row>
      <xdr:rowOff>76200</xdr:rowOff>
    </xdr:from>
    <xdr:to>
      <xdr:col>11</xdr:col>
      <xdr:colOff>123825</xdr:colOff>
      <xdr:row>29</xdr:row>
      <xdr:rowOff>7208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91781-0AD3-4DA1-995F-3FE3AB895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5105400"/>
          <a:ext cx="6619875" cy="69300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47</xdr:row>
      <xdr:rowOff>114300</xdr:rowOff>
    </xdr:from>
    <xdr:to>
      <xdr:col>11</xdr:col>
      <xdr:colOff>142875</xdr:colOff>
      <xdr:row>60</xdr:row>
      <xdr:rowOff>96051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8D900E-06F4-4BC2-B3E3-AF2C031ED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9677400"/>
          <a:ext cx="6648450" cy="2458251"/>
        </a:xfrm>
        <a:prstGeom prst="rect">
          <a:avLst/>
        </a:prstGeom>
      </xdr:spPr>
    </xdr:pic>
    <xdr:clientData/>
  </xdr:twoCellAnchor>
  <xdr:absoluteAnchor>
    <xdr:pos x="11220451" y="11953875"/>
    <xdr:ext cx="5410199" cy="3495675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BD77A7-C74E-4290-92C1-DF0918ED1F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104776</xdr:rowOff>
    </xdr:from>
    <xdr:to>
      <xdr:col>4</xdr:col>
      <xdr:colOff>371475</xdr:colOff>
      <xdr:row>12</xdr:row>
      <xdr:rowOff>137310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B87877-4E36-4A6F-8D54-EF47B6F83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04776"/>
          <a:ext cx="4829175" cy="2318534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32</xdr:row>
      <xdr:rowOff>57150</xdr:rowOff>
    </xdr:from>
    <xdr:to>
      <xdr:col>4</xdr:col>
      <xdr:colOff>589032</xdr:colOff>
      <xdr:row>53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A82F3F-D16D-4054-B757-744CEBBE0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6286500"/>
          <a:ext cx="5151507" cy="397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294410</xdr:colOff>
      <xdr:row>74</xdr:row>
      <xdr:rowOff>103909</xdr:rowOff>
    </xdr:from>
    <xdr:to>
      <xdr:col>5</xdr:col>
      <xdr:colOff>674543</xdr:colOff>
      <xdr:row>76</xdr:row>
      <xdr:rowOff>166290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0CF449-674F-48BB-981E-9F8C74A21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1985" y="294409"/>
          <a:ext cx="5914158" cy="443381"/>
        </a:xfrm>
        <a:prstGeom prst="rect">
          <a:avLst/>
        </a:prstGeom>
      </xdr:spPr>
    </xdr:pic>
    <xdr:clientData/>
  </xdr:twoCellAnchor>
  <xdr:twoCellAnchor editAs="oneCell">
    <xdr:from>
      <xdr:col>0</xdr:col>
      <xdr:colOff>311727</xdr:colOff>
      <xdr:row>76</xdr:row>
      <xdr:rowOff>181843</xdr:rowOff>
    </xdr:from>
    <xdr:to>
      <xdr:col>4</xdr:col>
      <xdr:colOff>445077</xdr:colOff>
      <xdr:row>81</xdr:row>
      <xdr:rowOff>114708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9C964D-D1A9-44AA-950D-A844F1066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79302" y="791443"/>
          <a:ext cx="4876800" cy="885365"/>
        </a:xfrm>
        <a:prstGeom prst="rect">
          <a:avLst/>
        </a:prstGeom>
      </xdr:spPr>
    </xdr:pic>
    <xdr:clientData/>
  </xdr:twoCellAnchor>
  <xdr:twoCellAnchor editAs="oneCell">
    <xdr:from>
      <xdr:col>0</xdr:col>
      <xdr:colOff>329045</xdr:colOff>
      <xdr:row>87</xdr:row>
      <xdr:rowOff>155864</xdr:rowOff>
    </xdr:from>
    <xdr:to>
      <xdr:col>4</xdr:col>
      <xdr:colOff>401781</xdr:colOff>
      <xdr:row>92</xdr:row>
      <xdr:rowOff>93960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D3D9C3-5EC6-4D85-8F0D-B2BB86E6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6620" y="2889539"/>
          <a:ext cx="4816186" cy="8905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2</xdr:row>
      <xdr:rowOff>28575</xdr:rowOff>
    </xdr:from>
    <xdr:to>
      <xdr:col>18</xdr:col>
      <xdr:colOff>291445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0E9C7E-A24E-4325-AF37-E39AA126C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409575"/>
          <a:ext cx="5263495" cy="5210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Y3S2/WTW%20364%20-%20Fin%20Engineering%202/Assessments/Tutorials/Tut9%20-%20Kevin%20Marb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Probabilities"/>
      <sheetName val="Q5"/>
      <sheetName val="Q6"/>
      <sheetName val="ChartQ6"/>
      <sheetName val="alt codes"/>
    </sheetNames>
    <sheetDataSet>
      <sheetData sheetId="0"/>
      <sheetData sheetId="1"/>
      <sheetData sheetId="2">
        <row r="1">
          <cell r="E1" t="str">
            <v>d1</v>
          </cell>
          <cell r="F1" t="str">
            <v>d2</v>
          </cell>
          <cell r="J1" t="str">
            <v>C0</v>
          </cell>
          <cell r="K1" t="str">
            <v>P0</v>
          </cell>
          <cell r="L1" t="str">
            <v>ΔC</v>
          </cell>
          <cell r="M1" t="str">
            <v>ΔP</v>
          </cell>
          <cell r="N1" t="str">
            <v>ΓC</v>
          </cell>
          <cell r="O1" t="str">
            <v>ΓP</v>
          </cell>
          <cell r="P1" t="str">
            <v>ρC</v>
          </cell>
          <cell r="Q1" t="str">
            <v>ΘC</v>
          </cell>
          <cell r="R1" t="str">
            <v>νC</v>
          </cell>
        </row>
        <row r="2">
          <cell r="D2">
            <v>20</v>
          </cell>
          <cell r="E2">
            <v>-10.423820855087218</v>
          </cell>
          <cell r="F2">
            <v>-10.574020855087218</v>
          </cell>
          <cell r="J2">
            <v>2.6947389008360671E-26</v>
          </cell>
          <cell r="K2">
            <v>76.802244983130606</v>
          </cell>
          <cell r="L2">
            <v>9.6519405811809673E-26</v>
          </cell>
          <cell r="M2">
            <v>-1</v>
          </cell>
          <cell r="N2">
            <v>3.3794853962343682E-25</v>
          </cell>
          <cell r="O2">
            <v>3.3794853962343682E-25</v>
          </cell>
          <cell r="P2">
            <v>4.7586018180695822E-25</v>
          </cell>
          <cell r="Q2">
            <v>-6.3467533520166741E-24</v>
          </cell>
          <cell r="R2">
            <v>1.0151974130288042E-23</v>
          </cell>
        </row>
        <row r="3">
          <cell r="D3">
            <v>40</v>
          </cell>
          <cell r="E3">
            <v>-5.8089927554870506</v>
          </cell>
          <cell r="F3">
            <v>-5.9591927554870505</v>
          </cell>
          <cell r="J3">
            <v>3.0090815521034072E-9</v>
          </cell>
          <cell r="K3">
            <v>56.802244986139691</v>
          </cell>
          <cell r="L3">
            <v>3.1424904292082629E-9</v>
          </cell>
          <cell r="M3">
            <v>-0.99999999685750962</v>
          </cell>
          <cell r="N3">
            <v>3.1237586511200269E-9</v>
          </cell>
          <cell r="O3">
            <v>3.1237586511200269E-9</v>
          </cell>
          <cell r="P3">
            <v>3.0672633904056778E-8</v>
          </cell>
          <cell r="Q3">
            <v>-2.4146055401287389E-7</v>
          </cell>
          <cell r="R3">
            <v>3.7535083951858248E-7</v>
          </cell>
        </row>
        <row r="4">
          <cell r="D4">
            <v>60</v>
          </cell>
          <cell r="E4">
            <v>-3.1094913699466757</v>
          </cell>
          <cell r="F4">
            <v>-3.2596913699466756</v>
          </cell>
          <cell r="J4">
            <v>2.239457593431339E-3</v>
          </cell>
          <cell r="K4">
            <v>36.804484440724039</v>
          </cell>
          <cell r="L4">
            <v>9.3704879648104703E-4</v>
          </cell>
          <cell r="M4">
            <v>-0.99906295120351896</v>
          </cell>
          <cell r="N4">
            <v>3.5197027017574501E-4</v>
          </cell>
          <cell r="O4">
            <v>3.5197027017574501E-4</v>
          </cell>
          <cell r="P4">
            <v>1.3495867548857871E-2</v>
          </cell>
          <cell r="Q4">
            <v>-6.4189187418030522E-2</v>
          </cell>
          <cell r="R4">
            <v>9.5158682244714424E-2</v>
          </cell>
        </row>
        <row r="5">
          <cell r="D5">
            <v>80</v>
          </cell>
          <cell r="E5">
            <v>-1.1941646558868821</v>
          </cell>
          <cell r="F5">
            <v>-1.3443646558868823</v>
          </cell>
          <cell r="J5">
            <v>0.64094582941431888</v>
          </cell>
          <cell r="K5">
            <v>17.443190812544927</v>
          </cell>
          <cell r="L5">
            <v>0.11620678285214749</v>
          </cell>
          <cell r="M5">
            <v>-0.88379321714785253</v>
          </cell>
          <cell r="N5">
            <v>1.6273907170057039E-2</v>
          </cell>
          <cell r="O5">
            <v>1.6273907170057039E-2</v>
          </cell>
          <cell r="P5">
            <v>2.1638991996893702</v>
          </cell>
          <cell r="Q5">
            <v>-5.8246195417619742</v>
          </cell>
          <cell r="R5">
            <v>7.8218907422162145</v>
          </cell>
        </row>
        <row r="6">
          <cell r="D6">
            <v>85</v>
          </cell>
          <cell r="E6">
            <v>-0.79053867841394765</v>
          </cell>
          <cell r="F6">
            <v>-0.94073867841394765</v>
          </cell>
          <cell r="J6">
            <v>1.4541759418353237</v>
          </cell>
          <cell r="K6">
            <v>13.256420924965937</v>
          </cell>
          <cell r="L6">
            <v>0.21460662150282367</v>
          </cell>
          <cell r="M6">
            <v>-0.78539337849717628</v>
          </cell>
          <cell r="N6">
            <v>2.2862027075515292E-2</v>
          </cell>
          <cell r="O6">
            <v>2.2862027075515292E-2</v>
          </cell>
          <cell r="P6">
            <v>4.196846721476172</v>
          </cell>
          <cell r="Q6">
            <v>-9.6352114398206403</v>
          </cell>
          <cell r="R6">
            <v>12.404878736106909</v>
          </cell>
        </row>
        <row r="7">
          <cell r="D7">
            <v>90</v>
          </cell>
          <cell r="E7">
            <v>-0.40998998440630013</v>
          </cell>
          <cell r="F7">
            <v>-0.56018998440630008</v>
          </cell>
          <cell r="J7">
            <v>2.8340193141663761</v>
          </cell>
          <cell r="K7">
            <v>9.6362642972969752</v>
          </cell>
          <cell r="L7">
            <v>0.34090664731597253</v>
          </cell>
          <cell r="M7">
            <v>-0.65909335268402747</v>
          </cell>
          <cell r="N7">
            <v>2.7132946336132283E-2</v>
          </cell>
          <cell r="O7">
            <v>2.7132946336132283E-2</v>
          </cell>
          <cell r="P7">
            <v>6.9618947360677881</v>
          </cell>
          <cell r="Q7">
            <v>-13.536535008263415</v>
          </cell>
          <cell r="R7">
            <v>16.505242585732631</v>
          </cell>
        </row>
        <row r="8">
          <cell r="D8">
            <v>95</v>
          </cell>
          <cell r="E8">
            <v>-5.0021800183425932E-2</v>
          </cell>
          <cell r="F8">
            <v>-0.20022180018342595</v>
          </cell>
          <cell r="J8">
            <v>4.8847793762246283</v>
          </cell>
          <cell r="K8">
            <v>6.6870243593552345</v>
          </cell>
          <cell r="L8">
            <v>0.48005250801595001</v>
          </cell>
          <cell r="M8">
            <v>-0.51994749198404999</v>
          </cell>
          <cell r="N8">
            <v>2.7923714324255403E-2</v>
          </cell>
          <cell r="O8">
            <v>2.7923714324255403E-2</v>
          </cell>
          <cell r="P8">
            <v>10.180052221322656</v>
          </cell>
          <cell r="Q8">
            <v>-16.664407178560921</v>
          </cell>
          <cell r="R8">
            <v>18.926065285408018</v>
          </cell>
        </row>
        <row r="9">
          <cell r="D9">
            <v>100</v>
          </cell>
          <cell r="E9">
            <v>0.29147816245006658</v>
          </cell>
          <cell r="F9">
            <v>0.14127816245006658</v>
          </cell>
          <cell r="J9">
            <v>7.626738946346137</v>
          </cell>
          <cell r="K9">
            <v>4.4289839294767432</v>
          </cell>
          <cell r="L9">
            <v>0.61465717849711743</v>
          </cell>
          <cell r="M9">
            <v>-0.38534282150288257</v>
          </cell>
          <cell r="N9">
            <v>2.5456073014363541E-2</v>
          </cell>
          <cell r="O9">
            <v>2.5456073014363541E-2</v>
          </cell>
          <cell r="P9">
            <v>13.459744725841402</v>
          </cell>
          <cell r="Q9">
            <v>-18.48486776637677</v>
          </cell>
          <cell r="R9">
            <v>19.117510833787019</v>
          </cell>
        </row>
        <row r="10">
          <cell r="D10">
            <v>105</v>
          </cell>
          <cell r="E10">
            <v>0.61631281071526001</v>
          </cell>
          <cell r="F10">
            <v>0.46611281071526001</v>
          </cell>
          <cell r="J10">
            <v>11.000772292572535</v>
          </cell>
          <cell r="K10">
            <v>2.8030172757031409</v>
          </cell>
          <cell r="L10">
            <v>0.73115595728875193</v>
          </cell>
          <cell r="M10">
            <v>-0.26884404271124807</v>
          </cell>
          <cell r="N10">
            <v>2.0920367269502319E-2</v>
          </cell>
          <cell r="O10">
            <v>2.0920367269502319E-2</v>
          </cell>
          <cell r="P10">
            <v>16.442650805686604</v>
          </cell>
          <cell r="Q10">
            <v>-18.956991728200357</v>
          </cell>
          <cell r="R10">
            <v>17.321593390884356</v>
          </cell>
        </row>
        <row r="11">
          <cell r="D11">
            <v>110</v>
          </cell>
          <cell r="E11">
            <v>0.92603328764530579</v>
          </cell>
          <cell r="F11">
            <v>0.77583328764530579</v>
          </cell>
          <cell r="J11">
            <v>14.896484471426888</v>
          </cell>
          <cell r="K11">
            <v>1.698729454557494</v>
          </cell>
          <cell r="L11">
            <v>0.82278565931329961</v>
          </cell>
          <cell r="M11">
            <v>-0.17721434068670039</v>
          </cell>
          <cell r="N11">
            <v>1.5726624352745258E-2</v>
          </cell>
          <cell r="O11">
            <v>1.5726624352745258E-2</v>
          </cell>
          <cell r="P11">
            <v>18.902484513259019</v>
          </cell>
          <cell r="Q11">
            <v>-18.415289188897042</v>
          </cell>
          <cell r="R11">
            <v>14.290940815583141</v>
          </cell>
        </row>
        <row r="12">
          <cell r="D12">
            <v>115</v>
          </cell>
          <cell r="E12">
            <v>1.2219837708066488</v>
          </cell>
          <cell r="F12">
            <v>1.0717837708066487</v>
          </cell>
          <cell r="J12">
            <v>19.18628289871171</v>
          </cell>
          <cell r="K12">
            <v>0.98852788184231599</v>
          </cell>
          <cell r="L12">
            <v>0.8891431178464676</v>
          </cell>
          <cell r="M12">
            <v>-0.1108568821535324</v>
          </cell>
          <cell r="N12">
            <v>1.0946830792286014E-2</v>
          </cell>
          <cell r="O12">
            <v>1.0946830792286014E-2</v>
          </cell>
          <cell r="P12">
            <v>20.766293913408017</v>
          </cell>
          <cell r="Q12">
            <v>-17.330589712445718</v>
          </cell>
          <cell r="R12">
            <v>10.872364975821489</v>
          </cell>
        </row>
        <row r="13">
          <cell r="D13">
            <v>120</v>
          </cell>
          <cell r="E13">
            <v>1.5053367296534927</v>
          </cell>
          <cell r="F13">
            <v>1.3551367296534926</v>
          </cell>
          <cell r="J13">
            <v>23.751801792671372</v>
          </cell>
          <cell r="K13">
            <v>0.5540467758019787</v>
          </cell>
          <cell r="L13">
            <v>0.933881236668474</v>
          </cell>
          <cell r="M13">
            <v>-6.6118763331525998E-2</v>
          </cell>
          <cell r="N13">
            <v>7.1284456397896732E-3</v>
          </cell>
          <cell r="O13">
            <v>7.1284456397896732E-3</v>
          </cell>
          <cell r="P13">
            <v>22.078486651886376</v>
          </cell>
          <cell r="Q13">
            <v>-16.112371999599556</v>
          </cell>
          <cell r="R13">
            <v>7.7089862526941451</v>
          </cell>
        </row>
        <row r="14">
          <cell r="D14">
            <v>140</v>
          </cell>
          <cell r="E14">
            <v>2.5316395247750525</v>
          </cell>
          <cell r="F14">
            <v>2.3814395247750526</v>
          </cell>
          <cell r="J14">
            <v>43.237723808208102</v>
          </cell>
          <cell r="K14">
            <v>3.9968791338708343E-2</v>
          </cell>
          <cell r="L14">
            <v>0.99432346803453853</v>
          </cell>
          <cell r="M14">
            <v>-5.6765319654614732E-3</v>
          </cell>
          <cell r="N14">
            <v>7.6979003827597398E-4</v>
          </cell>
          <cell r="O14">
            <v>7.6979003827597398E-4</v>
          </cell>
          <cell r="P14">
            <v>23.991890429156825</v>
          </cell>
          <cell r="Q14">
            <v>-13.156549590121763</v>
          </cell>
          <cell r="R14">
            <v>1.1331001447407025</v>
          </cell>
        </row>
        <row r="15">
          <cell r="D15">
            <v>160</v>
          </cell>
          <cell r="E15">
            <v>3.4206634437132863</v>
          </cell>
          <cell r="F15">
            <v>3.2704634437132865</v>
          </cell>
          <cell r="J15">
            <v>63.199749119784215</v>
          </cell>
          <cell r="K15">
            <v>1.9941029148213829E-3</v>
          </cell>
          <cell r="L15">
            <v>0.99968765706843776</v>
          </cell>
          <cell r="M15">
            <v>-3.1234293156223725E-4</v>
          </cell>
          <cell r="N15">
            <v>4.7785227881546523E-5</v>
          </cell>
          <cell r="O15">
            <v>4.7785227881546523E-5</v>
          </cell>
          <cell r="P15">
            <v>24.187569002791459</v>
          </cell>
          <cell r="Q15">
            <v>-12.632731358055299</v>
          </cell>
          <cell r="R15">
            <v>9.1869967715946091E-2</v>
          </cell>
        </row>
        <row r="16">
          <cell r="D16">
            <v>180</v>
          </cell>
          <cell r="E16">
            <v>4.2048381151938692</v>
          </cell>
          <cell r="F16">
            <v>4.0546381151938693</v>
          </cell>
          <cell r="J16">
            <v>83.197833911043645</v>
          </cell>
          <cell r="K16">
            <v>7.8894174251331606E-5</v>
          </cell>
          <cell r="L16">
            <v>0.9999869365453925</v>
          </cell>
          <cell r="M16">
            <v>-1.3063454607498137E-5</v>
          </cell>
          <cell r="N16">
            <v>2.1362905262864944E-6</v>
          </cell>
          <cell r="O16">
            <v>2.1362905262864944E-6</v>
          </cell>
          <cell r="P16">
            <v>24.199953666781749</v>
          </cell>
          <cell r="Q16">
            <v>-12.587098929748667</v>
          </cell>
          <cell r="R16">
            <v>5.1981075601813505E-3</v>
          </cell>
        </row>
        <row r="17">
          <cell r="D17">
            <v>200</v>
          </cell>
          <cell r="E17">
            <v>4.9063062620502356</v>
          </cell>
          <cell r="F17">
            <v>4.7561062620502357</v>
          </cell>
          <cell r="J17">
            <v>103.19775773501658</v>
          </cell>
          <cell r="K17">
            <v>2.7181471864423656E-6</v>
          </cell>
          <cell r="L17">
            <v>0.99999953596214086</v>
          </cell>
          <cell r="M17">
            <v>-4.6403785913806672E-7</v>
          </cell>
          <cell r="N17">
            <v>7.8718398503952117E-8</v>
          </cell>
          <cell r="O17">
            <v>7.8718398503952117E-8</v>
          </cell>
          <cell r="P17">
            <v>24.200537364352897</v>
          </cell>
          <cell r="Q17">
            <v>-12.584421500681024</v>
          </cell>
          <cell r="R17">
            <v>2.3647006910587214E-4</v>
          </cell>
        </row>
      </sheetData>
      <sheetData sheetId="3" refreshError="1"/>
      <sheetData sheetId="4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4DB0801C-88AE-4EF7-8250-9EEEB669DBCE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6BBE-8E3C-4F29-954F-7829C9FB0D38}">
  <dimension ref="A1:AB64"/>
  <sheetViews>
    <sheetView showGridLines="0" tabSelected="1" workbookViewId="0">
      <selection activeCell="AD55" sqref="AD55"/>
    </sheetView>
  </sheetViews>
  <sheetFormatPr defaultRowHeight="15" x14ac:dyDescent="0.25"/>
  <cols>
    <col min="4" max="5" width="9.28515625" bestFit="1" customWidth="1"/>
    <col min="6" max="6" width="9.7109375" bestFit="1" customWidth="1"/>
    <col min="7" max="7" width="11" customWidth="1"/>
    <col min="8" max="8" width="10.140625" customWidth="1"/>
    <col min="10" max="10" width="11.5703125" bestFit="1" customWidth="1"/>
    <col min="11" max="11" width="9.5703125" bestFit="1" customWidth="1"/>
    <col min="12" max="13" width="9.28515625" bestFit="1" customWidth="1"/>
  </cols>
  <sheetData>
    <row r="1" spans="1:28" x14ac:dyDescent="0.25">
      <c r="A1" s="53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19"/>
      <c r="P1" s="19"/>
      <c r="Q1" s="19"/>
      <c r="R1" s="19"/>
      <c r="S1" s="19"/>
      <c r="T1" s="20"/>
      <c r="U1" s="20"/>
      <c r="V1" s="20"/>
      <c r="W1" s="20"/>
      <c r="X1" s="20"/>
      <c r="Y1" s="20"/>
      <c r="Z1" s="20"/>
      <c r="AA1" s="20"/>
      <c r="AB1" s="20"/>
    </row>
    <row r="2" spans="1:28" x14ac:dyDescent="0.25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</row>
    <row r="3" spans="1:28" x14ac:dyDescent="0.25">
      <c r="A3" s="6" t="s">
        <v>1</v>
      </c>
      <c r="B3" s="6">
        <f>0.06</f>
        <v>0.06</v>
      </c>
      <c r="C3" s="4"/>
      <c r="D3" s="57" t="s">
        <v>19</v>
      </c>
      <c r="E3" s="57"/>
      <c r="F3" s="57"/>
      <c r="G3" s="57"/>
      <c r="H3" s="4"/>
      <c r="I3" s="4"/>
      <c r="J3" s="57" t="s">
        <v>20</v>
      </c>
      <c r="K3" s="57"/>
      <c r="L3" s="57"/>
      <c r="M3" s="57"/>
      <c r="N3" s="4"/>
      <c r="O3" s="59"/>
      <c r="P3" s="59" t="s">
        <v>21</v>
      </c>
      <c r="Q3" s="4"/>
      <c r="R3" s="4"/>
      <c r="S3" s="4"/>
    </row>
    <row r="4" spans="1:28" ht="17.25" customHeight="1" x14ac:dyDescent="0.25">
      <c r="A4" s="7" t="s">
        <v>22</v>
      </c>
      <c r="B4" s="6">
        <f>0.1</f>
        <v>0.1</v>
      </c>
      <c r="C4" s="4"/>
      <c r="D4" s="6" t="s">
        <v>23</v>
      </c>
      <c r="E4" s="6" t="s">
        <v>24</v>
      </c>
      <c r="F4" s="6" t="s">
        <v>25</v>
      </c>
      <c r="G4" s="6" t="s">
        <v>26</v>
      </c>
      <c r="H4" s="4"/>
      <c r="I4" s="4"/>
      <c r="J4" s="6" t="s">
        <v>23</v>
      </c>
      <c r="K4" s="6" t="s">
        <v>24</v>
      </c>
      <c r="L4" s="6" t="s">
        <v>25</v>
      </c>
      <c r="M4" s="6" t="s">
        <v>26</v>
      </c>
      <c r="N4" s="4"/>
      <c r="O4" s="59"/>
      <c r="P4" s="59"/>
      <c r="Q4" s="4"/>
      <c r="R4" s="4"/>
      <c r="S4" s="4"/>
    </row>
    <row r="5" spans="1:28" x14ac:dyDescent="0.25">
      <c r="A5" s="6" t="s">
        <v>27</v>
      </c>
      <c r="B5" s="6">
        <v>85</v>
      </c>
      <c r="C5" s="4"/>
      <c r="D5" s="2">
        <v>90</v>
      </c>
      <c r="E5" s="2">
        <f>D5*$B$8</f>
        <v>93.750265737201417</v>
      </c>
      <c r="F5" s="2">
        <f>D5*$B$8^2</f>
        <v>97.656803619954232</v>
      </c>
      <c r="G5" s="2">
        <f>D5*$B$8^3</f>
        <v>101.72612544907113</v>
      </c>
      <c r="H5" s="1"/>
      <c r="I5" s="1"/>
      <c r="J5" s="17">
        <f>EXP(-($B$3)*(1/6))*(q3_*K5+(1-q3_)*K6)</f>
        <v>7.8147806897580017</v>
      </c>
      <c r="K5" s="2">
        <f>EXP(-($B$3)*(1/6))*(q3_*L5+(1-q3_)*L6)</f>
        <v>10.433378506127195</v>
      </c>
      <c r="L5" s="2">
        <f>EXP(-($B$3)*(1/6))*(q3_*M5+(1-q3_)*M6)</f>
        <v>13.50256775127494</v>
      </c>
      <c r="M5" s="2">
        <f>IF(G5&gt;$B$5, G5-$B$5, 0)</f>
        <v>16.726125449071134</v>
      </c>
      <c r="N5" s="4"/>
      <c r="O5" s="59"/>
      <c r="P5" s="59"/>
      <c r="Q5" s="4"/>
      <c r="R5" s="4"/>
      <c r="S5" s="4"/>
    </row>
    <row r="6" spans="1:28" x14ac:dyDescent="0.25">
      <c r="A6" s="6" t="s">
        <v>49</v>
      </c>
      <c r="B6" s="8">
        <f>(6/12)/3</f>
        <v>0.16666666666666666</v>
      </c>
      <c r="C6" s="4"/>
      <c r="D6" s="2"/>
      <c r="E6" s="2">
        <f>$D$5*$B$9</f>
        <v>86.399755097289372</v>
      </c>
      <c r="F6" s="2">
        <f>D5*B8*B9</f>
        <v>90.000000000000014</v>
      </c>
      <c r="G6" s="2">
        <f>D5*B8^2*B9</f>
        <v>93.750265737201417</v>
      </c>
      <c r="H6" s="1"/>
      <c r="I6" s="1"/>
      <c r="J6" s="2"/>
      <c r="K6" s="2">
        <f>EXP(-($B$3)*(1/6))*(q3_*L6+(1-q3_)*L7)</f>
        <v>3.8724653881743989</v>
      </c>
      <c r="L6" s="2">
        <f>EXP(-($B$3)*(1/6))*(q3_*M6+(1-q3_)*M7)</f>
        <v>5.8457641313207125</v>
      </c>
      <c r="M6" s="2">
        <f>IF(G6&gt;$B$5, G6-$B$5, 0)</f>
        <v>8.750265737201417</v>
      </c>
      <c r="N6" s="4"/>
      <c r="O6" s="59"/>
      <c r="P6" s="59"/>
      <c r="Q6" s="4"/>
      <c r="R6" s="4"/>
      <c r="S6" s="4"/>
    </row>
    <row r="7" spans="1:28" x14ac:dyDescent="0.25">
      <c r="A7" s="6" t="s">
        <v>50</v>
      </c>
      <c r="B7" s="8">
        <f>(6/12)/4</f>
        <v>0.125</v>
      </c>
      <c r="C7" s="4"/>
      <c r="D7" s="2"/>
      <c r="E7" s="2"/>
      <c r="F7" s="2">
        <f>$D$5*$B$9^2</f>
        <v>82.943529787461998</v>
      </c>
      <c r="G7" s="2">
        <f>D5*B9^2*B8</f>
        <v>86.399755097289372</v>
      </c>
      <c r="H7" s="1"/>
      <c r="I7" s="1"/>
      <c r="J7" s="2"/>
      <c r="K7" s="2"/>
      <c r="L7" s="2">
        <f>EXP(-($B$3)*(1/6))*(q3_*M7+(1-q3_)*M8)</f>
        <v>0.84930416635646966</v>
      </c>
      <c r="M7" s="2">
        <f>IF(G7&gt;$B$5, G7-$B$5, 0)</f>
        <v>1.399755097289372</v>
      </c>
      <c r="N7" s="4"/>
      <c r="O7" s="59"/>
      <c r="P7" s="59"/>
      <c r="Q7" s="4"/>
      <c r="R7" s="4"/>
      <c r="S7" s="4"/>
    </row>
    <row r="8" spans="1:28" x14ac:dyDescent="0.25">
      <c r="A8" s="6" t="s">
        <v>35</v>
      </c>
      <c r="B8" s="8">
        <f>EXP(std*SQRT(B6))</f>
        <v>1.0416696193022379</v>
      </c>
      <c r="C8" s="4"/>
      <c r="D8" s="2"/>
      <c r="E8" s="2"/>
      <c r="F8" s="2"/>
      <c r="G8" s="2">
        <f>$D$5*$B$9^3</f>
        <v>79.625562894904917</v>
      </c>
      <c r="H8" s="1"/>
      <c r="I8" s="1"/>
      <c r="J8" s="2"/>
      <c r="K8" s="2"/>
      <c r="L8" s="2"/>
      <c r="M8" s="2">
        <f>IF(G8&gt;$B$5, G8-$B$5, 0)</f>
        <v>0</v>
      </c>
      <c r="N8" s="4"/>
      <c r="O8" s="59"/>
      <c r="P8" s="59"/>
      <c r="Q8" s="4"/>
      <c r="R8" s="4"/>
      <c r="S8" s="4"/>
    </row>
    <row r="9" spans="1:28" x14ac:dyDescent="0.25">
      <c r="A9" s="6" t="s">
        <v>36</v>
      </c>
      <c r="B9" s="8">
        <f>1/B8</f>
        <v>0.95999727885877073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9"/>
      <c r="P9" s="59"/>
      <c r="Q9" s="4"/>
      <c r="R9" s="4"/>
      <c r="S9" s="4"/>
    </row>
    <row r="10" spans="1:28" x14ac:dyDescent="0.25">
      <c r="A10" s="6" t="s">
        <v>51</v>
      </c>
      <c r="B10" s="8">
        <f>(EXP(Rate*B6)-B9)/(B8-B9)</f>
        <v>0.61284993124500164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8" x14ac:dyDescent="0.25">
      <c r="A11" s="18" t="s">
        <v>37</v>
      </c>
      <c r="B11" s="18">
        <f>EXP(std*SQRT(B7))</f>
        <v>1.0359877703222138</v>
      </c>
      <c r="C11" s="4"/>
      <c r="D11" s="54" t="s">
        <v>19</v>
      </c>
      <c r="E11" s="55"/>
      <c r="F11" s="55"/>
      <c r="G11" s="55"/>
      <c r="H11" s="56"/>
      <c r="I11" s="4"/>
      <c r="J11" s="54" t="s">
        <v>20</v>
      </c>
      <c r="K11" s="55"/>
      <c r="L11" s="55"/>
      <c r="M11" s="55"/>
      <c r="N11" s="56"/>
      <c r="O11" s="4"/>
      <c r="P11" s="59" t="s">
        <v>29</v>
      </c>
      <c r="Q11" s="4"/>
      <c r="R11" s="4"/>
      <c r="S11" s="4"/>
    </row>
    <row r="12" spans="1:28" ht="16.5" customHeight="1" x14ac:dyDescent="0.25">
      <c r="A12" s="11" t="s">
        <v>38</v>
      </c>
      <c r="B12" s="6">
        <f>1/B11</f>
        <v>0.96526235989154496</v>
      </c>
      <c r="C12" s="4"/>
      <c r="D12" s="6" t="s">
        <v>23</v>
      </c>
      <c r="E12" s="6" t="s">
        <v>24</v>
      </c>
      <c r="F12" s="6" t="s">
        <v>25</v>
      </c>
      <c r="G12" s="6" t="s">
        <v>26</v>
      </c>
      <c r="H12" s="6" t="s">
        <v>30</v>
      </c>
      <c r="I12" s="4"/>
      <c r="J12" s="6" t="s">
        <v>23</v>
      </c>
      <c r="K12" s="6" t="s">
        <v>24</v>
      </c>
      <c r="L12" s="6" t="s">
        <v>25</v>
      </c>
      <c r="M12" s="6" t="s">
        <v>26</v>
      </c>
      <c r="N12" s="6" t="s">
        <v>30</v>
      </c>
      <c r="O12" s="4"/>
      <c r="P12" s="59"/>
      <c r="Q12" s="4"/>
      <c r="R12" s="4"/>
      <c r="S12" s="4"/>
    </row>
    <row r="13" spans="1:28" x14ac:dyDescent="0.25">
      <c r="A13" s="6" t="s">
        <v>28</v>
      </c>
      <c r="B13" s="8">
        <f>(EXP(Rate*B7)-B12)/(B11-B12)</f>
        <v>0.59760466988624328</v>
      </c>
      <c r="C13" s="4"/>
      <c r="D13" s="8">
        <v>90</v>
      </c>
      <c r="E13" s="8">
        <f>$D$13*$B$11</f>
        <v>93.238899328999238</v>
      </c>
      <c r="F13" s="8">
        <f>$D$13*$B$11^2</f>
        <v>96.594359423147282</v>
      </c>
      <c r="G13" s="8">
        <f>$D$13*$B$11^3</f>
        <v>100.07057504448888</v>
      </c>
      <c r="H13" s="8">
        <f>$D$13*$B$11^4</f>
        <v>103.67189191520178</v>
      </c>
      <c r="I13" s="9"/>
      <c r="J13" s="10">
        <f>EXP(-($B$3)*((6/4)/12))*(q4_*K13+(1-q4_)*K14)</f>
        <v>7.859840582514801</v>
      </c>
      <c r="K13" s="8">
        <f>EXP(-($B$3)*((6/4)/12))*(q4_*L13+(1-q4_)*L14)</f>
        <v>10.202935928927392</v>
      </c>
      <c r="L13" s="8">
        <f>EXP(-($B$3)*((6/4)/12))*(q4_*M13+(1-q4_)*M14)</f>
        <v>12.859844556886937</v>
      </c>
      <c r="M13" s="8">
        <f>EXP(-($B$3)*((6/4)/12))*(q4_*N13+(1-q4_)*N14)</f>
        <v>15.705690384862093</v>
      </c>
      <c r="N13" s="8">
        <f>IF(H13&gt;$B$5, H13-$B$5, 0)</f>
        <v>18.671891915201783</v>
      </c>
      <c r="O13" s="4"/>
      <c r="P13" s="59"/>
      <c r="Q13" s="4"/>
      <c r="R13" s="4"/>
      <c r="S13" s="4"/>
    </row>
    <row r="14" spans="1:28" x14ac:dyDescent="0.25">
      <c r="A14" s="4"/>
      <c r="B14" s="4"/>
      <c r="C14" s="4"/>
      <c r="D14" s="8"/>
      <c r="E14" s="8">
        <f>$D$13*B12</f>
        <v>86.873612390239046</v>
      </c>
      <c r="F14" s="8">
        <f>D13*B11*B12</f>
        <v>90</v>
      </c>
      <c r="G14" s="8">
        <f>D13*B11^2*B12</f>
        <v>93.238899328999238</v>
      </c>
      <c r="H14" s="8">
        <f>D13*B11^3*B12</f>
        <v>96.594359423147282</v>
      </c>
      <c r="I14" s="9"/>
      <c r="J14" s="8"/>
      <c r="K14" s="8">
        <f>EXP(-($B$3)*((6/4)/12))*(q4_*L14+(1-q4_)*L15)</f>
        <v>4.5271122813247295</v>
      </c>
      <c r="L14" s="8">
        <f>EXP(-($B$3)*((6/4)/12))*(q4_*M14+(1-q4_)*M15)</f>
        <v>6.4479934763857516</v>
      </c>
      <c r="M14" s="8">
        <f>EXP(-($B$3)*((6/4)/12))*(q4_*N14+(1-q4_)*N15)</f>
        <v>8.8740146693724657</v>
      </c>
      <c r="N14" s="8">
        <f t="shared" ref="N14:N17" si="0">IF(H14&gt;$B$5, H14-$B$5, 0)</f>
        <v>11.594359423147282</v>
      </c>
      <c r="O14" s="4"/>
      <c r="P14" s="59"/>
      <c r="Q14" s="4"/>
      <c r="R14" s="4"/>
      <c r="S14" s="4"/>
    </row>
    <row r="15" spans="1:28" x14ac:dyDescent="0.25">
      <c r="A15" s="4"/>
      <c r="B15" s="4"/>
      <c r="C15" s="4"/>
      <c r="D15" s="8"/>
      <c r="E15" s="8"/>
      <c r="F15" s="8">
        <f>$D$13*B12^2</f>
        <v>83.855828108105499</v>
      </c>
      <c r="G15" s="8">
        <f>D13*B11*B12^2</f>
        <v>86.873612390239032</v>
      </c>
      <c r="H15" s="8">
        <f>D13*B11^2*B12^2</f>
        <v>89.999999999999986</v>
      </c>
      <c r="I15" s="9"/>
      <c r="J15" s="8"/>
      <c r="K15" s="8"/>
      <c r="L15" s="8">
        <f>EXP(-($B$3)*((6/4)/12))*(q4_*M15+(1-q4_)*M16)</f>
        <v>1.7590717424420124</v>
      </c>
      <c r="M15" s="8">
        <f>EXP(-($B$3)*((6/4)/12))*(q4_*N15+(1-q4_)*N16)</f>
        <v>2.9656970027651237</v>
      </c>
      <c r="N15" s="8">
        <f t="shared" si="0"/>
        <v>4.9999999999999858</v>
      </c>
      <c r="O15" s="4"/>
      <c r="P15" s="59"/>
      <c r="Q15" s="4"/>
      <c r="R15" s="4"/>
      <c r="S15" s="4"/>
    </row>
    <row r="16" spans="1:28" x14ac:dyDescent="0.25">
      <c r="A16" s="4"/>
      <c r="B16" s="4"/>
      <c r="C16" s="4"/>
      <c r="D16" s="8"/>
      <c r="E16" s="8"/>
      <c r="F16" s="8"/>
      <c r="G16" s="8">
        <f>$D$13*B12^3</f>
        <v>80.942874530289671</v>
      </c>
      <c r="H16" s="8">
        <f>D13*B11*B12^3</f>
        <v>83.855828108105499</v>
      </c>
      <c r="I16" s="9"/>
      <c r="J16" s="8"/>
      <c r="K16" s="8"/>
      <c r="L16" s="8"/>
      <c r="M16" s="8">
        <f>EXP(-($B$3)*((6/4)/12))*(q4_*N16+(1-q4_)*N17)</f>
        <v>0</v>
      </c>
      <c r="N16" s="8">
        <f t="shared" si="0"/>
        <v>0</v>
      </c>
      <c r="O16" s="4"/>
      <c r="P16" s="59"/>
      <c r="Q16" s="4"/>
      <c r="R16" s="4"/>
      <c r="S16" s="4"/>
    </row>
    <row r="17" spans="1:28" x14ac:dyDescent="0.25">
      <c r="A17" s="4"/>
      <c r="B17" s="4"/>
      <c r="C17" s="4"/>
      <c r="D17" s="8"/>
      <c r="E17" s="8"/>
      <c r="F17" s="8"/>
      <c r="G17" s="8"/>
      <c r="H17" s="8">
        <f>$D$13*B12^4</f>
        <v>78.131110085512631</v>
      </c>
      <c r="I17" s="9"/>
      <c r="J17" s="8"/>
      <c r="K17" s="8"/>
      <c r="L17" s="8"/>
      <c r="M17" s="8"/>
      <c r="N17" s="8">
        <f t="shared" si="0"/>
        <v>0</v>
      </c>
      <c r="O17" s="4"/>
      <c r="P17" s="59"/>
      <c r="Q17" s="4"/>
      <c r="R17" s="4"/>
      <c r="S17" s="4"/>
    </row>
    <row r="18" spans="1:2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28" x14ac:dyDescent="0.25">
      <c r="A19" s="5" t="s">
        <v>31</v>
      </c>
      <c r="B19" s="4"/>
      <c r="C19" s="12">
        <f>(N14-N15)/(H14-H15)</f>
        <v>1</v>
      </c>
      <c r="D19" s="58" t="s">
        <v>32</v>
      </c>
      <c r="E19" s="58"/>
      <c r="F19" s="58"/>
      <c r="G19" s="5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28" x14ac:dyDescent="0.2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28" x14ac:dyDescent="0.25">
      <c r="A21" s="53" t="s">
        <v>33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19"/>
      <c r="P21" s="19"/>
      <c r="Q21" s="19"/>
      <c r="R21" s="19"/>
      <c r="S21" s="19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28" x14ac:dyDescent="0.25">
      <c r="A23" s="5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28" x14ac:dyDescent="0.25">
      <c r="A24" s="4" t="s">
        <v>34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8" x14ac:dyDescent="0.25">
      <c r="A25" s="6" t="s">
        <v>1</v>
      </c>
      <c r="B25" s="6">
        <f>0.06</f>
        <v>0.06</v>
      </c>
      <c r="C25" s="4"/>
      <c r="D25" s="57" t="s">
        <v>19</v>
      </c>
      <c r="E25" s="57"/>
      <c r="F25" s="57"/>
      <c r="G25" s="57"/>
      <c r="H25" s="4"/>
      <c r="I25" s="4"/>
      <c r="J25" s="54" t="s">
        <v>20</v>
      </c>
      <c r="K25" s="55"/>
      <c r="L25" s="55"/>
      <c r="M25" s="56"/>
      <c r="N25" s="4"/>
      <c r="O25" s="4"/>
      <c r="P25" s="59" t="s">
        <v>21</v>
      </c>
      <c r="Q25" s="4"/>
      <c r="R25" s="4"/>
      <c r="S25" s="4"/>
    </row>
    <row r="26" spans="1:28" ht="18" x14ac:dyDescent="0.25">
      <c r="A26" s="7" t="s">
        <v>22</v>
      </c>
      <c r="B26" s="6">
        <f>0.1</f>
        <v>0.1</v>
      </c>
      <c r="C26" s="4"/>
      <c r="D26" s="6" t="s">
        <v>23</v>
      </c>
      <c r="E26" s="6" t="s">
        <v>24</v>
      </c>
      <c r="F26" s="6" t="s">
        <v>25</v>
      </c>
      <c r="G26" s="6" t="s">
        <v>26</v>
      </c>
      <c r="H26" s="4"/>
      <c r="I26" s="4"/>
      <c r="J26" s="6" t="s">
        <v>13</v>
      </c>
      <c r="K26" s="6" t="s">
        <v>14</v>
      </c>
      <c r="L26" s="6" t="s">
        <v>15</v>
      </c>
      <c r="M26" s="6" t="s">
        <v>148</v>
      </c>
      <c r="N26" s="4"/>
      <c r="O26" s="4"/>
      <c r="P26" s="59"/>
      <c r="Q26" s="4"/>
      <c r="R26" s="4"/>
      <c r="S26" s="4"/>
    </row>
    <row r="27" spans="1:28" x14ac:dyDescent="0.25">
      <c r="A27" s="6" t="s">
        <v>27</v>
      </c>
      <c r="B27" s="6">
        <v>92</v>
      </c>
      <c r="C27" s="4"/>
      <c r="D27" s="2">
        <v>90</v>
      </c>
      <c r="E27" s="2">
        <f>D27*$B$8</f>
        <v>93.750265737201417</v>
      </c>
      <c r="F27" s="2">
        <f>D27*$B$8^2</f>
        <v>97.656803619954232</v>
      </c>
      <c r="G27" s="2">
        <f>D27*$B$8^3</f>
        <v>101.72612544907113</v>
      </c>
      <c r="H27" s="9"/>
      <c r="I27" s="9"/>
      <c r="J27" s="10">
        <f>MAX(EXP(-($B$3)*(1/6))*(q3_*K27+(1-q3_)*K28),IF(D27&lt;$B$27,$B$27-D27,0))</f>
        <v>2.645780780953678</v>
      </c>
      <c r="K27" s="8">
        <f>MAX(EXP(-($B$3)*(1/6))*(q3_*L27+(1-q3_)*L28),IF(E27&lt;$B$27,$B$27-E27,0))</f>
        <v>0.8227725827051029</v>
      </c>
      <c r="L27" s="8">
        <f>MAX(EXP(-($B$3)*(1/6))*(q3_*M27+(1-q3_)*M28),IF(F27&lt;$B$27,$B$27-F27,0))</f>
        <v>0</v>
      </c>
      <c r="M27" s="8">
        <f>IF(G27&lt;$B$27,$B$27-G27,0)</f>
        <v>0</v>
      </c>
      <c r="N27" s="4"/>
      <c r="O27" s="4"/>
      <c r="P27" s="59"/>
      <c r="Q27" s="4"/>
      <c r="R27" s="4"/>
      <c r="S27" s="4"/>
    </row>
    <row r="28" spans="1:28" x14ac:dyDescent="0.25">
      <c r="A28" s="4"/>
      <c r="B28" s="9"/>
      <c r="C28" s="4"/>
      <c r="D28" s="2"/>
      <c r="E28" s="2">
        <f>$D$5*$B$9</f>
        <v>86.399755097289372</v>
      </c>
      <c r="F28" s="2">
        <f>D27*B8*B9</f>
        <v>90.000000000000014</v>
      </c>
      <c r="G28" s="2">
        <f>D27*B8^2*B9</f>
        <v>93.750265737201417</v>
      </c>
      <c r="H28" s="9"/>
      <c r="I28" s="9"/>
      <c r="J28" s="8"/>
      <c r="K28" s="8">
        <f>MAX(EXP(-($B$3)*(1/6))*(q3_*L28+(1-q3_)*L29),IF(E28&lt;$B$27,$B$27-E28,0))</f>
        <v>5.600244902710628</v>
      </c>
      <c r="L28" s="8">
        <f>MAX(EXP(-($B$3)*(1/6))*(q3_*M28+(1-q3_)*M29),IF(F28&lt;$B$27,$B$27-F28,0))</f>
        <v>2.1465618934436321</v>
      </c>
      <c r="M28" s="8">
        <f>IF(G28&lt;$B$27, $B$27-G28, 0)</f>
        <v>0</v>
      </c>
      <c r="N28" s="4"/>
      <c r="O28" s="4"/>
      <c r="P28" s="59"/>
      <c r="Q28" s="4"/>
      <c r="R28" s="4"/>
      <c r="S28" s="4"/>
    </row>
    <row r="29" spans="1:28" x14ac:dyDescent="0.25">
      <c r="A29" s="4"/>
      <c r="B29" s="9"/>
      <c r="C29" s="4"/>
      <c r="D29" s="2"/>
      <c r="E29" s="2"/>
      <c r="F29" s="2">
        <f>$D$5*$B$9^2</f>
        <v>82.943529787461998</v>
      </c>
      <c r="G29" s="2">
        <f>D27*B9^2*B8</f>
        <v>86.399755097289372</v>
      </c>
      <c r="H29" s="9"/>
      <c r="I29" s="9"/>
      <c r="J29" s="8"/>
      <c r="K29" s="8"/>
      <c r="L29" s="8">
        <f>MAX(EXP(-($B$3)*(1/6))*(q3_*M29+(1-q3_)*M30),IF(F29&lt;$B$27,$B$27-F29,0))</f>
        <v>9.0564702125380023</v>
      </c>
      <c r="M29" s="8">
        <f>IF(G29&lt;$B$27, $B$27-G29, 0)</f>
        <v>5.600244902710628</v>
      </c>
      <c r="N29" s="4"/>
      <c r="O29" s="4"/>
      <c r="P29" s="59"/>
      <c r="Q29" s="4"/>
      <c r="R29" s="4"/>
      <c r="S29" s="4"/>
    </row>
    <row r="30" spans="1:28" x14ac:dyDescent="0.25">
      <c r="A30" s="4"/>
      <c r="B30" s="9"/>
      <c r="C30" s="4"/>
      <c r="D30" s="2"/>
      <c r="E30" s="2"/>
      <c r="F30" s="2"/>
      <c r="G30" s="2">
        <f>$D$5*$B$9^3</f>
        <v>79.625562894904917</v>
      </c>
      <c r="H30" s="9"/>
      <c r="I30" s="9"/>
      <c r="J30" s="8"/>
      <c r="K30" s="8"/>
      <c r="L30" s="8"/>
      <c r="M30" s="8">
        <f t="shared" ref="M30" si="1">IF(G30&lt;$B$27, $B$27-G30, 0)</f>
        <v>12.374437105095083</v>
      </c>
      <c r="N30" s="4"/>
      <c r="O30" s="4"/>
      <c r="P30" s="59"/>
      <c r="Q30" s="4"/>
      <c r="R30" s="4"/>
      <c r="S30" s="4"/>
    </row>
    <row r="31" spans="1:28" x14ac:dyDescent="0.25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3"/>
      <c r="Q31" s="4"/>
      <c r="R31" s="4"/>
      <c r="S31" s="4"/>
    </row>
    <row r="32" spans="1:28" x14ac:dyDescent="0.25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28" x14ac:dyDescent="0.25">
      <c r="A33" s="4"/>
      <c r="B33" s="9"/>
      <c r="C33" s="4"/>
      <c r="D33" s="54" t="s">
        <v>19</v>
      </c>
      <c r="E33" s="55"/>
      <c r="F33" s="55"/>
      <c r="G33" s="55"/>
      <c r="H33" s="56"/>
      <c r="I33" s="4"/>
      <c r="J33" s="54" t="s">
        <v>20</v>
      </c>
      <c r="K33" s="55"/>
      <c r="L33" s="55"/>
      <c r="M33" s="55"/>
      <c r="N33" s="56"/>
      <c r="O33" s="4"/>
      <c r="P33" s="59" t="s">
        <v>29</v>
      </c>
      <c r="Q33" s="4"/>
      <c r="R33" s="4"/>
      <c r="S33" s="4"/>
    </row>
    <row r="34" spans="1:28" ht="18" x14ac:dyDescent="0.25">
      <c r="A34" s="4"/>
      <c r="B34" s="4"/>
      <c r="C34" s="4"/>
      <c r="D34" s="6" t="s">
        <v>23</v>
      </c>
      <c r="E34" s="6" t="s">
        <v>24</v>
      </c>
      <c r="F34" s="6" t="s">
        <v>25</v>
      </c>
      <c r="G34" s="6" t="s">
        <v>26</v>
      </c>
      <c r="H34" s="6" t="s">
        <v>30</v>
      </c>
      <c r="I34" s="4"/>
      <c r="J34" s="6" t="s">
        <v>23</v>
      </c>
      <c r="K34" s="6" t="s">
        <v>24</v>
      </c>
      <c r="L34" s="6" t="s">
        <v>25</v>
      </c>
      <c r="M34" s="6" t="s">
        <v>26</v>
      </c>
      <c r="N34" s="6" t="s">
        <v>30</v>
      </c>
      <c r="O34" s="4"/>
      <c r="P34" s="59"/>
      <c r="Q34" s="4"/>
      <c r="R34" s="4"/>
      <c r="S34" s="4"/>
    </row>
    <row r="35" spans="1:28" x14ac:dyDescent="0.25">
      <c r="A35" s="4"/>
      <c r="B35" s="4"/>
      <c r="C35" s="4"/>
      <c r="D35" s="8">
        <f>90</f>
        <v>90</v>
      </c>
      <c r="E35" s="8">
        <f>D35*$B$8</f>
        <v>93.750265737201417</v>
      </c>
      <c r="F35" s="8">
        <f>E35*$B$8</f>
        <v>97.656803619954232</v>
      </c>
      <c r="G35" s="8">
        <f>F35*$B$8</f>
        <v>101.72612544907113</v>
      </c>
      <c r="H35" s="8">
        <f t="shared" ref="H35" si="2">G35*$B$8</f>
        <v>105.96501436962562</v>
      </c>
      <c r="I35" s="9"/>
      <c r="J35" s="10">
        <f>MAX(EXP(-($B$3)*(1/6))*(q3_*K35+(1-q3_)*K36),IF(D35&lt;$B$27,$B$27-D35,0))</f>
        <v>2.862129922813871</v>
      </c>
      <c r="K35" s="8">
        <f>MAX(EXP(-($B$3)*(1/6))*(q3_*L35+(1-q3_)*L36),IF(E35&lt;$B$27,$B$27-E35,0))</f>
        <v>1.1793419086418371</v>
      </c>
      <c r="L35" s="8">
        <f>MAX(EXP(-($B$3)*(1/6))*(q3_*M35+(1-q3_)*M36),IF(F35&lt;$B$27,$B$27-F35,0))</f>
        <v>0.29383450081151236</v>
      </c>
      <c r="M35" s="8">
        <f>MAX(EXP(-($B$3)*(1/6))*(q3_*N35+(1-q3_)*N36),IF(G35&lt;$B$27,$B$27-G35,0))</f>
        <v>0</v>
      </c>
      <c r="N35" s="8">
        <f>IF(H35&lt;$B$27,$B$27-H35,0)</f>
        <v>0</v>
      </c>
      <c r="O35" s="4"/>
      <c r="P35" s="59"/>
      <c r="Q35" s="4"/>
      <c r="R35" s="4"/>
      <c r="S35" s="4"/>
    </row>
    <row r="36" spans="1:28" x14ac:dyDescent="0.25">
      <c r="A36" s="4"/>
      <c r="B36" s="4"/>
      <c r="C36" s="4"/>
      <c r="D36" s="8"/>
      <c r="E36" s="8">
        <f>D35*$B$9</f>
        <v>86.399755097289372</v>
      </c>
      <c r="F36" s="8">
        <f>E35*$B$9</f>
        <v>90.000000000000014</v>
      </c>
      <c r="G36" s="8">
        <f>F35*$B$9</f>
        <v>93.750265737201417</v>
      </c>
      <c r="H36" s="8">
        <f>G35*$B$9</f>
        <v>97.656803619954232</v>
      </c>
      <c r="I36" s="9"/>
      <c r="J36" s="8"/>
      <c r="K36" s="8">
        <f>MAX(EXP(-($B$3)*(1/6))*(q3_*L36+(1-q3_)*L37),IF(E36&lt;$B$27,$B$27-E36,0))</f>
        <v>5.600244902710628</v>
      </c>
      <c r="L36" s="8">
        <f>MAX(EXP(-($B$3)*(1/6))*(q3_*M36+(1-q3_)*M37),IF(F36&lt;$B$27,$B$27-F36,0))</f>
        <v>2.6116953601606459</v>
      </c>
      <c r="M36" s="8">
        <f>MAX(EXP(-($B$3)*(1/6))*(q3_*N36+(1-q3_)*N37),IF(G36&lt;$B$27,$B$27-G36,0))</f>
        <v>0.76659572241372476</v>
      </c>
      <c r="N36" s="8">
        <f>IF(H36&lt;$B$27, $B$27-H36, 0)</f>
        <v>0</v>
      </c>
      <c r="O36" s="4"/>
      <c r="P36" s="59"/>
      <c r="Q36" s="4"/>
      <c r="R36" s="4"/>
      <c r="S36" s="4"/>
    </row>
    <row r="37" spans="1:28" x14ac:dyDescent="0.25">
      <c r="A37" s="4"/>
      <c r="B37" s="4"/>
      <c r="C37" s="4"/>
      <c r="D37" s="8"/>
      <c r="E37" s="8"/>
      <c r="F37" s="8">
        <f>E36*$B$9</f>
        <v>82.943529787461998</v>
      </c>
      <c r="G37" s="8">
        <f>F36*$B$9</f>
        <v>86.399755097289386</v>
      </c>
      <c r="H37" s="8">
        <f>G36*$B$9</f>
        <v>90.000000000000014</v>
      </c>
      <c r="I37" s="9"/>
      <c r="J37" s="8"/>
      <c r="K37" s="8"/>
      <c r="L37" s="8">
        <f>MAX(EXP(-($B$3)*(1/6))*(q3_*M37+(1-q3_)*M38),IF(F37&lt;$B$27,$B$27-F37,0))</f>
        <v>9.0564702125380023</v>
      </c>
      <c r="M37" s="8">
        <f>MAX(EXP(-($B$3)*(1/6))*(q3_*N37+(1-q3_)*N38),IF(G37&lt;$B$27,$B$27-G37,0))</f>
        <v>5.6002449027106138</v>
      </c>
      <c r="N37" s="8">
        <f>IF(H37&lt;$B$27, $B$27-H37, 0)</f>
        <v>1.9999999999999858</v>
      </c>
      <c r="O37" s="4"/>
      <c r="P37" s="59"/>
      <c r="Q37" s="4"/>
      <c r="R37" s="4"/>
      <c r="S37" s="4"/>
    </row>
    <row r="38" spans="1:28" x14ac:dyDescent="0.25">
      <c r="A38" s="4"/>
      <c r="B38" s="4"/>
      <c r="C38" s="4"/>
      <c r="D38" s="8"/>
      <c r="E38" s="8"/>
      <c r="F38" s="8"/>
      <c r="G38" s="8">
        <f>F37*$B$9</f>
        <v>79.625562894904917</v>
      </c>
      <c r="H38" s="8">
        <f>G37*$B$9</f>
        <v>82.943529787462012</v>
      </c>
      <c r="I38" s="9"/>
      <c r="J38" s="8"/>
      <c r="K38" s="8"/>
      <c r="L38" s="8"/>
      <c r="M38" s="8">
        <f>MAX(EXP(-($B$3)*(1/6))*(q3_*N38+(1-q3_)*N39),IF(G38&lt;$B$27,$B$27-G38,0))</f>
        <v>12.374437105095083</v>
      </c>
      <c r="N38" s="8">
        <f>IF(H38&lt;$B$27, $B$27-H38, 0)</f>
        <v>9.0564702125379881</v>
      </c>
      <c r="O38" s="4"/>
      <c r="P38" s="59"/>
      <c r="Q38" s="4"/>
      <c r="R38" s="4"/>
      <c r="S38" s="4"/>
    </row>
    <row r="39" spans="1:28" x14ac:dyDescent="0.25">
      <c r="A39" s="4"/>
      <c r="B39" s="4"/>
      <c r="C39" s="4"/>
      <c r="D39" s="8"/>
      <c r="E39" s="8"/>
      <c r="F39" s="8"/>
      <c r="G39" s="8"/>
      <c r="H39" s="8">
        <f>G38*$B$9</f>
        <v>76.440323706706621</v>
      </c>
      <c r="I39" s="9"/>
      <c r="J39" s="8"/>
      <c r="K39" s="8"/>
      <c r="L39" s="8"/>
      <c r="M39" s="8"/>
      <c r="N39" s="8">
        <f t="shared" ref="N39" si="3">IF(H39&lt;$B$27, $B$27-H39, 0)</f>
        <v>15.559676293293379</v>
      </c>
      <c r="O39" s="4"/>
      <c r="P39" s="59"/>
      <c r="Q39" s="4"/>
      <c r="R39" s="4"/>
      <c r="S39" s="4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28" x14ac:dyDescent="0.25">
      <c r="A41" s="5" t="s">
        <v>31</v>
      </c>
      <c r="B41" s="4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2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28" x14ac:dyDescent="0.25">
      <c r="A43" s="53" t="s">
        <v>41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19"/>
      <c r="P43" s="19"/>
      <c r="Q43" s="19"/>
      <c r="R43" s="19"/>
      <c r="S43" s="19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x14ac:dyDescent="0.25">
      <c r="A44" s="1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2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28" x14ac:dyDescent="0.25">
      <c r="A46" s="6" t="s">
        <v>1</v>
      </c>
      <c r="B46" s="8">
        <f>0.06</f>
        <v>0.06</v>
      </c>
      <c r="C46" s="4"/>
      <c r="D46" s="54" t="s">
        <v>19</v>
      </c>
      <c r="E46" s="55"/>
      <c r="F46" s="56"/>
      <c r="G46" s="4"/>
      <c r="H46" s="4"/>
      <c r="I46" s="4"/>
      <c r="J46" s="54" t="s">
        <v>20</v>
      </c>
      <c r="K46" s="55"/>
      <c r="L46" s="56"/>
      <c r="M46" s="4"/>
      <c r="N46" s="4"/>
      <c r="O46" s="4"/>
      <c r="P46" s="4"/>
      <c r="Q46" s="4"/>
      <c r="R46" s="4"/>
      <c r="S46" s="4"/>
    </row>
    <row r="47" spans="1:28" ht="18" x14ac:dyDescent="0.25">
      <c r="A47" s="7" t="s">
        <v>22</v>
      </c>
      <c r="B47" s="8">
        <f>0.1</f>
        <v>0.1</v>
      </c>
      <c r="C47" s="4"/>
      <c r="D47" s="6" t="s">
        <v>23</v>
      </c>
      <c r="E47" s="6" t="s">
        <v>24</v>
      </c>
      <c r="F47" s="6" t="s">
        <v>25</v>
      </c>
      <c r="G47" s="4"/>
      <c r="H47" s="4"/>
      <c r="I47" s="4"/>
      <c r="J47" s="6" t="s">
        <v>23</v>
      </c>
      <c r="K47" s="6" t="s">
        <v>24</v>
      </c>
      <c r="L47" s="6" t="s">
        <v>25</v>
      </c>
      <c r="M47" s="4"/>
      <c r="N47" s="4"/>
      <c r="O47" s="4"/>
      <c r="P47" s="4"/>
      <c r="Q47" s="4"/>
      <c r="R47" s="4"/>
      <c r="S47" s="4"/>
    </row>
    <row r="48" spans="1:28" x14ac:dyDescent="0.25">
      <c r="A48" s="6" t="s">
        <v>27</v>
      </c>
      <c r="B48" s="8">
        <v>92</v>
      </c>
      <c r="C48" s="4"/>
      <c r="D48" s="8">
        <f>90</f>
        <v>90</v>
      </c>
      <c r="E48" s="8">
        <f>D48*$B$50</f>
        <v>94.614398673842175</v>
      </c>
      <c r="F48" s="8">
        <f>E48*$B$50</f>
        <v>99.465382626808307</v>
      </c>
      <c r="G48" s="9"/>
      <c r="H48" s="9"/>
      <c r="I48" s="9"/>
      <c r="J48" s="8">
        <f>EXP(-Rate*B49)*(B52*K48+(1-B52)*K49)</f>
        <v>3.8965407944336024</v>
      </c>
      <c r="K48" s="8">
        <f>EXP(-Rate*B49)*(B52*L48+(1-B52)*L49)</f>
        <v>1.6429511942767363</v>
      </c>
      <c r="L48" s="8">
        <f>0</f>
        <v>0</v>
      </c>
      <c r="M48" s="4"/>
      <c r="N48" s="4"/>
      <c r="O48" s="4"/>
      <c r="P48" s="4"/>
      <c r="Q48" s="4"/>
      <c r="R48" s="4"/>
      <c r="S48" s="4"/>
    </row>
    <row r="49" spans="1:28" x14ac:dyDescent="0.25">
      <c r="A49" s="6" t="s">
        <v>43</v>
      </c>
      <c r="B49" s="8">
        <f>1/4</f>
        <v>0.25</v>
      </c>
      <c r="C49" s="4"/>
      <c r="D49" s="8"/>
      <c r="E49" s="8">
        <f>D48*$B$51</f>
        <v>85.610648205064265</v>
      </c>
      <c r="F49" s="8">
        <f>E48*$B$51</f>
        <v>90.000000000000014</v>
      </c>
      <c r="G49" s="9"/>
      <c r="H49" s="9"/>
      <c r="I49" s="9"/>
      <c r="J49" s="8"/>
      <c r="K49" s="8">
        <f>EXP(-Rate*B50)*(B53*M49+(1-B53)*L50)</f>
        <v>8.0410923911190331</v>
      </c>
      <c r="L49" s="8">
        <f>4.6144</f>
        <v>4.6143999999999998</v>
      </c>
      <c r="M49" s="4"/>
      <c r="N49" s="4"/>
      <c r="O49" s="4"/>
      <c r="P49" s="4"/>
      <c r="Q49" s="4"/>
      <c r="R49" s="4"/>
      <c r="S49" s="4"/>
    </row>
    <row r="50" spans="1:28" x14ac:dyDescent="0.25">
      <c r="A50" s="6" t="s">
        <v>3</v>
      </c>
      <c r="B50" s="8">
        <f>EXP(std*SQRT($B$49))</f>
        <v>1.0512710963760241</v>
      </c>
      <c r="C50" s="4"/>
      <c r="D50" s="8"/>
      <c r="E50" s="8"/>
      <c r="F50" s="8">
        <f>E49*$B$51</f>
        <v>81.43536762323636</v>
      </c>
      <c r="G50" s="9"/>
      <c r="H50" s="9"/>
      <c r="I50" s="9"/>
      <c r="J50" s="8"/>
      <c r="K50" s="8"/>
      <c r="L50" s="8">
        <f>D48-F50</f>
        <v>8.5646323767636403</v>
      </c>
      <c r="M50" s="4"/>
      <c r="N50" s="4"/>
      <c r="O50" s="4"/>
      <c r="P50" s="4"/>
      <c r="Q50" s="4"/>
      <c r="R50" s="4"/>
      <c r="S50" s="4"/>
    </row>
    <row r="51" spans="1:28" x14ac:dyDescent="0.25">
      <c r="A51" s="6" t="s">
        <v>4</v>
      </c>
      <c r="B51" s="8">
        <f>EXP(-std*SQRT($B$49))</f>
        <v>0.95122942450071402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28" x14ac:dyDescent="0.25">
      <c r="A52" s="6" t="s">
        <v>5</v>
      </c>
      <c r="B52" s="8">
        <f>(EXP(Rate*(1/4))-B51)/(B50-B51)</f>
        <v>0.63857029693214429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2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28" x14ac:dyDescent="0.25">
      <c r="A54" s="53" t="s">
        <v>44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19"/>
      <c r="P54" s="19"/>
      <c r="Q54" s="19"/>
      <c r="R54" s="19"/>
      <c r="S54" s="19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x14ac:dyDescent="0.25">
      <c r="A55" s="14" t="s">
        <v>45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2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28" x14ac:dyDescent="0.25">
      <c r="A57" s="6" t="s">
        <v>1</v>
      </c>
      <c r="B57" s="8">
        <f>0.06</f>
        <v>0.06</v>
      </c>
      <c r="C57" s="4"/>
      <c r="D57" s="54" t="s">
        <v>19</v>
      </c>
      <c r="E57" s="55"/>
      <c r="F57" s="55"/>
      <c r="G57" s="56"/>
      <c r="H57" s="4"/>
      <c r="I57" s="4"/>
      <c r="J57" s="57" t="s">
        <v>20</v>
      </c>
      <c r="K57" s="57"/>
      <c r="L57" s="57"/>
      <c r="M57" s="57"/>
      <c r="N57" s="4"/>
      <c r="O57" s="4"/>
      <c r="P57" s="4"/>
      <c r="Q57" s="4"/>
      <c r="R57" s="4"/>
      <c r="S57" s="4"/>
    </row>
    <row r="58" spans="1:28" ht="18" x14ac:dyDescent="0.25">
      <c r="A58" s="7" t="s">
        <v>22</v>
      </c>
      <c r="B58" s="8">
        <f>0.1</f>
        <v>0.1</v>
      </c>
      <c r="C58" s="4"/>
      <c r="D58" s="6" t="s">
        <v>23</v>
      </c>
      <c r="E58" s="6" t="s">
        <v>24</v>
      </c>
      <c r="F58" s="6" t="s">
        <v>25</v>
      </c>
      <c r="G58" s="6" t="s">
        <v>26</v>
      </c>
      <c r="H58" s="4"/>
      <c r="I58" s="4"/>
      <c r="J58" s="6" t="s">
        <v>23</v>
      </c>
      <c r="K58" s="6" t="s">
        <v>24</v>
      </c>
      <c r="L58" s="6" t="s">
        <v>25</v>
      </c>
      <c r="M58" s="6" t="s">
        <v>26</v>
      </c>
      <c r="N58" s="4"/>
      <c r="O58" s="4"/>
      <c r="P58" s="4"/>
      <c r="Q58" s="4"/>
      <c r="R58" s="4"/>
      <c r="S58" s="4"/>
    </row>
    <row r="59" spans="1:28" x14ac:dyDescent="0.25">
      <c r="A59" s="6" t="s">
        <v>27</v>
      </c>
      <c r="B59" s="8">
        <v>85</v>
      </c>
      <c r="C59" s="4"/>
      <c r="D59" s="8">
        <f>90</f>
        <v>90</v>
      </c>
      <c r="E59" s="8">
        <f>D59*$B$6</f>
        <v>15</v>
      </c>
      <c r="F59" s="8">
        <f>E59*$B$6</f>
        <v>2.5</v>
      </c>
      <c r="G59" s="8">
        <f>F59*$B$6</f>
        <v>0.41666666666666663</v>
      </c>
      <c r="H59" s="9"/>
      <c r="I59" s="9"/>
      <c r="J59" s="10">
        <f>IF(D59&gt;$B$63,0,EXP(-($B$3)*(1/6))*(q3_*K59+(1-q3_)*K60))</f>
        <v>0</v>
      </c>
      <c r="K59" s="8">
        <f>IF(E59&gt;$B$63,0,EXP(-($B$3)*(1/6))*(q3_*L59+(1-q3_)*L60))</f>
        <v>0</v>
      </c>
      <c r="L59" s="8">
        <f>IF(F59&gt;$B$63,0,EXP(-($B$3)*(1/6))*(q3_*M59+(1-q3_)*M60))</f>
        <v>0</v>
      </c>
      <c r="M59" s="8">
        <f>IF(G59&gt;=$B$63,0,IF(G59&gt;$B$5, G59-$B$5, 0))</f>
        <v>0</v>
      </c>
      <c r="N59" s="4"/>
      <c r="O59" s="15" t="s">
        <v>46</v>
      </c>
      <c r="P59" s="4">
        <f>(L59-L60)/(F59-F60)</f>
        <v>0</v>
      </c>
      <c r="Q59" s="4">
        <f>90*P59</f>
        <v>0</v>
      </c>
      <c r="R59" s="4"/>
      <c r="S59" s="4"/>
    </row>
    <row r="60" spans="1:28" x14ac:dyDescent="0.25">
      <c r="A60" s="6" t="s">
        <v>35</v>
      </c>
      <c r="B60" s="8">
        <f>EXP($B$4*SQRT(1/6))</f>
        <v>1.0416696193022379</v>
      </c>
      <c r="C60" s="4"/>
      <c r="D60" s="8"/>
      <c r="E60" s="8">
        <f>D59*$B$7</f>
        <v>11.25</v>
      </c>
      <c r="F60" s="8">
        <f>E59*$B$7</f>
        <v>1.875</v>
      </c>
      <c r="G60" s="8">
        <f>F59*$B$7</f>
        <v>0.3125</v>
      </c>
      <c r="H60" s="9"/>
      <c r="I60" s="9"/>
      <c r="J60" s="8"/>
      <c r="K60" s="8">
        <f>IF(E60&gt;$B$63,0,EXP(-($B$3)*(1/6))*(q3_*L60+(1-q3_)*L61))</f>
        <v>0</v>
      </c>
      <c r="L60" s="8">
        <f>IF(F60&gt;$B$63,0,EXP(-($B$3)*(1/6))*(q3_*M60+(1-q3_)*M61))</f>
        <v>0</v>
      </c>
      <c r="M60" s="8">
        <f t="shared" ref="M60:M62" si="4">IF(G60&gt;=$B$63,0,IF(G60&gt;$B$5, G60-$B$5, 0))</f>
        <v>0</v>
      </c>
      <c r="N60" s="4"/>
      <c r="O60" s="4"/>
      <c r="P60" s="4"/>
      <c r="Q60" s="4" t="s">
        <v>47</v>
      </c>
      <c r="R60" s="4"/>
      <c r="S60" s="4"/>
    </row>
    <row r="61" spans="1:28" x14ac:dyDescent="0.25">
      <c r="A61" s="6" t="s">
        <v>36</v>
      </c>
      <c r="B61" s="8">
        <f>EXP(-$B$4*SQRT(1/6))</f>
        <v>0.95999727885877062</v>
      </c>
      <c r="C61" s="4"/>
      <c r="D61" s="8"/>
      <c r="E61" s="8"/>
      <c r="F61" s="8">
        <f>E60*$B$7</f>
        <v>1.40625</v>
      </c>
      <c r="G61" s="8">
        <f>F60*$B$7</f>
        <v>0.234375</v>
      </c>
      <c r="H61" s="9"/>
      <c r="I61" s="9"/>
      <c r="J61" s="8"/>
      <c r="K61" s="8"/>
      <c r="L61" s="8">
        <f>IF(F61&gt;$B$63,0,EXP(-($B$3)*(1/6))*(q3_*M61+(1-q3_)*M62))</f>
        <v>0</v>
      </c>
      <c r="M61" s="8">
        <f t="shared" si="4"/>
        <v>0</v>
      </c>
      <c r="N61" s="4"/>
      <c r="O61" s="4"/>
      <c r="P61" s="4"/>
      <c r="Q61" s="4"/>
      <c r="R61" s="4"/>
      <c r="S61" s="4"/>
    </row>
    <row r="62" spans="1:28" x14ac:dyDescent="0.25">
      <c r="A62" s="6" t="s">
        <v>39</v>
      </c>
      <c r="B62" s="8">
        <f>(EXP(Rate*(1/6))-B61)/(B60-B61)</f>
        <v>0.6128499312450022</v>
      </c>
      <c r="C62" s="4"/>
      <c r="D62" s="8"/>
      <c r="E62" s="8"/>
      <c r="F62" s="8"/>
      <c r="G62" s="8">
        <f>F61*$B$7</f>
        <v>0.17578125</v>
      </c>
      <c r="H62" s="9"/>
      <c r="I62" s="9"/>
      <c r="J62" s="8"/>
      <c r="K62" s="8"/>
      <c r="L62" s="8"/>
      <c r="M62" s="8">
        <f t="shared" si="4"/>
        <v>0</v>
      </c>
      <c r="N62" s="4"/>
      <c r="O62" s="4"/>
      <c r="P62" s="4"/>
      <c r="Q62" s="4"/>
      <c r="R62" s="4"/>
      <c r="S62" s="4"/>
    </row>
    <row r="63" spans="1:28" x14ac:dyDescent="0.25">
      <c r="A63" s="16" t="s">
        <v>48</v>
      </c>
      <c r="B63" s="8">
        <v>96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2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</sheetData>
  <mergeCells count="22">
    <mergeCell ref="D11:H11"/>
    <mergeCell ref="J11:N11"/>
    <mergeCell ref="P11:P17"/>
    <mergeCell ref="A1:N1"/>
    <mergeCell ref="D3:G3"/>
    <mergeCell ref="J3:M3"/>
    <mergeCell ref="O3:O9"/>
    <mergeCell ref="P3:P9"/>
    <mergeCell ref="D19:G19"/>
    <mergeCell ref="A21:N21"/>
    <mergeCell ref="J25:M25"/>
    <mergeCell ref="P25:P30"/>
    <mergeCell ref="D33:H33"/>
    <mergeCell ref="J33:N33"/>
    <mergeCell ref="P33:P39"/>
    <mergeCell ref="D25:G25"/>
    <mergeCell ref="A43:N43"/>
    <mergeCell ref="D46:F46"/>
    <mergeCell ref="J46:L46"/>
    <mergeCell ref="A54:N54"/>
    <mergeCell ref="D57:G57"/>
    <mergeCell ref="J57:M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B401-652F-42FE-8C33-709780914087}">
  <dimension ref="A1:J102"/>
  <sheetViews>
    <sheetView showGridLines="0" zoomScale="110" zoomScaleNormal="110" zoomScaleSheetLayoutView="100" workbookViewId="0">
      <selection activeCell="N48" sqref="N48"/>
    </sheetView>
  </sheetViews>
  <sheetFormatPr defaultRowHeight="15" x14ac:dyDescent="0.25"/>
  <cols>
    <col min="4" max="4" width="10.28515625" customWidth="1"/>
    <col min="5" max="6" width="12.140625" customWidth="1"/>
    <col min="7" max="7" width="13.5703125" customWidth="1"/>
    <col min="8" max="8" width="12" customWidth="1"/>
  </cols>
  <sheetData>
    <row r="1" spans="1:10" x14ac:dyDescent="0.25">
      <c r="A1" s="22" t="s">
        <v>52</v>
      </c>
    </row>
    <row r="2" spans="1:10" ht="18" x14ac:dyDescent="0.35">
      <c r="A2" s="61" t="s">
        <v>53</v>
      </c>
      <c r="B2" s="61"/>
      <c r="D2" s="23" t="s">
        <v>54</v>
      </c>
      <c r="E2" t="s">
        <v>55</v>
      </c>
      <c r="F2" t="s">
        <v>56</v>
      </c>
      <c r="G2" t="s">
        <v>57</v>
      </c>
    </row>
    <row r="3" spans="1:10" x14ac:dyDescent="0.25">
      <c r="A3" s="18" t="s">
        <v>43</v>
      </c>
      <c r="B3" s="18">
        <v>0</v>
      </c>
      <c r="D3">
        <v>1</v>
      </c>
      <c r="E3">
        <f ca="1">_xlfn.NORM.INV(RAND(),0,$B$6)</f>
        <v>8.6701541431589646E-2</v>
      </c>
      <c r="F3">
        <f ca="1">$B$5*EXP(($B$9-0.5*$B$6^2)*($B$8)+$B$6*E3)</f>
        <v>102.38707605854212</v>
      </c>
      <c r="G3">
        <f ca="1">MAX(F3-$B$7,0)</f>
        <v>12.387076058542121</v>
      </c>
      <c r="H3" s="62" t="s">
        <v>58</v>
      </c>
      <c r="I3" s="62"/>
      <c r="J3" s="18">
        <f>EXP(-B9*B8)</f>
        <v>0.98881304461123309</v>
      </c>
    </row>
    <row r="4" spans="1:10" x14ac:dyDescent="0.25">
      <c r="A4" s="18" t="s">
        <v>2</v>
      </c>
      <c r="B4" s="18">
        <v>0.25</v>
      </c>
      <c r="D4">
        <v>2</v>
      </c>
      <c r="E4">
        <f t="shared" ref="E4:E67" ca="1" si="0">_xlfn.NORM.INV(RAND(),0,$B$6)</f>
        <v>-0.1521456559233115</v>
      </c>
      <c r="F4">
        <f t="shared" ref="F4:F67" ca="1" si="1">$B$5*EXP(($B$9-0.5*$B$6^2)*($B$8)+$B$6*E4)</f>
        <v>97.611084220473515</v>
      </c>
      <c r="G4">
        <f t="shared" ref="G4:G67" ca="1" si="2">MAX(F4-$B$7,0)</f>
        <v>7.611084220473515</v>
      </c>
      <c r="H4" s="62" t="s">
        <v>59</v>
      </c>
      <c r="I4" s="62"/>
      <c r="J4" s="18">
        <f ca="1">AVERAGE(E3:E102)</f>
        <v>-2.869955675846432E-2</v>
      </c>
    </row>
    <row r="5" spans="1:10" x14ac:dyDescent="0.25">
      <c r="A5" s="18" t="s">
        <v>60</v>
      </c>
      <c r="B5" s="18">
        <v>100</v>
      </c>
      <c r="D5">
        <v>3</v>
      </c>
      <c r="E5">
        <f t="shared" ca="1" si="0"/>
        <v>-5.292518224346493E-2</v>
      </c>
      <c r="F5">
        <f t="shared" ca="1" si="1"/>
        <v>99.567434625878988</v>
      </c>
      <c r="G5">
        <f t="shared" ca="1" si="2"/>
        <v>9.5674346258789882</v>
      </c>
      <c r="H5" s="62" t="s">
        <v>61</v>
      </c>
      <c r="I5" s="62"/>
      <c r="J5" s="18">
        <f ca="1">_xlfn.VAR.S(E3:E102)</f>
        <v>4.6811277584098684E-2</v>
      </c>
    </row>
    <row r="6" spans="1:10" x14ac:dyDescent="0.25">
      <c r="A6" s="18" t="s">
        <v>0</v>
      </c>
      <c r="B6" s="18">
        <v>0.2</v>
      </c>
      <c r="D6">
        <v>4</v>
      </c>
      <c r="E6">
        <f t="shared" ca="1" si="0"/>
        <v>0.3357248691505797</v>
      </c>
      <c r="F6">
        <f t="shared" ca="1" si="1"/>
        <v>107.61555062453986</v>
      </c>
      <c r="G6">
        <f t="shared" ca="1" si="2"/>
        <v>17.615550624539864</v>
      </c>
      <c r="H6" s="62" t="s">
        <v>62</v>
      </c>
      <c r="I6" s="62"/>
      <c r="J6" s="18">
        <f ca="1">AVERAGE(G3:G102)</f>
        <v>10.146286951643219</v>
      </c>
    </row>
    <row r="7" spans="1:10" x14ac:dyDescent="0.25">
      <c r="A7" s="18" t="s">
        <v>7</v>
      </c>
      <c r="B7" s="18">
        <v>90</v>
      </c>
      <c r="D7">
        <v>5</v>
      </c>
      <c r="E7">
        <f t="shared" ca="1" si="0"/>
        <v>9.6376345046744208E-2</v>
      </c>
      <c r="F7">
        <f t="shared" ca="1" si="1"/>
        <v>102.58538282529084</v>
      </c>
      <c r="G7">
        <f t="shared" ca="1" si="2"/>
        <v>12.585382825290836</v>
      </c>
      <c r="H7" s="60" t="s">
        <v>63</v>
      </c>
      <c r="I7" s="60"/>
      <c r="J7" s="18">
        <f ca="1">J3*J6</f>
        <v>10.032780892153559</v>
      </c>
    </row>
    <row r="8" spans="1:10" x14ac:dyDescent="0.25">
      <c r="A8" s="18" t="s">
        <v>64</v>
      </c>
      <c r="B8" s="18">
        <v>0.25</v>
      </c>
      <c r="D8">
        <v>6</v>
      </c>
      <c r="E8">
        <f t="shared" ca="1" si="0"/>
        <v>0.15160289791169484</v>
      </c>
      <c r="F8">
        <f t="shared" ca="1" si="1"/>
        <v>103.72475099303308</v>
      </c>
      <c r="G8">
        <f t="shared" ca="1" si="2"/>
        <v>13.724750993033084</v>
      </c>
    </row>
    <row r="9" spans="1:10" x14ac:dyDescent="0.25">
      <c r="A9" s="18" t="s">
        <v>1</v>
      </c>
      <c r="B9" s="18">
        <v>4.4999999999999998E-2</v>
      </c>
      <c r="D9">
        <v>7</v>
      </c>
      <c r="E9">
        <f t="shared" ca="1" si="0"/>
        <v>-0.1982073391211453</v>
      </c>
      <c r="F9">
        <f t="shared" ca="1" si="1"/>
        <v>96.715987350079757</v>
      </c>
      <c r="G9">
        <f t="shared" ca="1" si="2"/>
        <v>6.7159873500797573</v>
      </c>
    </row>
    <row r="10" spans="1:10" x14ac:dyDescent="0.25">
      <c r="A10" s="18" t="s">
        <v>6</v>
      </c>
      <c r="B10" s="18">
        <f>((B9+B6^2/2)*B8+LN(B5/B7))/(B6*SQRT(B8))</f>
        <v>1.2161051565782635</v>
      </c>
      <c r="D10">
        <v>8</v>
      </c>
      <c r="E10">
        <f t="shared" ca="1" si="0"/>
        <v>7.9035762339188284E-2</v>
      </c>
      <c r="F10">
        <f t="shared" ca="1" si="1"/>
        <v>102.23022098950152</v>
      </c>
      <c r="G10">
        <f t="shared" ca="1" si="2"/>
        <v>12.230220989501518</v>
      </c>
    </row>
    <row r="11" spans="1:10" x14ac:dyDescent="0.25">
      <c r="A11" s="18" t="s">
        <v>8</v>
      </c>
      <c r="B11" s="18">
        <f>B10-B6*SQRT(B8)</f>
        <v>1.1161051565782634</v>
      </c>
      <c r="D11">
        <v>9</v>
      </c>
      <c r="E11">
        <f t="shared" ca="1" si="0"/>
        <v>0.17201920586392633</v>
      </c>
      <c r="F11">
        <f t="shared" ca="1" si="1"/>
        <v>104.14915216557415</v>
      </c>
      <c r="G11">
        <f t="shared" ca="1" si="2"/>
        <v>14.149152165574151</v>
      </c>
    </row>
    <row r="12" spans="1:10" x14ac:dyDescent="0.25">
      <c r="A12" s="24" t="s">
        <v>65</v>
      </c>
      <c r="B12" s="18">
        <f>NORMDIST(B10,0,1,1)</f>
        <v>0.88802756676848937</v>
      </c>
      <c r="D12">
        <v>10</v>
      </c>
      <c r="E12">
        <f t="shared" ca="1" si="0"/>
        <v>-0.38605549516985388</v>
      </c>
      <c r="F12">
        <f t="shared" ca="1" si="1"/>
        <v>93.149812759980804</v>
      </c>
      <c r="G12">
        <f t="shared" ca="1" si="2"/>
        <v>3.1498127599808043</v>
      </c>
    </row>
    <row r="13" spans="1:10" x14ac:dyDescent="0.25">
      <c r="A13" s="24" t="s">
        <v>66</v>
      </c>
      <c r="B13" s="18">
        <f>NORMDIST(B11,0,1,1)</f>
        <v>0.86781143742101907</v>
      </c>
      <c r="D13">
        <v>11</v>
      </c>
      <c r="E13">
        <f t="shared" ca="1" si="0"/>
        <v>-0.22935720735053075</v>
      </c>
      <c r="F13">
        <f t="shared" ca="1" si="1"/>
        <v>96.115322304234923</v>
      </c>
      <c r="G13">
        <f t="shared" ca="1" si="2"/>
        <v>6.1153223042349225</v>
      </c>
    </row>
    <row r="14" spans="1:10" x14ac:dyDescent="0.25">
      <c r="A14" s="24" t="s">
        <v>52</v>
      </c>
      <c r="B14" s="25">
        <f>B5*B12-B7*EXP(-B9*B8)*B13</f>
        <v>11.573462414223386</v>
      </c>
      <c r="D14">
        <v>12</v>
      </c>
      <c r="E14">
        <f t="shared" ca="1" si="0"/>
        <v>0.1370471587010943</v>
      </c>
      <c r="F14">
        <f t="shared" ca="1" si="1"/>
        <v>103.42323200412451</v>
      </c>
      <c r="G14">
        <f t="shared" ca="1" si="2"/>
        <v>13.423232004124515</v>
      </c>
    </row>
    <row r="15" spans="1:10" x14ac:dyDescent="0.25">
      <c r="D15">
        <v>13</v>
      </c>
      <c r="E15">
        <f t="shared" ca="1" si="0"/>
        <v>0.19739950164603004</v>
      </c>
      <c r="F15">
        <f t="shared" ca="1" si="1"/>
        <v>104.67916346938478</v>
      </c>
      <c r="G15">
        <f t="shared" ca="1" si="2"/>
        <v>14.679163469384775</v>
      </c>
    </row>
    <row r="16" spans="1:10" x14ac:dyDescent="0.25">
      <c r="D16">
        <v>14</v>
      </c>
      <c r="E16">
        <f t="shared" ca="1" si="0"/>
        <v>-6.0464222122582401E-2</v>
      </c>
      <c r="F16">
        <f t="shared" ca="1" si="1"/>
        <v>99.417419179482579</v>
      </c>
      <c r="G16">
        <f t="shared" ca="1" si="2"/>
        <v>9.4174191794825788</v>
      </c>
    </row>
    <row r="17" spans="4:7" x14ac:dyDescent="0.25">
      <c r="D17">
        <v>15</v>
      </c>
      <c r="E17">
        <f t="shared" ca="1" si="0"/>
        <v>7.5175411150884427E-2</v>
      </c>
      <c r="F17">
        <f t="shared" ca="1" si="1"/>
        <v>102.15132253997761</v>
      </c>
      <c r="G17">
        <f t="shared" ca="1" si="2"/>
        <v>12.151322539977613</v>
      </c>
    </row>
    <row r="18" spans="4:7" x14ac:dyDescent="0.25">
      <c r="D18">
        <v>16</v>
      </c>
      <c r="E18">
        <f t="shared" ca="1" si="0"/>
        <v>7.9351327516871017E-2</v>
      </c>
      <c r="F18">
        <f t="shared" ca="1" si="1"/>
        <v>102.23667325268056</v>
      </c>
      <c r="G18">
        <f t="shared" ca="1" si="2"/>
        <v>12.236673252680561</v>
      </c>
    </row>
    <row r="19" spans="4:7" x14ac:dyDescent="0.25">
      <c r="D19">
        <v>17</v>
      </c>
      <c r="E19">
        <f t="shared" ca="1" si="0"/>
        <v>-0.10475886894841557</v>
      </c>
      <c r="F19">
        <f t="shared" ca="1" si="1"/>
        <v>98.54057696152762</v>
      </c>
      <c r="G19">
        <f t="shared" ca="1" si="2"/>
        <v>8.5405769615276199</v>
      </c>
    </row>
    <row r="20" spans="4:7" x14ac:dyDescent="0.25">
      <c r="D20">
        <v>18</v>
      </c>
      <c r="E20">
        <f t="shared" ca="1" si="0"/>
        <v>0.1355958359857373</v>
      </c>
      <c r="F20">
        <f t="shared" ca="1" si="1"/>
        <v>103.39321626340725</v>
      </c>
      <c r="G20">
        <f t="shared" ca="1" si="2"/>
        <v>13.393216263407254</v>
      </c>
    </row>
    <row r="21" spans="4:7" x14ac:dyDescent="0.25">
      <c r="D21">
        <v>19</v>
      </c>
      <c r="E21">
        <f t="shared" ca="1" si="0"/>
        <v>0.13020646682504952</v>
      </c>
      <c r="F21">
        <f t="shared" ca="1" si="1"/>
        <v>103.28183146134211</v>
      </c>
      <c r="G21">
        <f t="shared" ca="1" si="2"/>
        <v>13.281831461342108</v>
      </c>
    </row>
    <row r="22" spans="4:7" x14ac:dyDescent="0.25">
      <c r="D22">
        <v>20</v>
      </c>
      <c r="E22">
        <f t="shared" ca="1" si="0"/>
        <v>1.8558857290707567E-2</v>
      </c>
      <c r="F22">
        <f t="shared" ca="1" si="1"/>
        <v>101.00115550771216</v>
      </c>
      <c r="G22">
        <f t="shared" ca="1" si="2"/>
        <v>11.001155507712156</v>
      </c>
    </row>
    <row r="23" spans="4:7" x14ac:dyDescent="0.25">
      <c r="D23">
        <v>21</v>
      </c>
      <c r="E23">
        <f t="shared" ca="1" si="0"/>
        <v>0.20616826178782854</v>
      </c>
      <c r="F23">
        <f t="shared" ca="1" si="1"/>
        <v>104.86290583682714</v>
      </c>
      <c r="G23">
        <f t="shared" ca="1" si="2"/>
        <v>14.862905836827139</v>
      </c>
    </row>
    <row r="24" spans="4:7" x14ac:dyDescent="0.25">
      <c r="D24">
        <v>22</v>
      </c>
      <c r="E24">
        <f t="shared" ca="1" si="0"/>
        <v>-8.0410671921417751E-2</v>
      </c>
      <c r="F24">
        <f t="shared" ca="1" si="1"/>
        <v>99.021604302412115</v>
      </c>
      <c r="G24">
        <f t="shared" ca="1" si="2"/>
        <v>9.0216043024121149</v>
      </c>
    </row>
    <row r="25" spans="4:7" x14ac:dyDescent="0.25">
      <c r="D25">
        <v>23</v>
      </c>
      <c r="E25">
        <f t="shared" ca="1" si="0"/>
        <v>0.2699179428311837</v>
      </c>
      <c r="F25">
        <f t="shared" ca="1" si="1"/>
        <v>106.20846083929227</v>
      </c>
      <c r="G25">
        <f t="shared" ca="1" si="2"/>
        <v>16.208460839292272</v>
      </c>
    </row>
    <row r="26" spans="4:7" x14ac:dyDescent="0.25">
      <c r="D26">
        <v>24</v>
      </c>
      <c r="E26">
        <f t="shared" ca="1" si="0"/>
        <v>-3.8231829010447839E-2</v>
      </c>
      <c r="F26">
        <f t="shared" ca="1" si="1"/>
        <v>99.860460866301437</v>
      </c>
      <c r="G26">
        <f t="shared" ca="1" si="2"/>
        <v>9.8604608663014375</v>
      </c>
    </row>
    <row r="27" spans="4:7" x14ac:dyDescent="0.25">
      <c r="D27">
        <v>25</v>
      </c>
      <c r="E27">
        <f t="shared" ca="1" si="0"/>
        <v>0.53076262822406539</v>
      </c>
      <c r="F27">
        <f t="shared" ca="1" si="1"/>
        <v>111.89631813822503</v>
      </c>
      <c r="G27">
        <f t="shared" ca="1" si="2"/>
        <v>21.896318138225027</v>
      </c>
    </row>
    <row r="28" spans="4:7" x14ac:dyDescent="0.25">
      <c r="D28">
        <v>26</v>
      </c>
      <c r="E28">
        <f t="shared" ca="1" si="0"/>
        <v>-0.19199924489349018</v>
      </c>
      <c r="F28">
        <f t="shared" ca="1" si="1"/>
        <v>96.836146323023783</v>
      </c>
      <c r="G28">
        <f t="shared" ca="1" si="2"/>
        <v>6.8361463230237831</v>
      </c>
    </row>
    <row r="29" spans="4:7" x14ac:dyDescent="0.25">
      <c r="D29">
        <v>27</v>
      </c>
      <c r="E29">
        <f t="shared" ca="1" si="0"/>
        <v>-0.10623001464015827</v>
      </c>
      <c r="F29">
        <f t="shared" ca="1" si="1"/>
        <v>98.511587717425158</v>
      </c>
      <c r="G29">
        <f t="shared" ca="1" si="2"/>
        <v>8.511587717425158</v>
      </c>
    </row>
    <row r="30" spans="4:7" x14ac:dyDescent="0.25">
      <c r="D30">
        <v>28</v>
      </c>
      <c r="E30">
        <f t="shared" ca="1" si="0"/>
        <v>0.42749493003870331</v>
      </c>
      <c r="F30">
        <f t="shared" ca="1" si="1"/>
        <v>109.60896537068547</v>
      </c>
      <c r="G30">
        <f t="shared" ca="1" si="2"/>
        <v>19.608965370685468</v>
      </c>
    </row>
    <row r="31" spans="4:7" x14ac:dyDescent="0.25">
      <c r="D31">
        <v>29</v>
      </c>
      <c r="E31">
        <f t="shared" ca="1" si="0"/>
        <v>-0.2410944022446839</v>
      </c>
      <c r="F31">
        <f t="shared" ca="1" si="1"/>
        <v>95.889962063388637</v>
      </c>
      <c r="G31">
        <f t="shared" ca="1" si="2"/>
        <v>5.8899620633886371</v>
      </c>
    </row>
    <row r="32" spans="4:7" x14ac:dyDescent="0.25">
      <c r="D32">
        <v>30</v>
      </c>
      <c r="E32">
        <f t="shared" ca="1" si="0"/>
        <v>-0.53834789584290821</v>
      </c>
      <c r="F32">
        <f t="shared" ca="1" si="1"/>
        <v>90.355384097154939</v>
      </c>
      <c r="G32">
        <f t="shared" ca="1" si="2"/>
        <v>0.35538409715493913</v>
      </c>
    </row>
    <row r="33" spans="4:7" x14ac:dyDescent="0.25">
      <c r="D33">
        <v>31</v>
      </c>
      <c r="E33">
        <f t="shared" ca="1" si="0"/>
        <v>-0.23800938251375811</v>
      </c>
      <c r="F33">
        <f t="shared" ca="1" si="1"/>
        <v>95.949144804496143</v>
      </c>
      <c r="G33">
        <f t="shared" ca="1" si="2"/>
        <v>5.949144804496143</v>
      </c>
    </row>
    <row r="34" spans="4:7" x14ac:dyDescent="0.25">
      <c r="D34">
        <v>32</v>
      </c>
      <c r="E34">
        <f t="shared" ca="1" si="0"/>
        <v>0.16418201899150819</v>
      </c>
      <c r="F34">
        <f t="shared" ca="1" si="1"/>
        <v>103.98603276506826</v>
      </c>
      <c r="G34">
        <f t="shared" ca="1" si="2"/>
        <v>13.986032765068259</v>
      </c>
    </row>
    <row r="35" spans="4:7" x14ac:dyDescent="0.25">
      <c r="D35">
        <v>33</v>
      </c>
      <c r="E35">
        <f t="shared" ca="1" si="0"/>
        <v>0.20020587312367677</v>
      </c>
      <c r="F35">
        <f t="shared" ca="1" si="1"/>
        <v>104.7379336846804</v>
      </c>
      <c r="G35">
        <f t="shared" ca="1" si="2"/>
        <v>14.737933684680399</v>
      </c>
    </row>
    <row r="36" spans="4:7" x14ac:dyDescent="0.25">
      <c r="D36">
        <v>34</v>
      </c>
      <c r="E36">
        <f t="shared" ca="1" si="0"/>
        <v>-8.3358378711187398E-2</v>
      </c>
      <c r="F36">
        <f t="shared" ca="1" si="1"/>
        <v>98.963244175889315</v>
      </c>
      <c r="G36">
        <f t="shared" ca="1" si="2"/>
        <v>8.9632441758893151</v>
      </c>
    </row>
    <row r="37" spans="4:7" x14ac:dyDescent="0.25">
      <c r="D37">
        <v>35</v>
      </c>
      <c r="E37">
        <f t="shared" ca="1" si="0"/>
        <v>-4.18199031876995E-2</v>
      </c>
      <c r="F37">
        <f t="shared" ca="1" si="1"/>
        <v>99.788825224582681</v>
      </c>
      <c r="G37">
        <f t="shared" ca="1" si="2"/>
        <v>9.7888252245826806</v>
      </c>
    </row>
    <row r="38" spans="4:7" x14ac:dyDescent="0.25">
      <c r="D38">
        <v>36</v>
      </c>
      <c r="E38">
        <f t="shared" ca="1" si="0"/>
        <v>-2.2634972405048068E-2</v>
      </c>
      <c r="F38">
        <f t="shared" ca="1" si="1"/>
        <v>100.17244907458951</v>
      </c>
      <c r="G38">
        <f t="shared" ca="1" si="2"/>
        <v>10.172449074589508</v>
      </c>
    </row>
    <row r="39" spans="4:7" x14ac:dyDescent="0.25">
      <c r="D39">
        <v>37</v>
      </c>
      <c r="E39">
        <f t="shared" ca="1" si="0"/>
        <v>0.16880488955750741</v>
      </c>
      <c r="F39">
        <f t="shared" ca="1" si="1"/>
        <v>104.08222001836738</v>
      </c>
      <c r="G39">
        <f t="shared" ca="1" si="2"/>
        <v>14.08222001836738</v>
      </c>
    </row>
    <row r="40" spans="4:7" x14ac:dyDescent="0.25">
      <c r="D40">
        <v>38</v>
      </c>
      <c r="E40">
        <f t="shared" ca="1" si="0"/>
        <v>1.6546438859048555E-2</v>
      </c>
      <c r="F40">
        <f t="shared" ca="1" si="1"/>
        <v>100.96051236996826</v>
      </c>
      <c r="G40">
        <f t="shared" ca="1" si="2"/>
        <v>10.960512369968257</v>
      </c>
    </row>
    <row r="41" spans="4:7" x14ac:dyDescent="0.25">
      <c r="D41">
        <v>39</v>
      </c>
      <c r="E41">
        <f t="shared" ca="1" si="0"/>
        <v>-0.10960749462887898</v>
      </c>
      <c r="F41">
        <f t="shared" ca="1" si="1"/>
        <v>98.445066004295555</v>
      </c>
      <c r="G41">
        <f t="shared" ca="1" si="2"/>
        <v>8.4450660042955548</v>
      </c>
    </row>
    <row r="42" spans="4:7" x14ac:dyDescent="0.25">
      <c r="D42">
        <v>40</v>
      </c>
      <c r="E42">
        <f t="shared" ca="1" si="0"/>
        <v>-2.3214758466160335E-2</v>
      </c>
      <c r="F42">
        <f t="shared" ca="1" si="1"/>
        <v>100.16083403009044</v>
      </c>
      <c r="G42">
        <f t="shared" ca="1" si="2"/>
        <v>10.160834030090442</v>
      </c>
    </row>
    <row r="43" spans="4:7" x14ac:dyDescent="0.25">
      <c r="D43">
        <v>41</v>
      </c>
      <c r="E43">
        <f t="shared" ca="1" si="0"/>
        <v>-7.662365763477022E-2</v>
      </c>
      <c r="F43">
        <f t="shared" ca="1" si="1"/>
        <v>99.096631957941767</v>
      </c>
      <c r="G43">
        <f t="shared" ca="1" si="2"/>
        <v>9.0966319579417672</v>
      </c>
    </row>
    <row r="44" spans="4:7" x14ac:dyDescent="0.25">
      <c r="D44">
        <v>42</v>
      </c>
      <c r="E44">
        <f t="shared" ca="1" si="0"/>
        <v>9.552702104088635E-3</v>
      </c>
      <c r="F44">
        <f t="shared" ca="1" si="1"/>
        <v>100.81939283902929</v>
      </c>
      <c r="G44">
        <f t="shared" ca="1" si="2"/>
        <v>10.819392839029291</v>
      </c>
    </row>
    <row r="45" spans="4:7" x14ac:dyDescent="0.25">
      <c r="D45">
        <v>43</v>
      </c>
      <c r="E45">
        <f t="shared" ca="1" si="0"/>
        <v>3.5892244022598503E-2</v>
      </c>
      <c r="F45">
        <f t="shared" ca="1" si="1"/>
        <v>101.35190153585607</v>
      </c>
      <c r="G45">
        <f t="shared" ca="1" si="2"/>
        <v>11.351901535856072</v>
      </c>
    </row>
    <row r="46" spans="4:7" x14ac:dyDescent="0.25">
      <c r="D46">
        <v>44</v>
      </c>
      <c r="E46">
        <f t="shared" ca="1" si="0"/>
        <v>-0.21866200982481132</v>
      </c>
      <c r="F46">
        <f t="shared" ca="1" si="1"/>
        <v>96.321136819908006</v>
      </c>
      <c r="G46">
        <f t="shared" ca="1" si="2"/>
        <v>6.3211368199080056</v>
      </c>
    </row>
    <row r="47" spans="4:7" x14ac:dyDescent="0.25">
      <c r="D47">
        <v>45</v>
      </c>
      <c r="E47">
        <f t="shared" ca="1" si="0"/>
        <v>0.37715113783575582</v>
      </c>
      <c r="F47">
        <f t="shared" ca="1" si="1"/>
        <v>108.51087664748962</v>
      </c>
      <c r="G47">
        <f t="shared" ca="1" si="2"/>
        <v>18.510876647489624</v>
      </c>
    </row>
    <row r="48" spans="4:7" x14ac:dyDescent="0.25">
      <c r="D48">
        <v>46</v>
      </c>
      <c r="E48">
        <f t="shared" ca="1" si="0"/>
        <v>-7.6427606836686396E-2</v>
      </c>
      <c r="F48">
        <f t="shared" ca="1" si="1"/>
        <v>99.100517628876702</v>
      </c>
      <c r="G48">
        <f t="shared" ca="1" si="2"/>
        <v>9.1005176288767018</v>
      </c>
    </row>
    <row r="49" spans="4:7" x14ac:dyDescent="0.25">
      <c r="D49">
        <v>47</v>
      </c>
      <c r="E49">
        <f t="shared" ca="1" si="0"/>
        <v>0.32550570890183794</v>
      </c>
      <c r="F49">
        <f t="shared" ca="1" si="1"/>
        <v>107.39582712857035</v>
      </c>
      <c r="G49">
        <f t="shared" ca="1" si="2"/>
        <v>17.395827128570346</v>
      </c>
    </row>
    <row r="50" spans="4:7" x14ac:dyDescent="0.25">
      <c r="D50">
        <v>48</v>
      </c>
      <c r="E50">
        <f t="shared" ca="1" si="0"/>
        <v>-0.19684691660688891</v>
      </c>
      <c r="F50">
        <f t="shared" ca="1" si="1"/>
        <v>96.742305851681522</v>
      </c>
      <c r="G50">
        <f t="shared" ca="1" si="2"/>
        <v>6.7423058516815217</v>
      </c>
    </row>
    <row r="51" spans="4:7" x14ac:dyDescent="0.25">
      <c r="D51">
        <v>49</v>
      </c>
      <c r="E51">
        <f t="shared" ca="1" si="0"/>
        <v>-3.3361850598883573E-2</v>
      </c>
      <c r="F51">
        <f t="shared" ca="1" si="1"/>
        <v>99.957771906592541</v>
      </c>
      <c r="G51">
        <f t="shared" ca="1" si="2"/>
        <v>9.9577719065925407</v>
      </c>
    </row>
    <row r="52" spans="4:7" x14ac:dyDescent="0.25">
      <c r="D52">
        <v>50</v>
      </c>
      <c r="E52">
        <f t="shared" ca="1" si="0"/>
        <v>-0.16281676211626239</v>
      </c>
      <c r="F52">
        <f t="shared" ca="1" si="1"/>
        <v>97.402982717721969</v>
      </c>
      <c r="G52">
        <f t="shared" ca="1" si="2"/>
        <v>7.4029827177219687</v>
      </c>
    </row>
    <row r="53" spans="4:7" x14ac:dyDescent="0.25">
      <c r="D53">
        <v>51</v>
      </c>
      <c r="E53">
        <f t="shared" ca="1" si="0"/>
        <v>0.16995516198616889</v>
      </c>
      <c r="F53">
        <f t="shared" ca="1" si="1"/>
        <v>104.10616735445801</v>
      </c>
      <c r="G53">
        <f t="shared" ca="1" si="2"/>
        <v>14.106167354458009</v>
      </c>
    </row>
    <row r="54" spans="4:7" x14ac:dyDescent="0.25">
      <c r="D54">
        <v>52</v>
      </c>
      <c r="E54">
        <f t="shared" ca="1" si="0"/>
        <v>-0.27512009554957439</v>
      </c>
      <c r="F54">
        <f t="shared" ca="1" si="1"/>
        <v>95.239632875223748</v>
      </c>
      <c r="G54">
        <f t="shared" ca="1" si="2"/>
        <v>5.239632875223748</v>
      </c>
    </row>
    <row r="55" spans="4:7" x14ac:dyDescent="0.25">
      <c r="D55">
        <v>53</v>
      </c>
      <c r="E55">
        <f t="shared" ca="1" si="0"/>
        <v>-0.26429917968709943</v>
      </c>
      <c r="F55">
        <f t="shared" ca="1" si="1"/>
        <v>95.445972083432309</v>
      </c>
      <c r="G55">
        <f t="shared" ca="1" si="2"/>
        <v>5.4459720834323093</v>
      </c>
    </row>
    <row r="56" spans="4:7" x14ac:dyDescent="0.25">
      <c r="D56">
        <v>54</v>
      </c>
      <c r="E56">
        <f t="shared" ca="1" si="0"/>
        <v>-0.17655551322492852</v>
      </c>
      <c r="F56">
        <f t="shared" ca="1" si="1"/>
        <v>97.135711016461414</v>
      </c>
      <c r="G56">
        <f t="shared" ca="1" si="2"/>
        <v>7.1357110164614141</v>
      </c>
    </row>
    <row r="57" spans="4:7" x14ac:dyDescent="0.25">
      <c r="D57">
        <v>55</v>
      </c>
      <c r="E57">
        <f t="shared" ca="1" si="0"/>
        <v>-4.4900198200886358E-2</v>
      </c>
      <c r="F57">
        <f t="shared" ca="1" si="1"/>
        <v>99.727368352913729</v>
      </c>
      <c r="G57">
        <f t="shared" ca="1" si="2"/>
        <v>9.7273683529137287</v>
      </c>
    </row>
    <row r="58" spans="4:7" x14ac:dyDescent="0.25">
      <c r="D58">
        <v>56</v>
      </c>
      <c r="E58">
        <f t="shared" ca="1" si="0"/>
        <v>-4.9096911876916845E-2</v>
      </c>
      <c r="F58">
        <f t="shared" ca="1" si="1"/>
        <v>99.643698029736555</v>
      </c>
      <c r="G58">
        <f t="shared" ca="1" si="2"/>
        <v>9.6436980297365551</v>
      </c>
    </row>
    <row r="59" spans="4:7" x14ac:dyDescent="0.25">
      <c r="D59">
        <v>57</v>
      </c>
      <c r="E59">
        <f t="shared" ca="1" si="0"/>
        <v>-0.39374231189779757</v>
      </c>
      <c r="F59">
        <f t="shared" ca="1" si="1"/>
        <v>93.006717674948106</v>
      </c>
      <c r="G59">
        <f t="shared" ca="1" si="2"/>
        <v>3.0067176749481064</v>
      </c>
    </row>
    <row r="60" spans="4:7" x14ac:dyDescent="0.25">
      <c r="D60">
        <v>58</v>
      </c>
      <c r="E60">
        <f t="shared" ca="1" si="0"/>
        <v>2.456094161920561E-2</v>
      </c>
      <c r="F60">
        <f t="shared" ca="1" si="1"/>
        <v>101.1224717987316</v>
      </c>
      <c r="G60">
        <f t="shared" ca="1" si="2"/>
        <v>11.122471798731596</v>
      </c>
    </row>
    <row r="61" spans="4:7" x14ac:dyDescent="0.25">
      <c r="D61">
        <v>59</v>
      </c>
      <c r="E61">
        <f t="shared" ca="1" si="0"/>
        <v>-0.22853093393788271</v>
      </c>
      <c r="F61">
        <f t="shared" ca="1" si="1"/>
        <v>96.131207123792791</v>
      </c>
      <c r="G61">
        <f t="shared" ca="1" si="2"/>
        <v>6.131207123792791</v>
      </c>
    </row>
    <row r="62" spans="4:7" x14ac:dyDescent="0.25">
      <c r="D62">
        <v>60</v>
      </c>
      <c r="E62">
        <f t="shared" ca="1" si="0"/>
        <v>-0.14385000857558264</v>
      </c>
      <c r="F62">
        <f t="shared" ca="1" si="1"/>
        <v>97.773168068721773</v>
      </c>
      <c r="G62">
        <f t="shared" ca="1" si="2"/>
        <v>7.7731680687217732</v>
      </c>
    </row>
    <row r="63" spans="4:7" x14ac:dyDescent="0.25">
      <c r="D63">
        <v>61</v>
      </c>
      <c r="E63">
        <f t="shared" ca="1" si="0"/>
        <v>3.0076598659571727E-2</v>
      </c>
      <c r="F63">
        <f t="shared" ca="1" si="1"/>
        <v>101.23408472397801</v>
      </c>
      <c r="G63">
        <f t="shared" ca="1" si="2"/>
        <v>11.234084723978015</v>
      </c>
    </row>
    <row r="64" spans="4:7" x14ac:dyDescent="0.25">
      <c r="D64">
        <v>62</v>
      </c>
      <c r="E64">
        <f t="shared" ca="1" si="0"/>
        <v>-0.3029786828461557</v>
      </c>
      <c r="F64">
        <f t="shared" ca="1" si="1"/>
        <v>94.710460119426003</v>
      </c>
      <c r="G64">
        <f t="shared" ca="1" si="2"/>
        <v>4.7104601194260027</v>
      </c>
    </row>
    <row r="65" spans="4:7" x14ac:dyDescent="0.25">
      <c r="D65">
        <v>63</v>
      </c>
      <c r="E65">
        <f t="shared" ca="1" si="0"/>
        <v>0.13772865968847833</v>
      </c>
      <c r="F65">
        <f t="shared" ca="1" si="1"/>
        <v>103.43732957179917</v>
      </c>
      <c r="G65">
        <f t="shared" ca="1" si="2"/>
        <v>13.437329571799168</v>
      </c>
    </row>
    <row r="66" spans="4:7" x14ac:dyDescent="0.25">
      <c r="D66">
        <v>64</v>
      </c>
      <c r="E66">
        <f t="shared" ca="1" si="0"/>
        <v>-1.8018111188536523E-2</v>
      </c>
      <c r="F66">
        <f t="shared" ca="1" si="1"/>
        <v>100.26498825108708</v>
      </c>
      <c r="G66">
        <f t="shared" ca="1" si="2"/>
        <v>10.264988251087075</v>
      </c>
    </row>
    <row r="67" spans="4:7" x14ac:dyDescent="0.25">
      <c r="D67">
        <v>65</v>
      </c>
      <c r="E67">
        <f t="shared" ca="1" si="0"/>
        <v>-0.27818595963194548</v>
      </c>
      <c r="F67">
        <f t="shared" ca="1" si="1"/>
        <v>95.181252421776364</v>
      </c>
      <c r="G67">
        <f t="shared" ca="1" si="2"/>
        <v>5.1812524217763638</v>
      </c>
    </row>
    <row r="68" spans="4:7" x14ac:dyDescent="0.25">
      <c r="D68">
        <v>66</v>
      </c>
      <c r="E68">
        <f t="shared" ref="E68:E102" ca="1" si="3">_xlfn.NORM.INV(RAND(),0,$B$6)</f>
        <v>0.2460451134525623</v>
      </c>
      <c r="F68">
        <f t="shared" ref="F68:F102" ca="1" si="4">$B$5*EXP(($B$9-0.5*$B$6^2)*($B$8)+$B$6*E68)</f>
        <v>105.7025702115632</v>
      </c>
      <c r="G68">
        <f t="shared" ref="G68:G102" ca="1" si="5">MAX(F68-$B$7,0)</f>
        <v>15.702570211563199</v>
      </c>
    </row>
    <row r="69" spans="4:7" x14ac:dyDescent="0.25">
      <c r="D69">
        <v>67</v>
      </c>
      <c r="E69">
        <f t="shared" ca="1" si="3"/>
        <v>0.28975829475445386</v>
      </c>
      <c r="F69">
        <f t="shared" ca="1" si="4"/>
        <v>106.63074075146832</v>
      </c>
      <c r="G69">
        <f t="shared" ca="1" si="5"/>
        <v>16.630740751468323</v>
      </c>
    </row>
    <row r="70" spans="4:7" x14ac:dyDescent="0.25">
      <c r="D70">
        <v>68</v>
      </c>
      <c r="E70">
        <f t="shared" ca="1" si="3"/>
        <v>-0.14250339733657799</v>
      </c>
      <c r="F70">
        <f t="shared" ca="1" si="4"/>
        <v>97.79950410440162</v>
      </c>
      <c r="G70">
        <f t="shared" ca="1" si="5"/>
        <v>7.7995041044016205</v>
      </c>
    </row>
    <row r="71" spans="4:7" x14ac:dyDescent="0.25">
      <c r="D71">
        <v>69</v>
      </c>
      <c r="E71">
        <f t="shared" ca="1" si="3"/>
        <v>0.22653929415353266</v>
      </c>
      <c r="F71">
        <f t="shared" ca="1" si="4"/>
        <v>105.29101046772789</v>
      </c>
      <c r="G71">
        <f t="shared" ca="1" si="5"/>
        <v>15.291010467727887</v>
      </c>
    </row>
    <row r="72" spans="4:7" x14ac:dyDescent="0.25">
      <c r="D72">
        <v>70</v>
      </c>
      <c r="E72">
        <f t="shared" ca="1" si="3"/>
        <v>-0.57135046767095321</v>
      </c>
      <c r="F72">
        <f t="shared" ca="1" si="4"/>
        <v>89.760956010084286</v>
      </c>
      <c r="G72">
        <f t="shared" ca="1" si="5"/>
        <v>0</v>
      </c>
    </row>
    <row r="73" spans="4:7" x14ac:dyDescent="0.25">
      <c r="D73">
        <v>71</v>
      </c>
      <c r="E73">
        <f t="shared" ca="1" si="3"/>
        <v>-7.6975055877293433E-2</v>
      </c>
      <c r="F73">
        <f t="shared" ca="1" si="4"/>
        <v>99.08966772620451</v>
      </c>
      <c r="G73">
        <f t="shared" ca="1" si="5"/>
        <v>9.0896677262045102</v>
      </c>
    </row>
    <row r="74" spans="4:7" x14ac:dyDescent="0.25">
      <c r="D74">
        <v>72</v>
      </c>
      <c r="E74">
        <f t="shared" ca="1" si="3"/>
        <v>-0.35489215746641167</v>
      </c>
      <c r="F74">
        <f t="shared" ca="1" si="4"/>
        <v>93.732197594636148</v>
      </c>
      <c r="G74">
        <f t="shared" ca="1" si="5"/>
        <v>3.7321975946361476</v>
      </c>
    </row>
    <row r="75" spans="4:7" x14ac:dyDescent="0.25">
      <c r="D75">
        <v>73</v>
      </c>
      <c r="E75">
        <f t="shared" ca="1" si="3"/>
        <v>-0.28253977345998327</v>
      </c>
      <c r="F75">
        <f t="shared" ca="1" si="4"/>
        <v>95.098408205247708</v>
      </c>
      <c r="G75">
        <f t="shared" ca="1" si="5"/>
        <v>5.0984082052477078</v>
      </c>
    </row>
    <row r="76" spans="4:7" x14ac:dyDescent="0.25">
      <c r="D76">
        <v>74</v>
      </c>
      <c r="E76">
        <f t="shared" ca="1" si="3"/>
        <v>-0.28610663636456596</v>
      </c>
      <c r="F76">
        <f t="shared" ca="1" si="4"/>
        <v>95.03059180040313</v>
      </c>
      <c r="G76">
        <f t="shared" ca="1" si="5"/>
        <v>5.0305918004031298</v>
      </c>
    </row>
    <row r="77" spans="4:7" x14ac:dyDescent="0.25">
      <c r="D77">
        <v>75</v>
      </c>
      <c r="E77">
        <f t="shared" ca="1" si="3"/>
        <v>0.18482024603677652</v>
      </c>
      <c r="F77">
        <f t="shared" ca="1" si="4"/>
        <v>104.41613728463241</v>
      </c>
      <c r="G77">
        <f t="shared" ca="1" si="5"/>
        <v>14.416137284632413</v>
      </c>
    </row>
    <row r="78" spans="4:7" x14ac:dyDescent="0.25">
      <c r="D78">
        <v>76</v>
      </c>
      <c r="E78">
        <f t="shared" ca="1" si="3"/>
        <v>0.42013116216618063</v>
      </c>
      <c r="F78">
        <f t="shared" ca="1" si="4"/>
        <v>109.44765718789593</v>
      </c>
      <c r="G78">
        <f t="shared" ca="1" si="5"/>
        <v>19.447657187895928</v>
      </c>
    </row>
    <row r="79" spans="4:7" x14ac:dyDescent="0.25">
      <c r="D79">
        <v>77</v>
      </c>
      <c r="E79">
        <f t="shared" ca="1" si="3"/>
        <v>-6.8487991274506235E-2</v>
      </c>
      <c r="F79">
        <f t="shared" ca="1" si="4"/>
        <v>99.258006638400687</v>
      </c>
      <c r="G79">
        <f t="shared" ca="1" si="5"/>
        <v>9.2580066384006869</v>
      </c>
    </row>
    <row r="80" spans="4:7" x14ac:dyDescent="0.25">
      <c r="D80">
        <v>78</v>
      </c>
      <c r="E80">
        <f t="shared" ca="1" si="3"/>
        <v>0.29551103136243478</v>
      </c>
      <c r="F80">
        <f t="shared" ca="1" si="4"/>
        <v>106.75349506842362</v>
      </c>
      <c r="G80">
        <f t="shared" ca="1" si="5"/>
        <v>16.753495068423618</v>
      </c>
    </row>
    <row r="81" spans="4:7" x14ac:dyDescent="0.25">
      <c r="D81">
        <v>79</v>
      </c>
      <c r="E81">
        <f t="shared" ca="1" si="3"/>
        <v>-0.1586776963758175</v>
      </c>
      <c r="F81">
        <f t="shared" ca="1" si="4"/>
        <v>97.483647570585205</v>
      </c>
      <c r="G81">
        <f t="shared" ca="1" si="5"/>
        <v>7.4836475705852052</v>
      </c>
    </row>
    <row r="82" spans="4:7" x14ac:dyDescent="0.25">
      <c r="D82">
        <v>80</v>
      </c>
      <c r="E82">
        <f t="shared" ca="1" si="3"/>
        <v>0.13052737025006006</v>
      </c>
      <c r="F82">
        <f t="shared" ca="1" si="4"/>
        <v>103.28846037275534</v>
      </c>
      <c r="G82">
        <f t="shared" ca="1" si="5"/>
        <v>13.288460372755338</v>
      </c>
    </row>
    <row r="83" spans="4:7" x14ac:dyDescent="0.25">
      <c r="D83">
        <v>81</v>
      </c>
      <c r="E83">
        <f t="shared" ca="1" si="3"/>
        <v>0.29260594934871897</v>
      </c>
      <c r="F83">
        <f t="shared" ca="1" si="4"/>
        <v>106.69148755217508</v>
      </c>
      <c r="G83">
        <f t="shared" ca="1" si="5"/>
        <v>16.691487552175076</v>
      </c>
    </row>
    <row r="84" spans="4:7" x14ac:dyDescent="0.25">
      <c r="D84">
        <v>82</v>
      </c>
      <c r="E84">
        <f t="shared" ca="1" si="3"/>
        <v>-0.20665229145147493</v>
      </c>
      <c r="F84">
        <f t="shared" ca="1" si="4"/>
        <v>96.552772842203197</v>
      </c>
      <c r="G84">
        <f t="shared" ca="1" si="5"/>
        <v>6.552772842203197</v>
      </c>
    </row>
    <row r="85" spans="4:7" x14ac:dyDescent="0.25">
      <c r="D85">
        <v>83</v>
      </c>
      <c r="E85">
        <f t="shared" ca="1" si="3"/>
        <v>-0.30317940632289925</v>
      </c>
      <c r="F85">
        <f t="shared" ca="1" si="4"/>
        <v>94.70665807317468</v>
      </c>
      <c r="G85">
        <f t="shared" ca="1" si="5"/>
        <v>4.7066580731746797</v>
      </c>
    </row>
    <row r="86" spans="4:7" x14ac:dyDescent="0.25">
      <c r="D86">
        <v>84</v>
      </c>
      <c r="E86">
        <f t="shared" ca="1" si="3"/>
        <v>-0.23727314907681685</v>
      </c>
      <c r="F86">
        <f t="shared" ca="1" si="4"/>
        <v>95.963274038442265</v>
      </c>
      <c r="G86">
        <f t="shared" ca="1" si="5"/>
        <v>5.9632740384422647</v>
      </c>
    </row>
    <row r="87" spans="4:7" x14ac:dyDescent="0.25">
      <c r="D87">
        <v>85</v>
      </c>
      <c r="E87">
        <f t="shared" ca="1" si="3"/>
        <v>2.3534056558419756E-3</v>
      </c>
      <c r="F87">
        <f t="shared" ca="1" si="4"/>
        <v>100.67433155865098</v>
      </c>
      <c r="G87">
        <f t="shared" ca="1" si="5"/>
        <v>10.674331558650977</v>
      </c>
    </row>
    <row r="88" spans="4:7" x14ac:dyDescent="0.25">
      <c r="D88">
        <v>86</v>
      </c>
      <c r="E88">
        <f t="shared" ca="1" si="3"/>
        <v>4.5890953918078257E-2</v>
      </c>
      <c r="F88">
        <f t="shared" ca="1" si="4"/>
        <v>101.55478197467427</v>
      </c>
      <c r="G88">
        <f t="shared" ca="1" si="5"/>
        <v>11.55478197467427</v>
      </c>
    </row>
    <row r="89" spans="4:7" x14ac:dyDescent="0.25">
      <c r="D89">
        <v>87</v>
      </c>
      <c r="E89">
        <f t="shared" ca="1" si="3"/>
        <v>-0.22095556756712798</v>
      </c>
      <c r="F89">
        <f t="shared" ca="1" si="4"/>
        <v>96.27696333430616</v>
      </c>
      <c r="G89">
        <f t="shared" ca="1" si="5"/>
        <v>6.2769633343061599</v>
      </c>
    </row>
    <row r="90" spans="4:7" x14ac:dyDescent="0.25">
      <c r="D90">
        <v>88</v>
      </c>
      <c r="E90">
        <f t="shared" ca="1" si="3"/>
        <v>0.15447468266103651</v>
      </c>
      <c r="F90">
        <f t="shared" ca="1" si="4"/>
        <v>103.78434313658201</v>
      </c>
      <c r="G90">
        <f t="shared" ca="1" si="5"/>
        <v>13.784343136582009</v>
      </c>
    </row>
    <row r="91" spans="4:7" x14ac:dyDescent="0.25">
      <c r="D91">
        <v>89</v>
      </c>
      <c r="E91">
        <f t="shared" ca="1" si="3"/>
        <v>4.3656466454675052E-2</v>
      </c>
      <c r="F91">
        <f t="shared" ca="1" si="4"/>
        <v>101.50940753685649</v>
      </c>
      <c r="G91">
        <f t="shared" ca="1" si="5"/>
        <v>11.509407536856486</v>
      </c>
    </row>
    <row r="92" spans="4:7" x14ac:dyDescent="0.25">
      <c r="D92">
        <v>90</v>
      </c>
      <c r="E92">
        <f t="shared" ca="1" si="3"/>
        <v>-0.1330308391147704</v>
      </c>
      <c r="F92">
        <f t="shared" ca="1" si="4"/>
        <v>97.984962024364592</v>
      </c>
      <c r="G92">
        <f t="shared" ca="1" si="5"/>
        <v>7.9849620243645916</v>
      </c>
    </row>
    <row r="93" spans="4:7" x14ac:dyDescent="0.25">
      <c r="D93">
        <v>91</v>
      </c>
      <c r="E93">
        <f t="shared" ca="1" si="3"/>
        <v>-0.16559506265582996</v>
      </c>
      <c r="F93">
        <f t="shared" ca="1" si="4"/>
        <v>97.348874800031808</v>
      </c>
      <c r="G93">
        <f t="shared" ca="1" si="5"/>
        <v>7.3488748000318083</v>
      </c>
    </row>
    <row r="94" spans="4:7" x14ac:dyDescent="0.25">
      <c r="D94">
        <v>92</v>
      </c>
      <c r="E94">
        <f t="shared" ca="1" si="3"/>
        <v>-0.11391197557586084</v>
      </c>
      <c r="F94">
        <f t="shared" ca="1" si="4"/>
        <v>98.360351492539891</v>
      </c>
      <c r="G94">
        <f t="shared" ca="1" si="5"/>
        <v>8.3603514925398912</v>
      </c>
    </row>
    <row r="95" spans="4:7" x14ac:dyDescent="0.25">
      <c r="D95">
        <v>93</v>
      </c>
      <c r="E95">
        <f t="shared" ca="1" si="3"/>
        <v>0.12826527586160452</v>
      </c>
      <c r="F95">
        <f t="shared" ca="1" si="4"/>
        <v>103.24174129252886</v>
      </c>
      <c r="G95">
        <f t="shared" ca="1" si="5"/>
        <v>13.241741292528857</v>
      </c>
    </row>
    <row r="96" spans="4:7" x14ac:dyDescent="0.25">
      <c r="D96">
        <v>94</v>
      </c>
      <c r="E96">
        <f t="shared" ca="1" si="3"/>
        <v>-0.12685701124889867</v>
      </c>
      <c r="F96">
        <f t="shared" ca="1" si="4"/>
        <v>98.10602520910588</v>
      </c>
      <c r="G96">
        <f t="shared" ca="1" si="5"/>
        <v>8.10602520910588</v>
      </c>
    </row>
    <row r="97" spans="4:7" x14ac:dyDescent="0.25">
      <c r="D97">
        <v>95</v>
      </c>
      <c r="E97">
        <f t="shared" ca="1" si="3"/>
        <v>5.3975185760269898E-2</v>
      </c>
      <c r="F97">
        <f t="shared" ca="1" si="4"/>
        <v>101.71911326853595</v>
      </c>
      <c r="G97">
        <f t="shared" ca="1" si="5"/>
        <v>11.719113268535949</v>
      </c>
    </row>
    <row r="98" spans="4:7" x14ac:dyDescent="0.25">
      <c r="D98">
        <v>96</v>
      </c>
      <c r="E98">
        <f t="shared" ca="1" si="3"/>
        <v>-0.35950620219381912</v>
      </c>
      <c r="F98">
        <f t="shared" ca="1" si="4"/>
        <v>93.645740582003896</v>
      </c>
      <c r="G98">
        <f t="shared" ca="1" si="5"/>
        <v>3.6457405820038957</v>
      </c>
    </row>
    <row r="99" spans="4:7" x14ac:dyDescent="0.25">
      <c r="D99">
        <v>97</v>
      </c>
      <c r="E99">
        <f t="shared" ca="1" si="3"/>
        <v>4.1578314116947901E-2</v>
      </c>
      <c r="F99">
        <f t="shared" ca="1" si="4"/>
        <v>101.46722590093545</v>
      </c>
      <c r="G99">
        <f t="shared" ca="1" si="5"/>
        <v>11.467225900935446</v>
      </c>
    </row>
    <row r="100" spans="4:7" x14ac:dyDescent="0.25">
      <c r="D100">
        <v>98</v>
      </c>
      <c r="E100">
        <f t="shared" ca="1" si="3"/>
        <v>-0.397916089206725</v>
      </c>
      <c r="F100">
        <f t="shared" ca="1" si="4"/>
        <v>92.929112204687684</v>
      </c>
      <c r="G100">
        <f t="shared" ca="1" si="5"/>
        <v>2.9291122046876836</v>
      </c>
    </row>
    <row r="101" spans="4:7" x14ac:dyDescent="0.25">
      <c r="D101">
        <v>99</v>
      </c>
      <c r="E101">
        <f t="shared" ca="1" si="3"/>
        <v>7.0451003820765232E-2</v>
      </c>
      <c r="F101">
        <f t="shared" ca="1" si="4"/>
        <v>102.0548472346215</v>
      </c>
      <c r="G101">
        <f t="shared" ca="1" si="5"/>
        <v>12.054847234621505</v>
      </c>
    </row>
    <row r="102" spans="4:7" x14ac:dyDescent="0.25">
      <c r="D102">
        <v>100</v>
      </c>
      <c r="E102">
        <f t="shared" ca="1" si="3"/>
        <v>-0.24054034489061205</v>
      </c>
      <c r="F102">
        <f t="shared" ca="1" si="4"/>
        <v>95.900588359868109</v>
      </c>
      <c r="G102">
        <f t="shared" ca="1" si="5"/>
        <v>5.9005883598681095</v>
      </c>
    </row>
  </sheetData>
  <mergeCells count="6">
    <mergeCell ref="H7:I7"/>
    <mergeCell ref="A2:B2"/>
    <mergeCell ref="H3:I3"/>
    <mergeCell ref="H4:I4"/>
    <mergeCell ref="H5:I5"/>
    <mergeCell ref="H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1107-B3EC-48F5-BAA0-4812EBC0197B}">
  <dimension ref="A12:R78"/>
  <sheetViews>
    <sheetView showGridLines="0" topLeftCell="A25" workbookViewId="0">
      <selection activeCell="AD64" sqref="AD64:AD65"/>
    </sheetView>
  </sheetViews>
  <sheetFormatPr defaultRowHeight="15" x14ac:dyDescent="0.25"/>
  <sheetData>
    <row r="12" spans="2:4" ht="18" x14ac:dyDescent="0.35">
      <c r="B12" t="s">
        <v>67</v>
      </c>
      <c r="C12" t="s">
        <v>68</v>
      </c>
      <c r="D12">
        <f>((0.5+0.5*0.3^2)*0.5+LN(20/25))/(0.3*SQRT(0.5))</f>
        <v>0.23266853040672128</v>
      </c>
    </row>
    <row r="13" spans="2:4" ht="18" x14ac:dyDescent="0.35">
      <c r="C13" t="s">
        <v>69</v>
      </c>
      <c r="D13">
        <f>_xlfn.NORM.S.DIST(D12,TRUE)</f>
        <v>0.59199059614661209</v>
      </c>
    </row>
    <row r="14" spans="2:4" ht="18" x14ac:dyDescent="0.35">
      <c r="C14" s="26" t="s">
        <v>70</v>
      </c>
      <c r="D14">
        <f>D13</f>
        <v>0.59199059614661209</v>
      </c>
    </row>
    <row r="15" spans="2:4" x14ac:dyDescent="0.25">
      <c r="C15" t="s">
        <v>71</v>
      </c>
      <c r="D15" s="27">
        <f>1000*D14</f>
        <v>591.99059614661212</v>
      </c>
    </row>
    <row r="17" spans="1:12" ht="18" x14ac:dyDescent="0.35">
      <c r="B17" t="s">
        <v>72</v>
      </c>
      <c r="C17" t="s">
        <v>68</v>
      </c>
      <c r="D17">
        <f>((0.5+0.5*0.3^2)*(1/12)+LN(20/20))/(0.3*SQRT(1/12))</f>
        <v>0.52442649451391021</v>
      </c>
    </row>
    <row r="18" spans="1:12" ht="18" x14ac:dyDescent="0.35">
      <c r="C18" t="s">
        <v>69</v>
      </c>
      <c r="D18">
        <f>_xlfn.NORM.S.DIST(D17,TRUE)</f>
        <v>0.7000090336204623</v>
      </c>
    </row>
    <row r="19" spans="1:12" ht="18" x14ac:dyDescent="0.35">
      <c r="C19" s="26" t="s">
        <v>70</v>
      </c>
      <c r="D19">
        <f>D18</f>
        <v>0.7000090336204623</v>
      </c>
    </row>
    <row r="20" spans="1:12" x14ac:dyDescent="0.25">
      <c r="C20" t="s">
        <v>71</v>
      </c>
      <c r="D20" s="27">
        <f>-1000*D19</f>
        <v>-700.00903362046233</v>
      </c>
    </row>
    <row r="22" spans="1:12" ht="18" x14ac:dyDescent="0.35">
      <c r="B22" t="s">
        <v>73</v>
      </c>
      <c r="C22" s="26" t="s">
        <v>74</v>
      </c>
      <c r="D22">
        <f>D18-1</f>
        <v>-0.2999909663795377</v>
      </c>
    </row>
    <row r="23" spans="1:12" x14ac:dyDescent="0.25">
      <c r="C23" t="s">
        <v>71</v>
      </c>
      <c r="D23" s="27">
        <f>-1000*D22</f>
        <v>299.99096637953772</v>
      </c>
    </row>
    <row r="25" spans="1:12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31" spans="1:12" ht="18" x14ac:dyDescent="0.35">
      <c r="A31" s="32" t="s">
        <v>75</v>
      </c>
      <c r="B31" s="33">
        <v>2</v>
      </c>
      <c r="D31" s="63" t="s">
        <v>76</v>
      </c>
      <c r="E31" s="63"/>
      <c r="F31" s="63"/>
      <c r="G31" s="63"/>
      <c r="H31" s="63"/>
      <c r="I31" s="63"/>
      <c r="J31" s="63"/>
      <c r="K31" s="63"/>
      <c r="L31" s="29" t="s">
        <v>77</v>
      </c>
    </row>
    <row r="32" spans="1:12" ht="18" x14ac:dyDescent="0.35">
      <c r="A32" s="32" t="s">
        <v>78</v>
      </c>
      <c r="B32" s="33">
        <v>3</v>
      </c>
      <c r="D32" t="s">
        <v>79</v>
      </c>
    </row>
    <row r="33" spans="1:12" ht="18" x14ac:dyDescent="0.35">
      <c r="A33" s="32" t="s">
        <v>80</v>
      </c>
      <c r="B33" s="33">
        <v>-1</v>
      </c>
      <c r="D33" s="30">
        <f>B33</f>
        <v>-1</v>
      </c>
      <c r="E33" s="30">
        <f>B35</f>
        <v>3</v>
      </c>
      <c r="F33" s="31" t="s">
        <v>81</v>
      </c>
      <c r="G33" s="64" t="s">
        <v>82</v>
      </c>
      <c r="H33" s="30">
        <f>-B31</f>
        <v>-2</v>
      </c>
      <c r="I33" s="30"/>
      <c r="J33" s="34">
        <f t="array" ref="J33:K34">MINVERSE(D33:E34)</f>
        <v>2</v>
      </c>
      <c r="K33" s="34">
        <v>3</v>
      </c>
      <c r="L33" s="29" t="s">
        <v>83</v>
      </c>
    </row>
    <row r="34" spans="1:12" ht="18" x14ac:dyDescent="0.35">
      <c r="A34" s="32" t="s">
        <v>84</v>
      </c>
      <c r="B34" s="33">
        <v>1</v>
      </c>
      <c r="D34" s="30">
        <f>B34</f>
        <v>1</v>
      </c>
      <c r="E34" s="30">
        <f>B36</f>
        <v>-2</v>
      </c>
      <c r="F34" s="31" t="s">
        <v>85</v>
      </c>
      <c r="G34" s="64"/>
      <c r="H34" s="30">
        <f>-B32</f>
        <v>-3</v>
      </c>
      <c r="I34" s="30"/>
      <c r="J34" s="34">
        <v>1</v>
      </c>
      <c r="K34" s="34">
        <v>1</v>
      </c>
    </row>
    <row r="35" spans="1:12" ht="18.75" x14ac:dyDescent="0.35">
      <c r="A35" s="32" t="s">
        <v>86</v>
      </c>
      <c r="B35" s="33">
        <v>3</v>
      </c>
      <c r="D35" s="65" t="s">
        <v>87</v>
      </c>
      <c r="E35" s="65"/>
      <c r="F35" s="30" t="s">
        <v>27</v>
      </c>
      <c r="G35" s="30" t="s">
        <v>82</v>
      </c>
      <c r="H35" s="30" t="s">
        <v>88</v>
      </c>
      <c r="I35" s="30"/>
      <c r="J35" s="65" t="s">
        <v>89</v>
      </c>
      <c r="K35" s="65"/>
    </row>
    <row r="36" spans="1:12" ht="18" x14ac:dyDescent="0.35">
      <c r="A36" s="32" t="s">
        <v>90</v>
      </c>
      <c r="B36" s="33">
        <v>-2</v>
      </c>
      <c r="D36" t="s">
        <v>91</v>
      </c>
    </row>
    <row r="37" spans="1:12" ht="17.25" x14ac:dyDescent="0.25">
      <c r="D37" t="s">
        <v>27</v>
      </c>
      <c r="E37" s="30" t="s">
        <v>82</v>
      </c>
      <c r="F37" t="s">
        <v>92</v>
      </c>
    </row>
    <row r="38" spans="1:12" x14ac:dyDescent="0.25">
      <c r="D38" t="s">
        <v>93</v>
      </c>
    </row>
    <row r="39" spans="1:12" ht="18" x14ac:dyDescent="0.35">
      <c r="D39" s="26" t="s">
        <v>96</v>
      </c>
      <c r="E39" s="64" t="s">
        <v>82</v>
      </c>
      <c r="F39">
        <f t="array" ref="F39:F40">MMULT(MINVERSE(D33:E34),H33:H34)</f>
        <v>-13</v>
      </c>
      <c r="G39" s="29" t="s">
        <v>83</v>
      </c>
    </row>
    <row r="40" spans="1:12" ht="18" x14ac:dyDescent="0.35">
      <c r="D40" s="26" t="s">
        <v>85</v>
      </c>
      <c r="E40" s="64"/>
      <c r="F40">
        <v>-5</v>
      </c>
    </row>
    <row r="42" spans="1:12" x14ac:dyDescent="0.25">
      <c r="D42" t="s">
        <v>94</v>
      </c>
    </row>
    <row r="43" spans="1:12" x14ac:dyDescent="0.25">
      <c r="E43">
        <f>B31+$F$9*B33+$F$10*B35</f>
        <v>2</v>
      </c>
    </row>
    <row r="44" spans="1:12" x14ac:dyDescent="0.25">
      <c r="E44">
        <f>B32+$F$9*B34+$F$10*B36</f>
        <v>3</v>
      </c>
    </row>
    <row r="45" spans="1:12" x14ac:dyDescent="0.25">
      <c r="D45" t="s">
        <v>95</v>
      </c>
    </row>
    <row r="47" spans="1:12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62" spans="1:18" x14ac:dyDescent="0.25">
      <c r="A62" s="18" t="s">
        <v>1</v>
      </c>
      <c r="B62" s="18">
        <v>0.13</v>
      </c>
      <c r="D62" s="35" t="s">
        <v>16</v>
      </c>
      <c r="E62" s="35" t="s">
        <v>6</v>
      </c>
      <c r="F62" s="35" t="s">
        <v>8</v>
      </c>
      <c r="G62" s="35" t="s">
        <v>97</v>
      </c>
      <c r="H62" s="35" t="s">
        <v>98</v>
      </c>
      <c r="I62" s="35" t="s">
        <v>99</v>
      </c>
      <c r="J62" s="35" t="s">
        <v>100</v>
      </c>
      <c r="K62" s="35" t="s">
        <v>101</v>
      </c>
      <c r="L62" s="35" t="s">
        <v>102</v>
      </c>
      <c r="M62" s="35" t="s">
        <v>103</v>
      </c>
      <c r="N62" s="35" t="s">
        <v>104</v>
      </c>
      <c r="O62" s="35" t="s">
        <v>105</v>
      </c>
      <c r="P62" s="35" t="s">
        <v>106</v>
      </c>
      <c r="Q62" s="35" t="s">
        <v>107</v>
      </c>
      <c r="R62" s="35" t="s">
        <v>108</v>
      </c>
    </row>
    <row r="63" spans="1:18" x14ac:dyDescent="0.25">
      <c r="A63" s="18" t="s">
        <v>22</v>
      </c>
      <c r="B63" s="18">
        <v>0.3004</v>
      </c>
      <c r="D63" s="18">
        <v>20</v>
      </c>
      <c r="E63" s="18">
        <v>-10.423820855087218</v>
      </c>
      <c r="F63" s="18">
        <v>-10.574020855087218</v>
      </c>
      <c r="G63" s="18">
        <v>9.6519405811809673E-26</v>
      </c>
      <c r="H63" s="18">
        <v>1.9663187848169627E-26</v>
      </c>
      <c r="I63" s="18">
        <v>1.0151974130288042E-24</v>
      </c>
      <c r="J63" s="18">
        <v>2.6947389008360671E-26</v>
      </c>
      <c r="K63" s="18">
        <v>76.802244983130606</v>
      </c>
      <c r="L63" s="18">
        <v>9.6519405811809673E-26</v>
      </c>
      <c r="M63" s="18">
        <v>-1</v>
      </c>
      <c r="N63" s="18">
        <v>3.3794853962343682E-25</v>
      </c>
      <c r="O63" s="18">
        <v>3.3794853962343682E-25</v>
      </c>
      <c r="P63" s="18">
        <v>4.7586018180695822E-25</v>
      </c>
      <c r="Q63" s="18">
        <v>-6.3467533520166741E-24</v>
      </c>
      <c r="R63" s="18">
        <v>1.0151974130288042E-23</v>
      </c>
    </row>
    <row r="64" spans="1:18" x14ac:dyDescent="0.25">
      <c r="A64" s="18" t="s">
        <v>64</v>
      </c>
      <c r="B64" s="18">
        <v>0.25</v>
      </c>
      <c r="D64" s="18">
        <v>40</v>
      </c>
      <c r="E64" s="18">
        <v>-5.8089927554870506</v>
      </c>
      <c r="F64" s="18">
        <v>-5.9591927554870505</v>
      </c>
      <c r="G64" s="18">
        <v>3.1424904292082629E-9</v>
      </c>
      <c r="H64" s="18">
        <v>1.2674348165955033E-9</v>
      </c>
      <c r="I64" s="18">
        <v>1.8767541975929123E-8</v>
      </c>
      <c r="J64" s="18">
        <v>3.0090815521034072E-9</v>
      </c>
      <c r="K64" s="18">
        <v>56.802244986139691</v>
      </c>
      <c r="L64" s="18">
        <v>3.1424904292082629E-9</v>
      </c>
      <c r="M64" s="18">
        <v>-0.99999999685750962</v>
      </c>
      <c r="N64" s="18">
        <v>3.1237586511200269E-9</v>
      </c>
      <c r="O64" s="18">
        <v>3.1237586511200269E-9</v>
      </c>
      <c r="P64" s="18">
        <v>3.0672633904056778E-8</v>
      </c>
      <c r="Q64" s="18">
        <v>-2.4146055401287389E-7</v>
      </c>
      <c r="R64" s="18">
        <v>3.7535083951858248E-7</v>
      </c>
    </row>
    <row r="65" spans="1:18" x14ac:dyDescent="0.25">
      <c r="A65" s="18" t="s">
        <v>27</v>
      </c>
      <c r="B65" s="18">
        <v>100</v>
      </c>
      <c r="D65" s="18">
        <v>60</v>
      </c>
      <c r="E65" s="18">
        <v>-3.1094913699466757</v>
      </c>
      <c r="F65" s="18">
        <v>-3.2596913699466756</v>
      </c>
      <c r="G65" s="18">
        <v>9.3704879648104703E-4</v>
      </c>
      <c r="H65" s="18">
        <v>5.5766754381408195E-4</v>
      </c>
      <c r="I65" s="18">
        <v>3.1719560748238143E-3</v>
      </c>
      <c r="J65" s="18">
        <v>2.239457593431339E-3</v>
      </c>
      <c r="K65" s="18">
        <v>36.804484440724039</v>
      </c>
      <c r="L65" s="18">
        <v>9.3704879648104703E-4</v>
      </c>
      <c r="M65" s="18">
        <v>-0.99906295120351896</v>
      </c>
      <c r="N65" s="18">
        <v>3.5197027017574501E-4</v>
      </c>
      <c r="O65" s="18">
        <v>3.5197027017574501E-4</v>
      </c>
      <c r="P65" s="18">
        <v>1.3495867548857871E-2</v>
      </c>
      <c r="Q65" s="18">
        <v>-6.4189187418030522E-2</v>
      </c>
      <c r="R65" s="18">
        <v>9.5158682244714424E-2</v>
      </c>
    </row>
    <row r="66" spans="1:18" x14ac:dyDescent="0.25">
      <c r="D66" s="18">
        <v>80</v>
      </c>
      <c r="E66" s="18">
        <v>-1.1941646558868821</v>
      </c>
      <c r="F66" s="18">
        <v>-1.3443646558868823</v>
      </c>
      <c r="G66" s="18">
        <v>0.11620678285214749</v>
      </c>
      <c r="H66" s="18">
        <v>8.941524858504947E-2</v>
      </c>
      <c r="I66" s="18">
        <v>0.19554726855540536</v>
      </c>
      <c r="J66" s="18">
        <v>0.64094582941431888</v>
      </c>
      <c r="K66" s="18">
        <v>17.443190812544927</v>
      </c>
      <c r="L66" s="18">
        <v>0.11620678285214749</v>
      </c>
      <c r="M66" s="18">
        <v>-0.88379321714785253</v>
      </c>
      <c r="N66" s="18">
        <v>1.6273907170057039E-2</v>
      </c>
      <c r="O66" s="18">
        <v>1.6273907170057039E-2</v>
      </c>
      <c r="P66" s="18">
        <v>2.1638991996893702</v>
      </c>
      <c r="Q66" s="18">
        <v>-5.8246195417619742</v>
      </c>
      <c r="R66" s="18">
        <v>7.8218907422162145</v>
      </c>
    </row>
    <row r="67" spans="1:18" x14ac:dyDescent="0.25">
      <c r="D67" s="18">
        <v>85</v>
      </c>
      <c r="E67" s="18">
        <v>-0.79053867841394765</v>
      </c>
      <c r="F67" s="18">
        <v>-0.94073867841394765</v>
      </c>
      <c r="G67" s="18">
        <v>0.21460662150282367</v>
      </c>
      <c r="H67" s="18">
        <v>0.1734193963046019</v>
      </c>
      <c r="I67" s="18">
        <v>0.29187949967310373</v>
      </c>
      <c r="J67" s="18">
        <v>1.4541759418353237</v>
      </c>
      <c r="K67" s="18">
        <v>13.256420924965937</v>
      </c>
      <c r="L67" s="18">
        <v>0.21460662150282367</v>
      </c>
      <c r="M67" s="18">
        <v>-0.78539337849717628</v>
      </c>
      <c r="N67" s="18">
        <v>2.2862027075515292E-2</v>
      </c>
      <c r="O67" s="18">
        <v>2.2862027075515292E-2</v>
      </c>
      <c r="P67" s="18">
        <v>4.196846721476172</v>
      </c>
      <c r="Q67" s="18">
        <v>-9.6352114398206403</v>
      </c>
      <c r="R67" s="18">
        <v>12.404878736106909</v>
      </c>
    </row>
    <row r="68" spans="1:18" x14ac:dyDescent="0.25">
      <c r="D68" s="18">
        <v>90</v>
      </c>
      <c r="E68" s="18">
        <v>-0.40998998440630013</v>
      </c>
      <c r="F68" s="18">
        <v>-0.56018998440630008</v>
      </c>
      <c r="G68" s="18">
        <v>0.34090664731597253</v>
      </c>
      <c r="H68" s="18">
        <v>0.28767492891434548</v>
      </c>
      <c r="I68" s="18">
        <v>0.36678316857183624</v>
      </c>
      <c r="J68" s="18">
        <v>2.8340193141663761</v>
      </c>
      <c r="K68" s="18">
        <v>9.6362642972969752</v>
      </c>
      <c r="L68" s="18">
        <v>0.34090664731597253</v>
      </c>
      <c r="M68" s="18">
        <v>-0.65909335268402747</v>
      </c>
      <c r="N68" s="18">
        <v>2.7132946336132283E-2</v>
      </c>
      <c r="O68" s="18">
        <v>2.7132946336132283E-2</v>
      </c>
      <c r="P68" s="18">
        <v>6.9618947360677881</v>
      </c>
      <c r="Q68" s="18">
        <v>-13.536535008263415</v>
      </c>
      <c r="R68" s="18">
        <v>16.505242585732631</v>
      </c>
    </row>
    <row r="69" spans="1:18" x14ac:dyDescent="0.25">
      <c r="D69" s="18">
        <v>95</v>
      </c>
      <c r="E69" s="18">
        <v>-5.0021800183425932E-2</v>
      </c>
      <c r="F69" s="18">
        <v>-0.20022180018342595</v>
      </c>
      <c r="G69" s="18">
        <v>0.48005250801595001</v>
      </c>
      <c r="H69" s="18">
        <v>0.4206535591440756</v>
      </c>
      <c r="I69" s="18">
        <v>0.39844347969280036</v>
      </c>
      <c r="J69" s="18">
        <v>4.8847793762246283</v>
      </c>
      <c r="K69" s="18">
        <v>6.6870243593552345</v>
      </c>
      <c r="L69" s="18">
        <v>0.48005250801595001</v>
      </c>
      <c r="M69" s="18">
        <v>-0.51994749198404999</v>
      </c>
      <c r="N69" s="18">
        <v>2.7923714324255403E-2</v>
      </c>
      <c r="O69" s="18">
        <v>2.7923714324255403E-2</v>
      </c>
      <c r="P69" s="18">
        <v>10.180052221322656</v>
      </c>
      <c r="Q69" s="18">
        <v>-16.664407178560921</v>
      </c>
      <c r="R69" s="18">
        <v>18.926065285408018</v>
      </c>
    </row>
    <row r="70" spans="1:18" x14ac:dyDescent="0.25">
      <c r="D70" s="18">
        <v>100</v>
      </c>
      <c r="E70" s="18">
        <v>0.29147816245006658</v>
      </c>
      <c r="F70" s="18">
        <v>0.14127816245006658</v>
      </c>
      <c r="G70" s="18">
        <v>0.61465717849711743</v>
      </c>
      <c r="H70" s="18">
        <v>0.55617489979439982</v>
      </c>
      <c r="I70" s="18">
        <v>0.38235021667574037</v>
      </c>
      <c r="J70" s="18">
        <v>7.626738946346137</v>
      </c>
      <c r="K70" s="18">
        <v>4.4289839294767432</v>
      </c>
      <c r="L70" s="18">
        <v>0.61465717849711743</v>
      </c>
      <c r="M70" s="18">
        <v>-0.38534282150288257</v>
      </c>
      <c r="N70" s="18">
        <v>2.5456073014363541E-2</v>
      </c>
      <c r="O70" s="18">
        <v>2.5456073014363541E-2</v>
      </c>
      <c r="P70" s="18">
        <v>13.459744725841402</v>
      </c>
      <c r="Q70" s="18">
        <v>-18.48486776637677</v>
      </c>
      <c r="R70" s="18">
        <v>19.117510833787019</v>
      </c>
    </row>
    <row r="71" spans="1:18" x14ac:dyDescent="0.25">
      <c r="D71" s="18">
        <v>105</v>
      </c>
      <c r="E71" s="18">
        <v>0.61631281071526001</v>
      </c>
      <c r="F71" s="18">
        <v>0.46611281071526001</v>
      </c>
      <c r="G71" s="18">
        <v>0.73115595728875193</v>
      </c>
      <c r="H71" s="18">
        <v>0.67943262301621243</v>
      </c>
      <c r="I71" s="18">
        <v>0.32993511220732108</v>
      </c>
      <c r="J71" s="18">
        <v>11.000772292572535</v>
      </c>
      <c r="K71" s="18">
        <v>2.8030172757031409</v>
      </c>
      <c r="L71" s="18">
        <v>0.73115595728875193</v>
      </c>
      <c r="M71" s="18">
        <v>-0.26884404271124807</v>
      </c>
      <c r="N71" s="18">
        <v>2.0920367269502319E-2</v>
      </c>
      <c r="O71" s="18">
        <v>2.0920367269502319E-2</v>
      </c>
      <c r="P71" s="18">
        <v>16.442650805686604</v>
      </c>
      <c r="Q71" s="18">
        <v>-18.956991728200357</v>
      </c>
      <c r="R71" s="18">
        <v>17.321593390884356</v>
      </c>
    </row>
    <row r="72" spans="1:18" x14ac:dyDescent="0.25">
      <c r="D72" s="18">
        <v>110</v>
      </c>
      <c r="E72" s="18">
        <v>0.92603328764530579</v>
      </c>
      <c r="F72" s="18">
        <v>0.77583328764530579</v>
      </c>
      <c r="G72" s="18">
        <v>0.82278565931329961</v>
      </c>
      <c r="H72" s="18">
        <v>0.78107628667302453</v>
      </c>
      <c r="I72" s="18">
        <v>0.25983528755605712</v>
      </c>
      <c r="J72" s="18">
        <v>14.896484471426888</v>
      </c>
      <c r="K72" s="18">
        <v>1.698729454557494</v>
      </c>
      <c r="L72" s="18">
        <v>0.82278565931329961</v>
      </c>
      <c r="M72" s="18">
        <v>-0.17721434068670039</v>
      </c>
      <c r="N72" s="18">
        <v>1.5726624352745258E-2</v>
      </c>
      <c r="O72" s="18">
        <v>1.5726624352745258E-2</v>
      </c>
      <c r="P72" s="18">
        <v>18.902484513259019</v>
      </c>
      <c r="Q72" s="18">
        <v>-18.415289188897042</v>
      </c>
      <c r="R72" s="18">
        <v>14.290940815583141</v>
      </c>
    </row>
    <row r="73" spans="1:18" x14ac:dyDescent="0.25">
      <c r="D73" s="18">
        <v>115</v>
      </c>
      <c r="E73" s="18">
        <v>1.2219837708066488</v>
      </c>
      <c r="F73" s="18">
        <v>1.0717837708066487</v>
      </c>
      <c r="G73" s="18">
        <v>0.8891431178464676</v>
      </c>
      <c r="H73" s="18">
        <v>0.8580914179015946</v>
      </c>
      <c r="I73" s="18">
        <v>0.18908460827515633</v>
      </c>
      <c r="J73" s="18">
        <v>19.18628289871171</v>
      </c>
      <c r="K73" s="18">
        <v>0.98852788184231599</v>
      </c>
      <c r="L73" s="18">
        <v>0.8891431178464676</v>
      </c>
      <c r="M73" s="18">
        <v>-0.1108568821535324</v>
      </c>
      <c r="N73" s="18">
        <v>1.0946830792286014E-2</v>
      </c>
      <c r="O73" s="18">
        <v>1.0946830792286014E-2</v>
      </c>
      <c r="P73" s="18">
        <v>20.766293913408017</v>
      </c>
      <c r="Q73" s="18">
        <v>-17.330589712445718</v>
      </c>
      <c r="R73" s="18">
        <v>10.872364975821489</v>
      </c>
    </row>
    <row r="74" spans="1:18" x14ac:dyDescent="0.25">
      <c r="D74" s="18">
        <v>120</v>
      </c>
      <c r="E74" s="18">
        <v>1.5053367296534927</v>
      </c>
      <c r="F74" s="18">
        <v>1.3551367296534926</v>
      </c>
      <c r="G74" s="18">
        <v>0.933881236668474</v>
      </c>
      <c r="H74" s="18">
        <v>0.91231300082901656</v>
      </c>
      <c r="I74" s="18">
        <v>0.12848310421156908</v>
      </c>
      <c r="J74" s="18">
        <v>23.751801792671372</v>
      </c>
      <c r="K74" s="18">
        <v>0.5540467758019787</v>
      </c>
      <c r="L74" s="18">
        <v>0.933881236668474</v>
      </c>
      <c r="M74" s="18">
        <v>-6.6118763331525998E-2</v>
      </c>
      <c r="N74" s="18">
        <v>7.1284456397896732E-3</v>
      </c>
      <c r="O74" s="18">
        <v>7.1284456397896732E-3</v>
      </c>
      <c r="P74" s="18">
        <v>22.078486651886376</v>
      </c>
      <c r="Q74" s="18">
        <v>-16.112371999599556</v>
      </c>
      <c r="R74" s="18">
        <v>7.7089862526941451</v>
      </c>
    </row>
    <row r="75" spans="1:18" x14ac:dyDescent="0.25">
      <c r="D75" s="18">
        <v>140</v>
      </c>
      <c r="E75" s="18">
        <v>2.5316395247750525</v>
      </c>
      <c r="F75" s="18">
        <v>2.3814395247750526</v>
      </c>
      <c r="G75" s="18">
        <v>0.99432346803453853</v>
      </c>
      <c r="H75" s="18">
        <v>0.99137743895661967</v>
      </c>
      <c r="I75" s="18">
        <v>1.618714492486718E-2</v>
      </c>
      <c r="J75" s="18">
        <v>43.237723808208102</v>
      </c>
      <c r="K75" s="18">
        <v>3.9968791338708343E-2</v>
      </c>
      <c r="L75" s="18">
        <v>0.99432346803453853</v>
      </c>
      <c r="M75" s="18">
        <v>-5.6765319654614732E-3</v>
      </c>
      <c r="N75" s="18">
        <v>7.6979003827597398E-4</v>
      </c>
      <c r="O75" s="18">
        <v>7.6979003827597398E-4</v>
      </c>
      <c r="P75" s="18">
        <v>23.991890429156825</v>
      </c>
      <c r="Q75" s="18">
        <v>-13.156549590121763</v>
      </c>
      <c r="R75" s="18">
        <v>1.1331001447407025</v>
      </c>
    </row>
    <row r="76" spans="1:18" x14ac:dyDescent="0.25">
      <c r="D76" s="18">
        <v>160</v>
      </c>
      <c r="E76" s="18">
        <v>3.4206634437132863</v>
      </c>
      <c r="F76" s="18">
        <v>3.2704634437132865</v>
      </c>
      <c r="G76" s="18">
        <v>0.99968765706843776</v>
      </c>
      <c r="H76" s="18">
        <v>0.99946314290568539</v>
      </c>
      <c r="I76" s="18">
        <v>1.1483745964493261E-3</v>
      </c>
      <c r="J76" s="18">
        <v>63.199749119784215</v>
      </c>
      <c r="K76" s="18">
        <v>1.9941029148213829E-3</v>
      </c>
      <c r="L76" s="18">
        <v>0.99968765706843776</v>
      </c>
      <c r="M76" s="18">
        <v>-3.1234293156223725E-4</v>
      </c>
      <c r="N76" s="18">
        <v>4.7785227881546523E-5</v>
      </c>
      <c r="O76" s="18">
        <v>4.7785227881546523E-5</v>
      </c>
      <c r="P76" s="18">
        <v>24.187569002791459</v>
      </c>
      <c r="Q76" s="18">
        <v>-12.632731358055299</v>
      </c>
      <c r="R76" s="18">
        <v>9.1869967715946091E-2</v>
      </c>
    </row>
    <row r="77" spans="1:18" x14ac:dyDescent="0.25">
      <c r="D77" s="18">
        <v>180</v>
      </c>
      <c r="E77" s="18">
        <v>4.2048381151938692</v>
      </c>
      <c r="F77" s="18">
        <v>4.0546381151938693</v>
      </c>
      <c r="G77" s="18">
        <v>0.9999869365453925</v>
      </c>
      <c r="H77" s="18">
        <v>0.99997489401197215</v>
      </c>
      <c r="I77" s="18">
        <v>5.7756750668681668E-5</v>
      </c>
      <c r="J77" s="18">
        <v>83.197833911043645</v>
      </c>
      <c r="K77" s="18">
        <v>7.8894174251331606E-5</v>
      </c>
      <c r="L77" s="18">
        <v>0.9999869365453925</v>
      </c>
      <c r="M77" s="18">
        <v>-1.3063454607498137E-5</v>
      </c>
      <c r="N77" s="18">
        <v>2.1362905262864944E-6</v>
      </c>
      <c r="O77" s="18">
        <v>2.1362905262864944E-6</v>
      </c>
      <c r="P77" s="18">
        <v>24.199953666781749</v>
      </c>
      <c r="Q77" s="18">
        <v>-12.587098929748667</v>
      </c>
      <c r="R77" s="18">
        <v>5.1981075601813505E-3</v>
      </c>
    </row>
    <row r="78" spans="1:18" x14ac:dyDescent="0.25">
      <c r="D78" s="18">
        <v>200</v>
      </c>
      <c r="E78" s="18">
        <v>4.9063062620502356</v>
      </c>
      <c r="F78" s="18">
        <v>4.7561062620502357</v>
      </c>
      <c r="G78" s="18">
        <v>0.99999953596214086</v>
      </c>
      <c r="H78" s="18">
        <v>0.99999901318694584</v>
      </c>
      <c r="I78" s="18">
        <v>2.3647006910587215E-6</v>
      </c>
      <c r="J78" s="18">
        <v>103.19775773501658</v>
      </c>
      <c r="K78" s="18">
        <v>2.7181471864423656E-6</v>
      </c>
      <c r="L78" s="18">
        <v>0.99999953596214086</v>
      </c>
      <c r="M78" s="18">
        <v>-4.6403785913806672E-7</v>
      </c>
      <c r="N78" s="18">
        <v>7.8718398503952117E-8</v>
      </c>
      <c r="O78" s="18">
        <v>7.8718398503952117E-8</v>
      </c>
      <c r="P78" s="18">
        <v>24.200537364352897</v>
      </c>
      <c r="Q78" s="18">
        <v>-12.584421500681024</v>
      </c>
      <c r="R78" s="18">
        <v>2.3647006910587214E-4</v>
      </c>
    </row>
  </sheetData>
  <mergeCells count="5">
    <mergeCell ref="D31:K31"/>
    <mergeCell ref="G33:G34"/>
    <mergeCell ref="D35:E35"/>
    <mergeCell ref="J35:K35"/>
    <mergeCell ref="E39:E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1CC9-D4D3-4BF4-8E44-950035D48313}">
  <dimension ref="A15:N99"/>
  <sheetViews>
    <sheetView showGridLines="0" workbookViewId="0">
      <selection activeCell="Q39" sqref="Q39"/>
    </sheetView>
  </sheetViews>
  <sheetFormatPr defaultRowHeight="15" x14ac:dyDescent="0.25"/>
  <cols>
    <col min="3" max="3" width="14.42578125" customWidth="1"/>
    <col min="4" max="4" width="38.42578125" customWidth="1"/>
    <col min="5" max="6" width="11.85546875" customWidth="1"/>
    <col min="7" max="7" width="11.5703125" customWidth="1"/>
    <col min="8" max="8" width="11.85546875" customWidth="1"/>
    <col min="13" max="13" width="24.28515625" customWidth="1"/>
    <col min="14" max="14" width="13.140625" customWidth="1"/>
  </cols>
  <sheetData>
    <row r="15" spans="2:4" ht="18" x14ac:dyDescent="0.35">
      <c r="B15" s="36" t="s">
        <v>109</v>
      </c>
      <c r="C15" s="37">
        <v>2000000</v>
      </c>
      <c r="D15" s="38"/>
    </row>
    <row r="16" spans="2:4" x14ac:dyDescent="0.25">
      <c r="B16" s="36" t="s">
        <v>7</v>
      </c>
      <c r="C16" s="37">
        <v>2350000</v>
      </c>
      <c r="D16" s="38"/>
    </row>
    <row r="17" spans="1:8" x14ac:dyDescent="0.25">
      <c r="B17" s="36" t="s">
        <v>2</v>
      </c>
      <c r="C17" s="39">
        <v>3.5</v>
      </c>
      <c r="D17" s="40"/>
    </row>
    <row r="18" spans="1:8" x14ac:dyDescent="0.25">
      <c r="B18" s="36" t="s">
        <v>10</v>
      </c>
      <c r="C18" s="39">
        <v>0.09</v>
      </c>
      <c r="D18" s="40"/>
    </row>
    <row r="19" spans="1:8" x14ac:dyDescent="0.25">
      <c r="B19" s="36" t="s">
        <v>0</v>
      </c>
      <c r="C19" s="39">
        <v>0.03</v>
      </c>
      <c r="D19" s="40"/>
    </row>
    <row r="20" spans="1:8" x14ac:dyDescent="0.25">
      <c r="B20" s="36" t="s">
        <v>1</v>
      </c>
      <c r="C20" s="39">
        <v>0.05</v>
      </c>
      <c r="D20" s="40"/>
    </row>
    <row r="21" spans="1:8" ht="17.25" x14ac:dyDescent="0.25">
      <c r="A21" s="30" t="s">
        <v>18</v>
      </c>
      <c r="B21" s="36" t="s">
        <v>110</v>
      </c>
      <c r="C21" s="37">
        <f t="shared" ref="C21" si="0">C15-C24</f>
        <v>1940567.9932237968</v>
      </c>
      <c r="D21" s="38" t="s">
        <v>111</v>
      </c>
    </row>
    <row r="22" spans="1:8" ht="17.25" x14ac:dyDescent="0.25">
      <c r="B22" s="36" t="s">
        <v>118</v>
      </c>
      <c r="C22" s="39">
        <f t="shared" ref="C22" si="1">LN(C16/C21)/(C17)</f>
        <v>5.4695605120076644E-2</v>
      </c>
      <c r="D22" s="40" t="s">
        <v>142</v>
      </c>
    </row>
    <row r="23" spans="1:8" x14ac:dyDescent="0.25">
      <c r="A23" s="30" t="s">
        <v>31</v>
      </c>
      <c r="B23" s="36" t="s">
        <v>11</v>
      </c>
      <c r="C23" s="41">
        <f t="shared" ref="C23" si="2">C22-C20</f>
        <v>4.6956051200766416E-3</v>
      </c>
      <c r="D23" s="40" t="s">
        <v>113</v>
      </c>
    </row>
    <row r="24" spans="1:8" ht="18" x14ac:dyDescent="0.35">
      <c r="A24" s="30" t="s">
        <v>140</v>
      </c>
      <c r="B24" s="36" t="s">
        <v>119</v>
      </c>
      <c r="C24" s="37">
        <f t="shared" ref="C24" si="3">C15*C28-C16*EXP(-C20*C17)*C29</f>
        <v>59432.006776203169</v>
      </c>
      <c r="D24" s="38" t="s">
        <v>114</v>
      </c>
    </row>
    <row r="25" spans="1:8" x14ac:dyDescent="0.25">
      <c r="A25" s="30" t="s">
        <v>141</v>
      </c>
      <c r="B25" s="36" t="s">
        <v>115</v>
      </c>
      <c r="C25" s="41">
        <f t="shared" ref="C25" si="4">_xlfn.NORM.S.DIST(C30,TRUE)</f>
        <v>3.3536069368844692E-3</v>
      </c>
      <c r="D25" s="40" t="s">
        <v>116</v>
      </c>
    </row>
    <row r="26" spans="1:8" x14ac:dyDescent="0.25">
      <c r="B26" s="36" t="s">
        <v>6</v>
      </c>
      <c r="C26" s="39">
        <f t="shared" ref="C26" si="5">((C20+0.5*(C19)^2)*C17+LN(C15/C16))/(C19*SQRT(C17))</f>
        <v>0.27272855888203634</v>
      </c>
      <c r="D26" s="40"/>
    </row>
    <row r="27" spans="1:8" x14ac:dyDescent="0.25">
      <c r="B27" s="36" t="s">
        <v>8</v>
      </c>
      <c r="C27" s="39">
        <f t="shared" ref="C27" si="6">C26-C19*SQRT(C17)</f>
        <v>0.21660369808042723</v>
      </c>
      <c r="D27" s="40"/>
    </row>
    <row r="28" spans="1:8" x14ac:dyDescent="0.25">
      <c r="B28" s="36" t="s">
        <v>65</v>
      </c>
      <c r="C28" s="39">
        <f t="shared" ref="C28:C29" si="7">_xlfn.NORM.S.DIST(C26,TRUE)</f>
        <v>0.6074690600958379</v>
      </c>
      <c r="D28" s="40"/>
    </row>
    <row r="29" spans="1:8" x14ac:dyDescent="0.25">
      <c r="B29" s="36" t="s">
        <v>66</v>
      </c>
      <c r="C29" s="39">
        <f t="shared" si="7"/>
        <v>0.58574139824622651</v>
      </c>
      <c r="D29" s="40"/>
    </row>
    <row r="30" spans="1:8" x14ac:dyDescent="0.25">
      <c r="B30" s="36" t="s">
        <v>117</v>
      </c>
      <c r="C30" s="39">
        <f t="shared" ref="C30" si="8">(LN(C16/C15)-(C18-0.5*(C19^2))*C17)/(C19*SQRT(C17))</f>
        <v>-2.7110419559297196</v>
      </c>
      <c r="D30" s="40"/>
    </row>
    <row r="32" spans="1:8" x14ac:dyDescent="0.25">
      <c r="A32" s="28"/>
      <c r="B32" s="28"/>
      <c r="C32" s="28"/>
      <c r="D32" s="28"/>
      <c r="E32" s="28"/>
      <c r="F32" s="28"/>
      <c r="G32" s="28"/>
      <c r="H32" s="28"/>
    </row>
    <row r="44" spans="13:14" x14ac:dyDescent="0.25">
      <c r="M44" s="22" t="s">
        <v>149</v>
      </c>
    </row>
    <row r="45" spans="13:14" x14ac:dyDescent="0.25">
      <c r="M45" s="47" t="s">
        <v>150</v>
      </c>
      <c r="N45" s="47"/>
    </row>
    <row r="46" spans="13:14" x14ac:dyDescent="0.25">
      <c r="M46" t="s">
        <v>151</v>
      </c>
      <c r="N46" s="48">
        <v>1000000</v>
      </c>
    </row>
    <row r="47" spans="13:14" x14ac:dyDescent="0.25">
      <c r="M47" t="s">
        <v>152</v>
      </c>
      <c r="N47" s="48">
        <v>500000</v>
      </c>
    </row>
    <row r="48" spans="13:14" x14ac:dyDescent="0.25">
      <c r="M48" t="s">
        <v>153</v>
      </c>
      <c r="N48" s="48">
        <v>1</v>
      </c>
    </row>
    <row r="49" spans="1:14" x14ac:dyDescent="0.25">
      <c r="M49" t="s">
        <v>154</v>
      </c>
      <c r="N49" s="49">
        <v>0.05</v>
      </c>
    </row>
    <row r="50" spans="1:14" x14ac:dyDescent="0.25">
      <c r="M50" s="50" t="s">
        <v>155</v>
      </c>
      <c r="N50" s="49">
        <v>0.2</v>
      </c>
    </row>
    <row r="52" spans="1:14" x14ac:dyDescent="0.25">
      <c r="M52" s="47" t="s">
        <v>156</v>
      </c>
    </row>
    <row r="53" spans="1:14" x14ac:dyDescent="0.25">
      <c r="M53" t="s">
        <v>157</v>
      </c>
      <c r="N53" s="51">
        <f>++N47*EXP(-N49*N48)</f>
        <v>475614.71225035703</v>
      </c>
    </row>
    <row r="54" spans="1:14" x14ac:dyDescent="0.25">
      <c r="M54" s="50" t="s">
        <v>158</v>
      </c>
      <c r="N54" s="27">
        <f>+N50*N48^0.5</f>
        <v>0.2</v>
      </c>
    </row>
    <row r="55" spans="1:14" x14ac:dyDescent="0.25">
      <c r="B55" s="36"/>
      <c r="C55" s="36">
        <v>1</v>
      </c>
      <c r="D55" s="36">
        <v>2</v>
      </c>
      <c r="E55" s="36">
        <v>3</v>
      </c>
      <c r="F55" s="36">
        <v>4</v>
      </c>
      <c r="G55" s="36">
        <v>5</v>
      </c>
      <c r="H55" s="36">
        <v>6</v>
      </c>
      <c r="M55" t="s">
        <v>6</v>
      </c>
      <c r="N55" s="27">
        <f>++(LN(N46/N47)+(N49+N50*N50/2)*N48)/(N50*N48^0.5)</f>
        <v>3.8157359027997262</v>
      </c>
    </row>
    <row r="56" spans="1:14" ht="18" x14ac:dyDescent="0.35">
      <c r="A56" s="30"/>
      <c r="B56" s="36" t="s">
        <v>109</v>
      </c>
      <c r="C56" s="37">
        <v>1000000</v>
      </c>
      <c r="D56" s="37">
        <v>1000000</v>
      </c>
      <c r="E56" s="37">
        <v>1000000</v>
      </c>
      <c r="F56" s="45">
        <v>1000000</v>
      </c>
      <c r="G56" s="37">
        <v>1000000</v>
      </c>
      <c r="H56" s="37">
        <v>1000000</v>
      </c>
      <c r="M56" t="s">
        <v>8</v>
      </c>
      <c r="N56" s="27">
        <f>+N55-N54</f>
        <v>3.615735902799726</v>
      </c>
    </row>
    <row r="57" spans="1:14" x14ac:dyDescent="0.25">
      <c r="A57" s="30"/>
      <c r="B57" s="36" t="s">
        <v>7</v>
      </c>
      <c r="C57" s="37">
        <v>500000</v>
      </c>
      <c r="D57" s="37">
        <v>500000</v>
      </c>
      <c r="E57" s="37">
        <v>500000</v>
      </c>
      <c r="F57" s="45">
        <v>500000</v>
      </c>
      <c r="G57" s="37">
        <v>500000</v>
      </c>
      <c r="H57" s="37">
        <v>500000</v>
      </c>
      <c r="M57" s="50" t="s">
        <v>159</v>
      </c>
      <c r="N57" s="27">
        <f>_xlfn.NORM.DIST(N55,0,1,TRUE)</f>
        <v>0.99993211116670055</v>
      </c>
    </row>
    <row r="58" spans="1:14" x14ac:dyDescent="0.25">
      <c r="A58" s="30"/>
      <c r="B58" s="36" t="s">
        <v>2</v>
      </c>
      <c r="C58" s="39">
        <v>1</v>
      </c>
      <c r="D58" s="39">
        <v>1</v>
      </c>
      <c r="E58" s="39">
        <v>1</v>
      </c>
      <c r="F58" s="46">
        <v>1</v>
      </c>
      <c r="G58" s="39">
        <v>1</v>
      </c>
      <c r="H58" s="39">
        <v>1</v>
      </c>
      <c r="M58" s="50" t="s">
        <v>160</v>
      </c>
      <c r="N58" s="27">
        <f>_xlfn.NORM.DIST(N56,0,1,TRUE)</f>
        <v>0.99985025220322132</v>
      </c>
    </row>
    <row r="59" spans="1:14" x14ac:dyDescent="0.25">
      <c r="A59" s="30"/>
      <c r="B59" s="36" t="s">
        <v>10</v>
      </c>
      <c r="C59" s="39">
        <v>0.08</v>
      </c>
      <c r="D59" s="39">
        <v>0.08</v>
      </c>
      <c r="E59" s="39">
        <v>0.08</v>
      </c>
      <c r="F59" s="46">
        <v>0.08</v>
      </c>
      <c r="G59" s="39">
        <v>7.0000000000000007E-2</v>
      </c>
      <c r="H59" s="39">
        <v>0.06</v>
      </c>
    </row>
    <row r="60" spans="1:14" x14ac:dyDescent="0.25">
      <c r="A60" s="30"/>
      <c r="B60" s="36" t="s">
        <v>0</v>
      </c>
      <c r="C60" s="39">
        <v>0.2</v>
      </c>
      <c r="D60" s="39">
        <v>0.3</v>
      </c>
      <c r="E60" s="39">
        <v>0.4</v>
      </c>
      <c r="F60" s="46">
        <v>0.5</v>
      </c>
      <c r="G60" s="39">
        <v>0.5</v>
      </c>
      <c r="H60" s="39">
        <v>0.5</v>
      </c>
      <c r="M60" s="22" t="s">
        <v>161</v>
      </c>
    </row>
    <row r="61" spans="1:14" x14ac:dyDescent="0.25">
      <c r="A61" s="30"/>
      <c r="B61" s="36" t="s">
        <v>1</v>
      </c>
      <c r="C61" s="39">
        <v>0.05</v>
      </c>
      <c r="D61" s="39">
        <v>0.05</v>
      </c>
      <c r="E61" s="39">
        <v>0.05</v>
      </c>
      <c r="F61" s="46">
        <v>0.05</v>
      </c>
      <c r="G61" s="39">
        <v>0.05</v>
      </c>
      <c r="H61" s="39">
        <v>0.05</v>
      </c>
      <c r="M61" s="50" t="s">
        <v>162</v>
      </c>
      <c r="N61" s="52">
        <f>(N57-1)*N46-N58*N53+N53</f>
        <v>3.3334219755488448</v>
      </c>
    </row>
    <row r="62" spans="1:14" ht="17.25" x14ac:dyDescent="0.25">
      <c r="A62" s="30">
        <v>6</v>
      </c>
      <c r="B62" s="36" t="s">
        <v>110</v>
      </c>
      <c r="C62" s="37">
        <f t="shared" ref="C62:E62" si="9">C56-C65</f>
        <v>475611.37882838142</v>
      </c>
      <c r="D62" s="37">
        <f t="shared" si="9"/>
        <v>475173.89196210308</v>
      </c>
      <c r="E62" s="37">
        <f t="shared" si="9"/>
        <v>472266.96940054547</v>
      </c>
      <c r="F62" s="45">
        <f>F56-F65</f>
        <v>465421.18888093042</v>
      </c>
      <c r="G62" s="37">
        <f t="shared" ref="G62:H62" si="10">G56-G65</f>
        <v>465421.18888093042</v>
      </c>
      <c r="H62" s="37">
        <f t="shared" si="10"/>
        <v>465421.18888093042</v>
      </c>
      <c r="I62" s="42" t="s">
        <v>144</v>
      </c>
      <c r="M62" s="50" t="s">
        <v>163</v>
      </c>
      <c r="N62" s="52">
        <f>N57*N46-N58*N53</f>
        <v>524388.62117161858</v>
      </c>
    </row>
    <row r="63" spans="1:14" x14ac:dyDescent="0.25">
      <c r="A63" s="30">
        <v>7</v>
      </c>
      <c r="B63" s="36" t="s">
        <v>112</v>
      </c>
      <c r="C63" s="39">
        <f t="shared" ref="C63:E63" si="11">LN(C57/C62)/(C58)</f>
        <v>5.0007008684910682E-2</v>
      </c>
      <c r="D63" s="39">
        <f t="shared" si="11"/>
        <v>5.0927273040267798E-2</v>
      </c>
      <c r="E63" s="39">
        <f t="shared" si="11"/>
        <v>5.7063659598706608E-2</v>
      </c>
      <c r="F63" s="46">
        <f>LN(F57/F62)/(F58)</f>
        <v>7.166532026865878E-2</v>
      </c>
      <c r="G63" s="39">
        <f t="shared" ref="G63:H63" si="12">LN(G57/G62)/(G58)</f>
        <v>7.166532026865878E-2</v>
      </c>
      <c r="H63" s="39">
        <f t="shared" si="12"/>
        <v>7.166532026865878E-2</v>
      </c>
      <c r="I63" s="42" t="s">
        <v>145</v>
      </c>
    </row>
    <row r="64" spans="1:14" x14ac:dyDescent="0.25">
      <c r="A64" s="30">
        <v>8</v>
      </c>
      <c r="B64" s="36" t="s">
        <v>11</v>
      </c>
      <c r="C64" s="39">
        <f t="shared" ref="C64:E64" si="13">C63-C61</f>
        <v>7.0086849106795746E-6</v>
      </c>
      <c r="D64" s="39">
        <f t="shared" si="13"/>
        <v>9.2727304026779533E-4</v>
      </c>
      <c r="E64" s="39">
        <f t="shared" si="13"/>
        <v>7.063659598706605E-3</v>
      </c>
      <c r="F64" s="46">
        <f>F63-F61</f>
        <v>2.1665320268658778E-2</v>
      </c>
      <c r="G64" s="39">
        <f t="shared" ref="G64:H64" si="14">G63-G61</f>
        <v>2.1665320268658778E-2</v>
      </c>
      <c r="H64" s="39">
        <f t="shared" si="14"/>
        <v>2.1665320268658778E-2</v>
      </c>
      <c r="I64" s="42"/>
    </row>
    <row r="65" spans="1:9" x14ac:dyDescent="0.25">
      <c r="A65" s="30">
        <v>5</v>
      </c>
      <c r="B65" s="36" t="s">
        <v>9</v>
      </c>
      <c r="C65" s="37">
        <f t="shared" ref="C65:E65" si="15">C56*C69-C57*EXP(-C61*C58)*C70</f>
        <v>524388.62117161858</v>
      </c>
      <c r="D65" s="37">
        <f t="shared" si="15"/>
        <v>524826.10803789692</v>
      </c>
      <c r="E65" s="37">
        <f t="shared" si="15"/>
        <v>527733.03059945453</v>
      </c>
      <c r="F65" s="45">
        <f>F56*F69-F57*EXP(-F61*F58)*F70</f>
        <v>534578.81111906958</v>
      </c>
      <c r="G65" s="37">
        <f t="shared" ref="G65:H65" si="16">G56*G69-G57*EXP(-G61*G58)*G70</f>
        <v>534578.81111906958</v>
      </c>
      <c r="H65" s="37">
        <f t="shared" si="16"/>
        <v>534578.81111906958</v>
      </c>
      <c r="I65" s="42" t="s">
        <v>143</v>
      </c>
    </row>
    <row r="66" spans="1:9" x14ac:dyDescent="0.25">
      <c r="A66" s="30"/>
      <c r="B66" s="36" t="s">
        <v>115</v>
      </c>
      <c r="C66" s="39">
        <f t="shared" ref="C66:E66" si="17">_xlfn.NORM.S.DIST(C71,TRUE)</f>
        <v>8.3029624650569721E-5</v>
      </c>
      <c r="D66" s="39">
        <f t="shared" si="17"/>
        <v>7.6088287904554691E-3</v>
      </c>
      <c r="E66" s="39">
        <f t="shared" si="17"/>
        <v>4.1559570870408472E-2</v>
      </c>
      <c r="F66" s="46">
        <f>_xlfn.NORM.S.DIST(F71,TRUE)</f>
        <v>9.7437045278635212E-2</v>
      </c>
      <c r="G66" s="39">
        <f t="shared" ref="G66:H66" si="18">_xlfn.NORM.S.DIST(G71,TRUE)</f>
        <v>0.10092574138333295</v>
      </c>
      <c r="H66" s="39">
        <f t="shared" si="18"/>
        <v>0.1045046328053931</v>
      </c>
      <c r="I66" s="42" t="s">
        <v>146</v>
      </c>
    </row>
    <row r="67" spans="1:9" x14ac:dyDescent="0.25">
      <c r="A67" s="30">
        <v>1</v>
      </c>
      <c r="B67" s="36" t="s">
        <v>6</v>
      </c>
      <c r="C67" s="39">
        <f t="shared" ref="C67:E67" si="19">((C61+0.5*(C60)^2)*C58+LN(C56/C57))/(C60*SQRT(C58))</f>
        <v>3.8157359027997262</v>
      </c>
      <c r="D67" s="39">
        <f t="shared" si="19"/>
        <v>2.6271572685331508</v>
      </c>
      <c r="E67" s="39">
        <f t="shared" si="19"/>
        <v>2.0578679513998632</v>
      </c>
      <c r="F67" s="46">
        <f>((F61+0.5*(F60)^2)*F58+LN(F56/F57))/(F60*SQRT(F58))</f>
        <v>1.7362943611198904</v>
      </c>
      <c r="G67" s="39">
        <f t="shared" ref="G67:H67" si="20">((G61+0.5*(G60)^2)*G58+LN(G56/G57))/(G60*SQRT(G58))</f>
        <v>1.7362943611198904</v>
      </c>
      <c r="H67" s="39">
        <f t="shared" si="20"/>
        <v>1.7362943611198904</v>
      </c>
      <c r="I67" s="42" t="s">
        <v>147</v>
      </c>
    </row>
    <row r="68" spans="1:9" x14ac:dyDescent="0.25">
      <c r="A68" s="30">
        <v>2</v>
      </c>
      <c r="B68" s="36" t="s">
        <v>8</v>
      </c>
      <c r="C68" s="39">
        <f t="shared" ref="C68:E68" si="21">C67-C60*SQRT(C58)</f>
        <v>3.615735902799726</v>
      </c>
      <c r="D68" s="39">
        <f t="shared" si="21"/>
        <v>2.327157268533151</v>
      </c>
      <c r="E68" s="39">
        <f t="shared" si="21"/>
        <v>1.6578679513998633</v>
      </c>
      <c r="F68" s="46">
        <f>F67-F60*SQRT(F58)</f>
        <v>1.2362943611198904</v>
      </c>
      <c r="G68" s="39">
        <f t="shared" ref="G68:H68" si="22">G67-G60*SQRT(G58)</f>
        <v>1.2362943611198904</v>
      </c>
      <c r="H68" s="39">
        <f t="shared" si="22"/>
        <v>1.2362943611198904</v>
      </c>
    </row>
    <row r="69" spans="1:9" x14ac:dyDescent="0.25">
      <c r="A69" s="30">
        <v>3</v>
      </c>
      <c r="B69" s="36" t="s">
        <v>65</v>
      </c>
      <c r="C69" s="39">
        <f t="shared" ref="C69:E70" si="23">_xlfn.NORM.S.DIST(C67,TRUE)</f>
        <v>0.99993211116670055</v>
      </c>
      <c r="D69" s="39">
        <f t="shared" si="23"/>
        <v>0.99569492351799671</v>
      </c>
      <c r="E69" s="39">
        <f t="shared" si="23"/>
        <v>0.98019859452575264</v>
      </c>
      <c r="F69" s="46">
        <f>_xlfn.NORM.S.DIST(F67,TRUE)</f>
        <v>0.95874410011143052</v>
      </c>
      <c r="G69" s="39">
        <f t="shared" ref="G69:H70" si="24">_xlfn.NORM.S.DIST(G67,TRUE)</f>
        <v>0.95874410011143052</v>
      </c>
      <c r="H69" s="39">
        <f t="shared" si="24"/>
        <v>0.95874410011143052</v>
      </c>
    </row>
    <row r="70" spans="1:9" x14ac:dyDescent="0.25">
      <c r="A70" s="30">
        <v>4</v>
      </c>
      <c r="B70" s="36" t="s">
        <v>66</v>
      </c>
      <c r="C70" s="39">
        <f t="shared" si="23"/>
        <v>0.99985025220322132</v>
      </c>
      <c r="D70" s="39">
        <f t="shared" si="23"/>
        <v>0.99002155179808837</v>
      </c>
      <c r="E70" s="39">
        <f t="shared" si="23"/>
        <v>0.95132793892239065</v>
      </c>
      <c r="F70" s="46">
        <f>_xlfn.NORM.S.DIST(F68,TRUE)</f>
        <v>0.89182541680730465</v>
      </c>
      <c r="G70" s="39">
        <f t="shared" si="24"/>
        <v>0.89182541680730465</v>
      </c>
      <c r="H70" s="39">
        <f t="shared" si="24"/>
        <v>0.89182541680730465</v>
      </c>
    </row>
    <row r="71" spans="1:9" x14ac:dyDescent="0.25">
      <c r="A71" s="30"/>
      <c r="B71" s="36" t="s">
        <v>117</v>
      </c>
      <c r="C71" s="39">
        <f t="shared" ref="C71:E71" si="25">(LN(C57/C56)-(C59-0.5*(C60^2))*C58)/(C60*SQRT(C58))</f>
        <v>-3.7657359027997259</v>
      </c>
      <c r="D71" s="39">
        <f t="shared" si="25"/>
        <v>-2.4271572685331511</v>
      </c>
      <c r="E71" s="39">
        <f t="shared" si="25"/>
        <v>-1.732867951399863</v>
      </c>
      <c r="F71" s="46">
        <f>(LN(F57/F56)-(F59-0.5*(F60^2))*F58)/(F60*SQRT(F58))</f>
        <v>-1.2962943611198905</v>
      </c>
      <c r="G71" s="39">
        <f t="shared" ref="G71:H71" si="26">(LN(G57/G56)-(G59-0.5*(G60^2))*G58)/(G60*SQRT(G58))</f>
        <v>-1.2762943611198905</v>
      </c>
      <c r="H71" s="39">
        <f t="shared" si="26"/>
        <v>-1.2562943611198905</v>
      </c>
    </row>
    <row r="72" spans="1:9" x14ac:dyDescent="0.25">
      <c r="B72" s="22"/>
      <c r="F72" t="s">
        <v>12</v>
      </c>
    </row>
    <row r="73" spans="1:9" x14ac:dyDescent="0.25">
      <c r="B73" s="22"/>
    </row>
    <row r="74" spans="1:9" x14ac:dyDescent="0.25">
      <c r="A74" s="28"/>
      <c r="B74" s="43"/>
      <c r="C74" s="28"/>
      <c r="D74" s="28"/>
      <c r="E74" s="28"/>
      <c r="F74" s="28"/>
      <c r="G74" s="28"/>
      <c r="H74" s="28"/>
    </row>
    <row r="83" spans="2:8" x14ac:dyDescent="0.25">
      <c r="B83" s="42" t="s">
        <v>120</v>
      </c>
      <c r="C83" s="42"/>
      <c r="D83" s="42"/>
      <c r="E83" s="42"/>
      <c r="F83" s="42"/>
      <c r="G83" s="42"/>
      <c r="H83" s="42"/>
    </row>
    <row r="84" spans="2:8" x14ac:dyDescent="0.25">
      <c r="B84" s="42" t="s">
        <v>121</v>
      </c>
      <c r="C84" s="42"/>
      <c r="D84" s="42"/>
      <c r="E84" s="42"/>
      <c r="F84" s="42"/>
      <c r="G84" s="42"/>
      <c r="H84" s="42"/>
    </row>
    <row r="85" spans="2:8" x14ac:dyDescent="0.25">
      <c r="B85" s="42" t="s">
        <v>122</v>
      </c>
      <c r="C85" s="42"/>
      <c r="D85" s="42"/>
      <c r="E85" s="42"/>
      <c r="F85" s="42"/>
      <c r="G85" s="42"/>
      <c r="H85" s="42"/>
    </row>
    <row r="86" spans="2:8" x14ac:dyDescent="0.25">
      <c r="B86" s="42" t="s">
        <v>123</v>
      </c>
      <c r="C86" s="42"/>
      <c r="D86" s="42"/>
      <c r="E86" s="42"/>
      <c r="F86" s="42"/>
      <c r="G86" s="42"/>
      <c r="H86" s="42"/>
    </row>
    <row r="87" spans="2:8" x14ac:dyDescent="0.25">
      <c r="B87" s="42" t="s">
        <v>124</v>
      </c>
      <c r="C87" s="42"/>
      <c r="D87" s="42"/>
      <c r="E87" s="42"/>
      <c r="F87" s="42"/>
      <c r="G87" s="42"/>
      <c r="H87" s="42"/>
    </row>
    <row r="94" spans="2:8" x14ac:dyDescent="0.25">
      <c r="B94" s="42" t="s">
        <v>125</v>
      </c>
      <c r="C94" s="42"/>
      <c r="D94" s="42"/>
      <c r="E94" s="42"/>
      <c r="F94" s="42"/>
      <c r="G94" s="42"/>
      <c r="H94" s="42"/>
    </row>
    <row r="95" spans="2:8" x14ac:dyDescent="0.25">
      <c r="B95" s="42" t="s">
        <v>126</v>
      </c>
      <c r="C95" s="42"/>
      <c r="D95" s="42"/>
      <c r="E95" s="42"/>
      <c r="F95" s="42"/>
      <c r="G95" s="42"/>
      <c r="H95" s="42"/>
    </row>
    <row r="96" spans="2:8" x14ac:dyDescent="0.25">
      <c r="B96" s="42" t="s">
        <v>127</v>
      </c>
      <c r="C96" s="42"/>
      <c r="D96" s="42"/>
      <c r="E96" s="42"/>
      <c r="F96" s="42"/>
      <c r="G96" s="42"/>
      <c r="H96" s="42"/>
    </row>
    <row r="97" spans="2:8" x14ac:dyDescent="0.25">
      <c r="B97" s="42" t="s">
        <v>128</v>
      </c>
      <c r="C97" s="42"/>
      <c r="D97" s="42"/>
      <c r="E97" s="42"/>
      <c r="F97" s="42"/>
      <c r="G97" s="42"/>
      <c r="H97" s="42"/>
    </row>
    <row r="98" spans="2:8" x14ac:dyDescent="0.25">
      <c r="B98" s="42" t="s">
        <v>129</v>
      </c>
      <c r="C98" s="42"/>
      <c r="D98" s="42"/>
      <c r="E98" s="42"/>
      <c r="F98" s="42"/>
      <c r="G98" s="42"/>
      <c r="H98" s="42"/>
    </row>
    <row r="99" spans="2:8" x14ac:dyDescent="0.25">
      <c r="B99" s="42" t="s">
        <v>130</v>
      </c>
      <c r="C99" s="42"/>
      <c r="D99" s="42"/>
      <c r="E99" s="42"/>
      <c r="F99" s="42"/>
      <c r="G99" s="42"/>
      <c r="H99" s="4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89C-01D1-4668-A291-4F2FB4B4E0B8}">
  <dimension ref="A1:I29"/>
  <sheetViews>
    <sheetView showGridLines="0" workbookViewId="0">
      <selection activeCell="L44" sqref="L44"/>
    </sheetView>
  </sheetViews>
  <sheetFormatPr defaultRowHeight="15" x14ac:dyDescent="0.25"/>
  <cols>
    <col min="2" max="2" width="10.5703125" customWidth="1"/>
  </cols>
  <sheetData>
    <row r="1" spans="1:6" x14ac:dyDescent="0.25">
      <c r="A1" s="21" t="s">
        <v>131</v>
      </c>
    </row>
    <row r="2" spans="1:6" x14ac:dyDescent="0.25">
      <c r="C2" s="18">
        <v>-0.06</v>
      </c>
      <c r="D2" s="18">
        <v>0.05</v>
      </c>
      <c r="E2" s="18">
        <v>0.01</v>
      </c>
    </row>
    <row r="3" spans="1:6" x14ac:dyDescent="0.25">
      <c r="A3" s="3" t="s">
        <v>87</v>
      </c>
      <c r="B3" s="30" t="s">
        <v>82</v>
      </c>
      <c r="C3" s="18">
        <v>0.05</v>
      </c>
      <c r="D3" s="18">
        <v>-0.1</v>
      </c>
      <c r="E3" s="18">
        <v>0.05</v>
      </c>
    </row>
    <row r="4" spans="1:6" x14ac:dyDescent="0.25">
      <c r="C4" s="18">
        <v>0</v>
      </c>
      <c r="D4" s="18">
        <v>0</v>
      </c>
      <c r="E4" s="18">
        <v>0</v>
      </c>
    </row>
    <row r="6" spans="1:6" x14ac:dyDescent="0.25">
      <c r="C6" s="18">
        <v>0.82806999999999997</v>
      </c>
      <c r="D6" s="18">
        <v>0.56062999999999996</v>
      </c>
      <c r="E6" s="18">
        <v>-1.3887</v>
      </c>
    </row>
    <row r="7" spans="1:6" x14ac:dyDescent="0.25">
      <c r="A7" s="3" t="s">
        <v>132</v>
      </c>
      <c r="B7" s="30" t="s">
        <v>82</v>
      </c>
      <c r="C7" s="18">
        <v>-0.56062999999999996</v>
      </c>
      <c r="D7" s="18">
        <v>0.82806999999999997</v>
      </c>
      <c r="E7" s="18">
        <v>-0.26744000000000001</v>
      </c>
    </row>
    <row r="8" spans="1:6" x14ac:dyDescent="0.25">
      <c r="C8" s="18">
        <v>0</v>
      </c>
      <c r="D8" s="18">
        <v>0</v>
      </c>
      <c r="E8" s="18">
        <v>1.7320500000000001</v>
      </c>
    </row>
    <row r="10" spans="1:6" x14ac:dyDescent="0.25">
      <c r="A10" s="28"/>
      <c r="B10" s="28"/>
      <c r="C10" s="28"/>
      <c r="D10" s="28"/>
      <c r="E10" s="28"/>
      <c r="F10" s="28"/>
    </row>
    <row r="12" spans="1:6" x14ac:dyDescent="0.25">
      <c r="A12" s="44" t="s">
        <v>133</v>
      </c>
    </row>
    <row r="13" spans="1:6" x14ac:dyDescent="0.25">
      <c r="C13" s="18" cm="1">
        <f t="array" ref="C13:E15">MINVERSE(C6:E8)</f>
        <v>0.82806509636411241</v>
      </c>
      <c r="D13" s="18">
        <v>-0.56062668008092587</v>
      </c>
      <c r="E13" s="18">
        <v>0.577350538379377</v>
      </c>
    </row>
    <row r="14" spans="1:6" ht="17.25" x14ac:dyDescent="0.25">
      <c r="B14" s="30" t="s">
        <v>134</v>
      </c>
      <c r="C14" s="18">
        <v>0.56062668008092598</v>
      </c>
      <c r="D14" s="18">
        <v>0.82806509636411241</v>
      </c>
      <c r="E14" s="18">
        <v>0.57735053837937711</v>
      </c>
    </row>
    <row r="15" spans="1:6" x14ac:dyDescent="0.25">
      <c r="C15" s="18">
        <v>0</v>
      </c>
      <c r="D15" s="18">
        <v>0</v>
      </c>
      <c r="E15" s="18">
        <v>0.577350538379377</v>
      </c>
    </row>
    <row r="17" spans="1:9" x14ac:dyDescent="0.25">
      <c r="A17" s="44" t="s">
        <v>135</v>
      </c>
    </row>
    <row r="18" spans="1:9" x14ac:dyDescent="0.25">
      <c r="C18" s="18" cm="1">
        <f t="array" ref="C18:E20">MMULT(C6:E8,MMULT(C2:E4,_xlfn.ANCHORARRAY(C13)))</f>
        <v>-2.6148351928689549E-2</v>
      </c>
      <c r="D18" s="18">
        <v>6.1035638557194183E-8</v>
      </c>
      <c r="E18" s="18">
        <v>1.5567668681937272E-18</v>
      </c>
      <c r="G18" s="18">
        <f>C18</f>
        <v>-2.6148351928689549E-2</v>
      </c>
      <c r="H18" s="18">
        <v>0</v>
      </c>
      <c r="I18" s="18">
        <v>0</v>
      </c>
    </row>
    <row r="19" spans="1:9" ht="17.25" x14ac:dyDescent="0.25">
      <c r="B19" t="s">
        <v>136</v>
      </c>
      <c r="C19" s="18">
        <v>6.1035638550255289E-8</v>
      </c>
      <c r="D19" s="18">
        <v>-0.13385164807131045</v>
      </c>
      <c r="E19" s="18">
        <v>-1.7813276895206618E-17</v>
      </c>
      <c r="F19" s="30" t="s">
        <v>82</v>
      </c>
      <c r="G19" s="18">
        <v>0</v>
      </c>
      <c r="H19" s="18">
        <f>D19</f>
        <v>-0.13385164807131045</v>
      </c>
      <c r="I19" s="18">
        <v>0</v>
      </c>
    </row>
    <row r="20" spans="1:9" x14ac:dyDescent="0.25">
      <c r="C20" s="18">
        <v>0</v>
      </c>
      <c r="D20" s="18">
        <v>0</v>
      </c>
      <c r="E20" s="18">
        <v>0</v>
      </c>
      <c r="G20" s="18">
        <v>0</v>
      </c>
      <c r="H20" s="18">
        <v>0</v>
      </c>
      <c r="I20" s="18">
        <f>E20</f>
        <v>0</v>
      </c>
    </row>
    <row r="22" spans="1:9" x14ac:dyDescent="0.25">
      <c r="C22" s="18">
        <f>EXP(5*G18)</f>
        <v>0.8774443366743796</v>
      </c>
      <c r="D22" s="18">
        <v>0</v>
      </c>
      <c r="E22" s="18">
        <v>0</v>
      </c>
    </row>
    <row r="23" spans="1:9" ht="17.25" x14ac:dyDescent="0.25">
      <c r="B23" s="30" t="s">
        <v>137</v>
      </c>
      <c r="C23" s="18">
        <v>0</v>
      </c>
      <c r="D23" s="18">
        <f>EXP(5*H19)</f>
        <v>0.5120882833664786</v>
      </c>
      <c r="E23" s="18">
        <v>0</v>
      </c>
    </row>
    <row r="24" spans="1:9" x14ac:dyDescent="0.25">
      <c r="C24" s="18">
        <v>0</v>
      </c>
      <c r="D24" s="18">
        <v>0</v>
      </c>
      <c r="E24" s="18">
        <f>EXP(5*I20)</f>
        <v>1</v>
      </c>
    </row>
    <row r="26" spans="1:9" x14ac:dyDescent="0.25">
      <c r="A26" s="44" t="s">
        <v>138</v>
      </c>
    </row>
    <row r="27" spans="1:9" x14ac:dyDescent="0.25">
      <c r="C27" s="18" cm="1">
        <f t="array" ref="C27:E29">MMULT(_xlfn.ANCHORARRAY(C13),MMULT(C22:E24,C6:E8))</f>
        <v>0.76261141813356725</v>
      </c>
      <c r="D27" s="18">
        <v>0.16961221278934499</v>
      </c>
      <c r="E27" s="18">
        <v>6.7776369077087617E-2</v>
      </c>
    </row>
    <row r="28" spans="1:9" ht="18.75" x14ac:dyDescent="0.35">
      <c r="A28" s="65" t="s">
        <v>139</v>
      </c>
      <c r="B28" s="66"/>
      <c r="C28" s="18">
        <v>0.16961221278934499</v>
      </c>
      <c r="D28" s="18">
        <v>0.62692120190729095</v>
      </c>
      <c r="E28" s="18">
        <v>0.20346658530336414</v>
      </c>
    </row>
    <row r="29" spans="1:9" x14ac:dyDescent="0.25">
      <c r="C29" s="18">
        <v>0</v>
      </c>
      <c r="D29" s="18">
        <v>0</v>
      </c>
      <c r="E29" s="18">
        <v>1</v>
      </c>
    </row>
  </sheetData>
  <mergeCells count="1">
    <mergeCell ref="A2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Binomial Tree Model</vt:lpstr>
      <vt:lpstr>Black Scholes Simulation</vt:lpstr>
      <vt:lpstr>Greeks</vt:lpstr>
      <vt:lpstr>Credit Risk - Merton Model</vt:lpstr>
      <vt:lpstr>Credit Risk - JLT Model</vt:lpstr>
      <vt:lpstr>q3_</vt:lpstr>
      <vt:lpstr>q4_</vt:lpstr>
      <vt:lpstr>Rate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2023-03-14T13:52:21Z</dcterms:modified>
</cp:coreProperties>
</file>