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ltage Divider" sheetId="1" state="visible" r:id="rId3"/>
    <sheet name="Voltage Divider with Rc" sheetId="2" state="visible" r:id="rId4"/>
    <sheet name="VoltageDivider reverse" sheetId="3" state="visible" r:id="rId5"/>
    <sheet name="RC" sheetId="4" state="visible" r:id="rId6"/>
    <sheet name="Pot step" sheetId="5" state="visible" r:id="rId7"/>
    <sheet name="PWM" sheetId="6" state="visible" r:id="rId8"/>
    <sheet name="PIC16F1503_DAC" sheetId="7" state="visible" r:id="rId9"/>
    <sheet name="ZCD" sheetId="8" state="visible" r:id="rId10"/>
    <sheet name="Parallel resistors" sheetId="9" state="visible" r:id="rId11"/>
    <sheet name="MOSFET" sheetId="10" state="visible" r:id="rId12"/>
    <sheet name="INA238" sheetId="11" state="visible" r:id="rId13"/>
    <sheet name="INA SAMPLE" sheetId="12" state="visible" r:id="rId14"/>
    <sheet name="Proportion" sheetId="13" state="visible" r:id="rId15"/>
    <sheet name="lists" sheetId="14" state="visible" r:id="rId16"/>
  </sheets>
  <definedNames>
    <definedName function="false" hidden="false" name="ADC_BITS" vbProcedure="false">lists!$B$2:$B$3</definedName>
    <definedName function="false" hidden="false" name="CCPR1L" vbProcedure="false">PWM!$B$12</definedName>
    <definedName function="false" hidden="false" name="CLOCKIN" vbProcedure="false">PWM!$B$3</definedName>
    <definedName function="false" hidden="false" name="CLOCKOUT" vbProcedure="false">PWM!$B$4</definedName>
    <definedName function="false" hidden="false" name="DAC_CR" vbProcedure="false">PIC16F1503_DAC!$C$5</definedName>
    <definedName function="false" hidden="false" name="DAC_CR4_0" vbProcedure="false">PIC16F1503_DAC!$C$6</definedName>
    <definedName function="false" hidden="false" name="DAC_OUT" vbProcedure="false">PIC16F1503_DAC!$C$7</definedName>
    <definedName function="false" hidden="false" name="DAC_RLOAD" vbProcedure="false">PIC16F1503_DAC!$C$8</definedName>
    <definedName function="false" hidden="false" name="DAC_VSOURCEM" vbProcedure="false">PIC16F1503_DAC!$C$4</definedName>
    <definedName function="false" hidden="false" name="DAC_VSOURCEP" vbProcedure="false">PIC16F1503_DAC!$C$3</definedName>
    <definedName function="false" hidden="false" name="DCxB" vbProcedure="false">PWM!$B$13</definedName>
    <definedName function="false" hidden="false" name="HIGH_LIMIT" vbProcedure="false">'Pot step'!$B$4</definedName>
    <definedName function="false" hidden="false" name="INA238_BOVL" vbProcedure="false">INA238!$C$28</definedName>
    <definedName function="false" hidden="false" name="INA238_BUVL" vbProcedure="false">INA238!$C$29</definedName>
    <definedName function="false" hidden="false" name="INA238_CURRENT_LSB" vbProcedure="false">INA238!$C$22</definedName>
    <definedName function="false" hidden="false" name="INA238_IAVG" vbProcedure="false">INA238!$C$8</definedName>
    <definedName function="false" hidden="false" name="INA238_IOVR" vbProcedure="false">INA238!$C$9</definedName>
    <definedName function="false" hidden="false" name="INA238_RSHUNT" vbProcedure="false">INA238!$C$15</definedName>
    <definedName function="false" hidden="false" name="INA238_RSHUNT_MAX" vbProcedure="false">INA238!$C$14</definedName>
    <definedName function="false" hidden="false" name="INA238_SHUNT_CAL" vbProcedure="false">INA238!$C$24</definedName>
    <definedName function="false" hidden="false" name="INA238_SOVL" vbProcedure="false">INA238!$C$26</definedName>
    <definedName function="false" hidden="false" name="INA238_T" vbProcedure="false">INA238!$C$11</definedName>
    <definedName function="false" hidden="false" name="INA238_VBUS" vbProcedure="false">INA238!$C$19</definedName>
    <definedName function="false" hidden="false" name="INA238_VBUS_VOLTAGE" vbProcedure="false">INA238!$C$20</definedName>
    <definedName function="false" hidden="false" name="INA238_VBUS_VOLTAGE_LIMIT_LSB" vbProcedure="false">INA238!$C$12</definedName>
    <definedName function="false" hidden="false" name="INA238_VCM" vbProcedure="false">INA238!$C$5</definedName>
    <definedName function="false" hidden="false" name="INA238_VS" vbProcedure="false">INA238!$C$4</definedName>
    <definedName function="false" hidden="false" name="INA238_VSENSEMAX" vbProcedure="false">INA238!$C$10</definedName>
    <definedName function="false" hidden="false" name="INP_MAX_INPUT_VALUE_UNIT1" vbProcedure="false">Proportion!$B$7</definedName>
    <definedName function="false" hidden="false" name="INP_MAX_INPUT_VALUE_UNIT2" vbProcedure="false">Proportion!$E$7</definedName>
    <definedName function="false" hidden="false" name="INP_MIN_INPUT_VALUE_UNIT1" vbProcedure="false">Proportion!$B$6</definedName>
    <definedName function="false" hidden="false" name="INP_MIN_INPUT_VALUE_UNIT2" vbProcedure="false">Proportion!$E$6</definedName>
    <definedName function="false" hidden="false" name="LOW_LIMIT" vbProcedure="false">'Pot step'!$B$3</definedName>
    <definedName function="false" hidden="false" name="MF_CISS" vbProcedure="false">MOSFET!$B$6</definedName>
    <definedName function="false" hidden="false" name="MF_COSS" vbProcedure="false">MOSFET!$B$7</definedName>
    <definedName function="false" hidden="false" name="MF_IMEANSINK" vbProcedure="false">MOSFET!$B$23</definedName>
    <definedName function="false" hidden="false" name="MF_IMEANSOURCE" vbProcedure="false">MOSFET!$B$22</definedName>
    <definedName function="false" hidden="false" name="MF_IPEAKSINK" vbProcedure="false">MOSFET!$B$21</definedName>
    <definedName function="false" hidden="false" name="MF_IPEAKSOURCE" vbProcedure="false">MOSFET!$B$20</definedName>
    <definedName function="false" hidden="false" name="MF_QG" vbProcedure="false">MOSFET!$B$3</definedName>
    <definedName function="false" hidden="false" name="MF_QGD" vbProcedure="false">MOSFET!$B$5</definedName>
    <definedName function="false" hidden="false" name="MF_QGS" vbProcedure="false">MOSFET!$B$4</definedName>
    <definedName function="false" hidden="false" name="MF_RG" vbProcedure="false">MOSFET!$B$8</definedName>
    <definedName function="false" hidden="false" name="MF_T1" vbProcedure="false">MOSFET!$F$6</definedName>
    <definedName function="false" hidden="false" name="MF_T2" vbProcedure="false">MOSFET!$F$7</definedName>
    <definedName function="false" hidden="false" name="MF_T3" vbProcedure="false">MOSFET!$F$8</definedName>
    <definedName function="false" hidden="false" name="MF_T4" vbProcedure="false">MOSFET!$F$11</definedName>
    <definedName function="false" hidden="false" name="MF_T5" vbProcedure="false">MOSFET!$F$12</definedName>
    <definedName function="false" hidden="false" name="MF_T6" vbProcedure="false">MOSFET!$F$13</definedName>
    <definedName function="false" hidden="false" name="MF_TIR" vbProcedure="false">MOSFET!$J$6</definedName>
    <definedName function="false" hidden="false" name="MF_TOFFM" vbProcedure="false">MOSFET!$F$23</definedName>
    <definedName function="false" hidden="false" name="MF_TOFFP" vbProcedure="false">MOSFET!$F$21</definedName>
    <definedName function="false" hidden="false" name="MF_TONM" vbProcedure="false">MOSFET!$F$22</definedName>
    <definedName function="false" hidden="false" name="MF_TONP" vbProcedure="false">MOSFET!$F$20</definedName>
    <definedName function="false" hidden="false" name="MF_TVF" vbProcedure="false">MOSFET!$J$7</definedName>
    <definedName function="false" hidden="false" name="MF_VDS" vbProcedure="false">MOSFET!$B$14</definedName>
    <definedName function="false" hidden="false" name="MF_VDS_D" vbProcedure="false">MOSFET!$B$15</definedName>
    <definedName function="false" hidden="false" name="MF_VGP" vbProcedure="false">MOSFET!$B$11</definedName>
    <definedName function="false" hidden="false" name="MF_VGS" vbProcedure="false">MOSFET!$B$13</definedName>
    <definedName function="false" hidden="false" name="MF_VGSTH" vbProcedure="false">MOSFET!$B$10</definedName>
    <definedName function="false" hidden="false" name="PWM_DUTYCYCLE" vbProcedure="false">PWM!$E$5</definedName>
    <definedName function="false" hidden="false" name="PWM_DUTYCYCLERATIO" vbProcedure="false">PWM!$E$6</definedName>
    <definedName function="false" hidden="false" name="PWM_FREQUENCY" vbProcedure="false">PWM!$E$4</definedName>
    <definedName function="false" hidden="false" name="PWM_PERIOD" vbProcedure="false">PWM!$E$3</definedName>
    <definedName function="false" hidden="false" name="PWM_RESOLUTION" vbProcedure="false">PWM!$E$7</definedName>
    <definedName function="false" hidden="false" name="P_R1" vbProcedure="false">'Parallel resistors'!$B$3</definedName>
    <definedName function="false" hidden="false" name="P_R2" vbProcedure="false">'Parallel resistors'!$B$4</definedName>
    <definedName function="false" hidden="false" name="P_TOTALR" vbProcedure="false">'Parallel resistors'!$B$6</definedName>
    <definedName function="false" hidden="false" name="P_VOLTAGE" vbProcedure="false">'Parallel resistors'!$B$5</definedName>
    <definedName function="false" hidden="false" name="RAMAX" vbProcedure="false">'Voltage Divider'!$W$10</definedName>
    <definedName function="false" hidden="false" name="RAMIN" vbProcedure="false">'Voltage Divider'!$W$9</definedName>
    <definedName function="false" hidden="false" name="RBMAX" vbProcedure="false">'Voltage Divider'!$Y$10</definedName>
    <definedName function="false" hidden="false" name="RBMIN" vbProcedure="false">'Voltage Divider'!$Y$9</definedName>
    <definedName function="false" hidden="false" name="RCBITLENGTH" vbProcedure="false">#REF!</definedName>
    <definedName function="false" hidden="false" name="RCIDLE" vbProcedure="false">#REF!</definedName>
    <definedName function="false" hidden="false" name="RCINITIAL" vbProcedure="false">#REF!</definedName>
    <definedName function="false" hidden="false" name="RCPACK" vbProcedure="false">#REF!</definedName>
    <definedName function="false" hidden="false" name="RC_C" vbProcedure="false">RC!$J$17</definedName>
    <definedName function="false" hidden="false" name="RC_FC" vbProcedure="false">RC!$N$16</definedName>
    <definedName function="false" hidden="false" name="RC_RA" vbProcedure="false">RC!$J$15</definedName>
    <definedName function="false" hidden="false" name="RC_RB" vbProcedure="false">RC!$J$16</definedName>
    <definedName function="false" hidden="false" name="RC_t" vbProcedure="false">RC!$J$18</definedName>
    <definedName function="false" hidden="false" name="RC_VIN" vbProcedure="false">RC!$J$14</definedName>
    <definedName function="false" hidden="false" name="RC_VOUT" vbProcedure="false">RC!$N$14</definedName>
    <definedName function="false" hidden="false" name="RC_VOUT_T" vbProcedure="false">RC!$N$18</definedName>
    <definedName function="false" hidden="false" name="RESTEPS" vbProcedure="false">'Voltage Divider'!$W$8</definedName>
    <definedName function="false" hidden="false" name="RT_TAU" vbProcedure="false">RC!$N$15</definedName>
    <definedName function="false" hidden="false" name="STEP" vbProcedure="false">'Pot step'!$D$3</definedName>
    <definedName function="false" hidden="false" name="STEP1" vbProcedure="false">'Pot step'!$E$3</definedName>
    <definedName function="false" hidden="false" name="STEPS" vbProcedure="false">'Pot step'!$B$5</definedName>
    <definedName function="false" hidden="false" name="TCY" vbProcedure="false">PWM!$B$5</definedName>
    <definedName function="false" hidden="false" name="TMR2PR2" vbProcedure="false">PWM!$B$6</definedName>
    <definedName function="false" hidden="false" name="TMR2PRESCALER" vbProcedure="false">PWM!$B$7</definedName>
    <definedName function="false" hidden="false" name="VDC_CURRENT" vbProcedure="false">'Voltage Divider with Rc'!$G$15</definedName>
    <definedName function="false" hidden="false" name="VDC_PC" vbProcedure="false">'Voltage Divider with Rc'!$M$18</definedName>
    <definedName function="false" hidden="false" name="VDC_RA" vbProcedure="false">'Voltage Divider with Rc'!$L$16</definedName>
    <definedName function="false" hidden="false" name="VDC_RB" vbProcedure="false">'Voltage Divider with Rc'!$L$17</definedName>
    <definedName function="false" hidden="false" name="VDC_RC" vbProcedure="false">'Voltage Divider with Rc'!$G$16</definedName>
    <definedName function="false" hidden="false" name="VDC_TOLA" vbProcedure="false">'Voltage Divider with Rc'!$G$17</definedName>
    <definedName function="false" hidden="false" name="VDC_TOLB" vbProcedure="false">'Voltage Divider with Rc'!$G$18</definedName>
    <definedName function="false" hidden="false" name="VDC_VAMP" vbProcedure="false">'Voltage Divider with Rc'!$G$20</definedName>
    <definedName function="false" hidden="false" name="VDC_VEFF" vbProcedure="false">'Voltage Divider with Rc'!$G$19</definedName>
    <definedName function="false" hidden="false" name="VDC_VIN" vbProcedure="false">'Voltage Divider with Rc'!$M$14</definedName>
    <definedName function="false" hidden="false" name="VDC_VOUT" vbProcedure="false">'Voltage Divider with Rc'!$M$15</definedName>
    <definedName function="false" hidden="false" name="VDC_VTYPE" vbProcedure="false">'Voltage Divider with Rc'!$G$22</definedName>
    <definedName function="false" hidden="false" name="VDR_ADCTYPE" vbProcedure="false">'VoltageDivider reverse'!$G$12</definedName>
    <definedName function="false" hidden="false" name="VDR_ADCVAL" vbProcedure="false">'VoltageDivider reverse'!$G$13</definedName>
    <definedName function="false" hidden="false" name="VDR_RA" vbProcedure="false">'VoltageDivider reverse'!$G$18</definedName>
    <definedName function="false" hidden="false" name="VDR_RB" vbProcedure="false">'VoltageDivider reverse'!$K$12</definedName>
    <definedName function="false" hidden="false" name="VDR_VA" vbProcedure="false">'VoltageDivider reverse'!$G$4</definedName>
    <definedName function="false" hidden="false" name="VDR_VAMP" vbProcedure="false">'VoltageDivider reverse'!$G$15</definedName>
    <definedName function="false" hidden="false" name="VDR_VB" vbProcedure="false">'VoltageDivider reverse'!$G$8</definedName>
    <definedName function="false" hidden="false" name="VDR_VEFF" vbProcedure="false">'VoltageDivider reverse'!$G$14</definedName>
    <definedName function="false" hidden="false" name="VDR_VOUT" vbProcedure="false">'VoltageDivider reverse'!$K$11</definedName>
    <definedName function="false" hidden="false" name="VDR_VREF" vbProcedure="false">'VoltageDivider reverse'!$G$11</definedName>
    <definedName function="false" hidden="false" name="VD_DEV_MAPB" vbProcedure="false">'Voltage Divider'!$R$18</definedName>
    <definedName function="false" hidden="false" name="VD_DEV_PAMB" vbProcedure="false">'Voltage Divider'!$N$18</definedName>
    <definedName function="false" hidden="false" name="VD_ID" vbProcedure="false">'Voltage Divider'!$J$16</definedName>
    <definedName function="false" hidden="false" name="VD_ID_MAPB" vbProcedure="false">'Voltage Divider'!$R$16</definedName>
    <definedName function="false" hidden="false" name="VD_ID_PAMB" vbProcedure="false">'Voltage Divider'!$N$16</definedName>
    <definedName function="false" hidden="false" name="VD_PD" vbProcedure="false">'Voltage Divider'!$J$17</definedName>
    <definedName function="false" hidden="false" name="VD_PD_MAPB" vbProcedure="false">'Voltage Divider'!$R$17</definedName>
    <definedName function="false" hidden="false" name="VD_PD_PAMB" vbProcedure="false">'Voltage Divider'!$N$17</definedName>
    <definedName function="false" hidden="false" name="VD_RA" vbProcedure="false">'Voltage Divider'!$J$12</definedName>
    <definedName function="false" hidden="false" name="VD_RA_M_TOLA" vbProcedure="false">'Voltage Divider'!$R$12</definedName>
    <definedName function="false" hidden="false" name="VD_RA_P_TOLA" vbProcedure="false">'Voltage Divider'!$N$12</definedName>
    <definedName function="false" hidden="false" name="VD_RB" vbProcedure="false">'Voltage Divider'!$J$13</definedName>
    <definedName function="false" hidden="false" name="VD_RB_M_TOLB" vbProcedure="false">'Voltage Divider'!$N$13</definedName>
    <definedName function="false" hidden="false" name="VD_RB_P_TOLB" vbProcedure="false">'Voltage Divider'!$R$13</definedName>
    <definedName function="false" hidden="false" name="VD_TOLA" vbProcedure="false">'Voltage Divider'!$J$8</definedName>
    <definedName function="false" hidden="false" name="VD_TOLB" vbProcedure="false">'Voltage Divider'!$J$9</definedName>
    <definedName function="false" hidden="false" name="VD_VAMP" vbProcedure="false">'Voltage Divider'!$J$23</definedName>
    <definedName function="false" hidden="false" name="VD_VEFF" vbProcedure="false">'Voltage Divider'!$J$22</definedName>
    <definedName function="false" hidden="false" name="VD_VIN" vbProcedure="false">'Voltage Divider'!$J$14</definedName>
    <definedName function="false" hidden="false" name="VD_VIN_MAPB" vbProcedure="false">'Voltage Divider'!$R$14</definedName>
    <definedName function="false" hidden="false" name="VD_VIN_PAMB" vbProcedure="false">'Voltage Divider'!$N$14</definedName>
    <definedName function="false" hidden="false" name="VD_VMAXMEAS" vbProcedure="false">'Voltage Divider'!$J$25</definedName>
    <definedName function="false" hidden="false" name="VD_VMAXMEAS_MAPB" vbProcedure="false">'Voltage Divider'!$R$25</definedName>
    <definedName function="false" hidden="false" name="VD_VMAXMEAS_PAMB" vbProcedure="false">'Voltage Divider'!$N$25</definedName>
    <definedName function="false" hidden="false" name="VD_VOUT" vbProcedure="false">'Voltage Divider'!$J$15</definedName>
    <definedName function="false" hidden="false" name="VD_VOUT_MAPB" vbProcedure="false">'Voltage Divider'!$R$15</definedName>
    <definedName function="false" hidden="false" name="VD_VOUT_PAMB" vbProcedure="false">'Voltage Divider'!$N$15</definedName>
    <definedName function="false" hidden="false" name="VD_VOUT_PERCENTAGE" vbProcedure="false">'Voltage Divider'!$J$18</definedName>
    <definedName function="false" hidden="false" name="VD_VREF" vbProcedure="false">'Voltage Divider'!$G$19</definedName>
    <definedName function="false" hidden="false" name="VINA238_VCMOVR" vbProcedure="false">INA238!$C$6</definedName>
    <definedName function="false" hidden="false" name="VINA238_VCMUVL" vbProcedure="false">INA238!$C$7</definedName>
    <definedName function="false" hidden="false" name="VoltageType" vbProcedure="false">lists!$A$2:$A$3</definedName>
    <definedName function="false" hidden="false" name="VTYPE" vbProcedure="false">'Voltage Divider'!$N$23</definedName>
    <definedName function="false" hidden="false" name="X_UNIT2" vbProcedure="false">Proportion!$E$9</definedName>
    <definedName function="false" hidden="false" name="ZCD_VCPINV" vbProcedure="false">ZCD!$B$4</definedName>
    <definedName function="false" hidden="false" name="ZCD_VPEAK" vbProcedure="false">ZCD!$B$3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<sst xmlns="http://schemas.openxmlformats.org/spreadsheetml/2006/main" count="425" uniqueCount="229">
  <si>
    <t xml:space="preserve">VOLTAGE DIVISOR</t>
  </si>
  <si>
    <r>
      <rPr>
        <sz val="11"/>
        <color theme="1"/>
        <rFont val="Calibri"/>
        <family val="2"/>
        <charset val="204"/>
      </rPr>
      <t xml:space="preserve">R</t>
    </r>
    <r>
      <rPr>
        <vertAlign val="subscript"/>
        <sz val="11"/>
        <color theme="1"/>
        <rFont val="Calibri"/>
        <family val="2"/>
        <charset val="204"/>
      </rPr>
      <t xml:space="preserve">a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</si>
  <si>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ra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</si>
  <si>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in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</si>
  <si>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out</t>
    </r>
  </si>
  <si>
    <r>
      <rPr>
        <sz val="11"/>
        <color theme="1"/>
        <rFont val="Calibri"/>
        <family val="2"/>
        <charset val="204"/>
      </rPr>
      <t xml:space="preserve">R</t>
    </r>
    <r>
      <rPr>
        <vertAlign val="subscript"/>
        <sz val="11"/>
        <color theme="1"/>
        <rFont val="Calibri"/>
        <family val="2"/>
        <charset val="204"/>
      </rPr>
      <t xml:space="preserve">b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</si>
  <si>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Rb</t>
    </r>
  </si>
  <si>
    <r>
      <rPr>
        <sz val="11"/>
        <color theme="1"/>
        <rFont val="Calibri"/>
        <family val="2"/>
        <charset val="204"/>
      </rPr>
      <t xml:space="preserve">TOL</t>
    </r>
    <r>
      <rPr>
        <vertAlign val="subscript"/>
        <sz val="11"/>
        <color theme="1"/>
        <rFont val="Calibri"/>
        <family val="2"/>
        <charset val="204"/>
      </rPr>
      <t xml:space="preserve">a</t>
    </r>
  </si>
  <si>
    <r>
      <rPr>
        <sz val="9"/>
        <color theme="1"/>
        <rFont val="Calibri"/>
        <family val="2"/>
        <charset val="204"/>
      </rPr>
      <t xml:space="preserve">Enter values into the </t>
    </r>
    <r>
      <rPr>
        <i val="true"/>
        <sz val="9"/>
        <color theme="3"/>
        <rFont val="Calibri"/>
        <family val="2"/>
        <charset val="204"/>
      </rPr>
      <t xml:space="preserve">italic</t>
    </r>
    <r>
      <rPr>
        <sz val="9"/>
        <color theme="1"/>
        <rFont val="Calibri"/>
        <family val="2"/>
        <charset val="204"/>
      </rPr>
      <t xml:space="preserve"> fields with thicker border and yellow background only</t>
    </r>
  </si>
  <si>
    <r>
      <rPr>
        <sz val="11"/>
        <color theme="1"/>
        <rFont val="Calibri"/>
        <family val="2"/>
        <charset val="204"/>
      </rPr>
      <t xml:space="preserve">TOL</t>
    </r>
    <r>
      <rPr>
        <vertAlign val="subscript"/>
        <sz val="11"/>
        <color theme="1"/>
        <rFont val="Calibri"/>
        <family val="2"/>
        <charset val="204"/>
      </rPr>
      <t xml:space="preserve">b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</si>
  <si>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outra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</si>
  <si>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outrb</t>
    </r>
  </si>
  <si>
    <t xml:space="preserve">Nominal</t>
  </si>
  <si>
    <r>
      <rPr>
        <b val="true"/>
        <sz val="11"/>
        <color theme="1"/>
        <rFont val="Calibri"/>
        <family val="2"/>
        <charset val="204"/>
      </rPr>
      <t xml:space="preserve">R</t>
    </r>
    <r>
      <rPr>
        <b val="true"/>
        <vertAlign val="subscript"/>
        <sz val="11"/>
        <color theme="1"/>
        <rFont val="Calibri"/>
        <family val="2"/>
        <charset val="204"/>
      </rPr>
      <t xml:space="preserve">a</t>
    </r>
    <r>
      <rPr>
        <b val="true"/>
        <sz val="11"/>
        <color theme="1"/>
        <rFont val="Calibri"/>
        <family val="2"/>
        <charset val="204"/>
      </rPr>
      <t xml:space="preserve">+TOL</t>
    </r>
    <r>
      <rPr>
        <b val="true"/>
        <vertAlign val="subscript"/>
        <sz val="11"/>
        <color theme="1"/>
        <rFont val="Calibri"/>
        <family val="2"/>
        <charset val="204"/>
      </rPr>
      <t xml:space="preserve">a</t>
    </r>
    <r>
      <rPr>
        <b val="true"/>
        <sz val="11"/>
        <color theme="1"/>
        <rFont val="Calibri"/>
        <family val="2"/>
        <charset val="204"/>
      </rPr>
      <t xml:space="preserve"> / R</t>
    </r>
    <r>
      <rPr>
        <b val="true"/>
        <vertAlign val="subscript"/>
        <sz val="11"/>
        <color theme="1"/>
        <rFont val="Calibri"/>
        <family val="2"/>
        <charset val="204"/>
      </rPr>
      <t xml:space="preserve">b</t>
    </r>
    <r>
      <rPr>
        <b val="true"/>
        <sz val="11"/>
        <color theme="1"/>
        <rFont val="Calibri"/>
        <family val="2"/>
        <charset val="204"/>
      </rPr>
      <t xml:space="preserve">-TOL</t>
    </r>
    <r>
      <rPr>
        <b val="true"/>
        <vertAlign val="subscript"/>
        <sz val="11"/>
        <color theme="1"/>
        <rFont val="Calibri"/>
        <family val="2"/>
        <charset val="204"/>
      </rPr>
      <t xml:space="preserve">b</t>
    </r>
  </si>
  <si>
    <r>
      <rPr>
        <b val="true"/>
        <sz val="11"/>
        <color theme="1"/>
        <rFont val="Calibri"/>
        <family val="2"/>
        <charset val="204"/>
      </rPr>
      <t xml:space="preserve">R</t>
    </r>
    <r>
      <rPr>
        <b val="true"/>
        <vertAlign val="subscript"/>
        <sz val="11"/>
        <color theme="1"/>
        <rFont val="Calibri"/>
        <family val="2"/>
        <charset val="204"/>
      </rPr>
      <t xml:space="preserve">a</t>
    </r>
    <r>
      <rPr>
        <b val="true"/>
        <sz val="11"/>
        <color theme="1"/>
        <rFont val="Calibri"/>
        <family val="2"/>
        <charset val="204"/>
      </rPr>
      <t xml:space="preserve">-TOL</t>
    </r>
    <r>
      <rPr>
        <b val="true"/>
        <vertAlign val="subscript"/>
        <sz val="11"/>
        <color theme="1"/>
        <rFont val="Calibri"/>
        <family val="2"/>
        <charset val="204"/>
      </rPr>
      <t xml:space="preserve">a</t>
    </r>
    <r>
      <rPr>
        <b val="true"/>
        <sz val="11"/>
        <color theme="1"/>
        <rFont val="Calibri"/>
        <family val="2"/>
        <charset val="204"/>
      </rPr>
      <t xml:space="preserve"> / R</t>
    </r>
    <r>
      <rPr>
        <b val="true"/>
        <vertAlign val="subscript"/>
        <sz val="11"/>
        <color theme="1"/>
        <rFont val="Calibri"/>
        <family val="2"/>
        <charset val="204"/>
      </rPr>
      <t xml:space="preserve">b</t>
    </r>
    <r>
      <rPr>
        <b val="true"/>
        <sz val="11"/>
        <color theme="1"/>
        <rFont val="Calibri"/>
        <family val="2"/>
        <charset val="204"/>
      </rPr>
      <t xml:space="preserve">+TOL</t>
    </r>
    <r>
      <rPr>
        <b val="true"/>
        <vertAlign val="subscript"/>
        <sz val="11"/>
        <color theme="1"/>
        <rFont val="Calibri"/>
        <family val="2"/>
        <charset val="204"/>
      </rPr>
      <t xml:space="preserve">b</t>
    </r>
  </si>
  <si>
    <t xml:space="preserve">Ω</t>
  </si>
  <si>
    <r>
      <rPr>
        <sz val="11"/>
        <color theme="1"/>
        <rFont val="Calibri"/>
        <family val="2"/>
        <charset val="204"/>
      </rPr>
      <t xml:space="preserve">R</t>
    </r>
    <r>
      <rPr>
        <vertAlign val="subscript"/>
        <sz val="11"/>
        <color theme="1"/>
        <rFont val="Calibri"/>
        <family val="2"/>
        <charset val="204"/>
      </rPr>
      <t xml:space="preserve">a</t>
    </r>
    <r>
      <rPr>
        <sz val="11"/>
        <color theme="1"/>
        <rFont val="Calibri"/>
        <family val="2"/>
        <charset val="204"/>
      </rPr>
      <t xml:space="preserve"> + TOL</t>
    </r>
    <r>
      <rPr>
        <vertAlign val="subscript"/>
        <sz val="11"/>
        <color theme="1"/>
        <rFont val="Calibri"/>
        <family val="2"/>
        <charset val="204"/>
      </rPr>
      <t xml:space="preserve">a</t>
    </r>
  </si>
  <si>
    <r>
      <rPr>
        <sz val="11"/>
        <color theme="1"/>
        <rFont val="Calibri"/>
        <family val="2"/>
        <charset val="204"/>
      </rPr>
      <t xml:space="preserve">R</t>
    </r>
    <r>
      <rPr>
        <vertAlign val="subscript"/>
        <sz val="11"/>
        <color theme="1"/>
        <rFont val="Calibri"/>
        <family val="2"/>
        <charset val="204"/>
      </rPr>
      <t xml:space="preserve">b</t>
    </r>
    <r>
      <rPr>
        <sz val="11"/>
        <color theme="1"/>
        <rFont val="Calibri"/>
        <family val="2"/>
        <charset val="204"/>
      </rPr>
      <t xml:space="preserve"> - TOL</t>
    </r>
    <r>
      <rPr>
        <vertAlign val="subscript"/>
        <sz val="11"/>
        <color theme="1"/>
        <rFont val="Calibri"/>
        <family val="2"/>
        <charset val="204"/>
      </rPr>
      <t xml:space="preserve">b</t>
    </r>
  </si>
  <si>
    <t xml:space="preserve">V</t>
  </si>
  <si>
    <r>
      <rPr>
        <sz val="11"/>
        <color theme="1"/>
        <rFont val="Calibri"/>
        <family val="2"/>
        <charset val="204"/>
      </rPr>
      <t xml:space="preserve">I</t>
    </r>
    <r>
      <rPr>
        <vertAlign val="subscript"/>
        <sz val="11"/>
        <color theme="1"/>
        <rFont val="Calibri"/>
        <family val="2"/>
        <charset val="204"/>
      </rPr>
      <t xml:space="preserve">eff</t>
    </r>
  </si>
  <si>
    <t xml:space="preserve">A</t>
  </si>
  <si>
    <r>
      <rPr>
        <sz val="11"/>
        <color theme="1"/>
        <rFont val="Calibri"/>
        <family val="2"/>
        <charset val="204"/>
      </rPr>
      <t xml:space="preserve">P</t>
    </r>
    <r>
      <rPr>
        <vertAlign val="subscript"/>
        <sz val="11"/>
        <color theme="1"/>
        <rFont val="Calibri"/>
        <family val="2"/>
        <charset val="204"/>
      </rPr>
      <t xml:space="preserve">d</t>
    </r>
  </si>
  <si>
    <t xml:space="preserve">W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</si>
  <si>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out</t>
    </r>
    <r>
      <rPr>
        <sz val="11"/>
        <color theme="1"/>
        <rFont val="Calibri"/>
        <family val="2"/>
        <charset val="204"/>
      </rPr>
      <t xml:space="preserve"> [%]</t>
    </r>
  </si>
  <si>
    <t xml:space="preserve">-</t>
  </si>
  <si>
    <t xml:space="preserve">Deviation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</si>
  <si>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REFADC</t>
    </r>
    <r>
      <rPr>
        <sz val="11"/>
        <color theme="1"/>
        <rFont val="Calibri"/>
        <family val="2"/>
        <charset val="204"/>
      </rPr>
      <t xml:space="preserve">,V</t>
    </r>
  </si>
  <si>
    <t xml:space="preserve">10bit ADC</t>
  </si>
  <si>
    <t xml:space="preserve">8bit ADC</t>
  </si>
  <si>
    <t xml:space="preserve">12bit ADC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</si>
  <si>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eff</t>
    </r>
  </si>
  <si>
    <t xml:space="preserve">Select DC or SINE below</t>
  </si>
  <si>
    <t xml:space="preserve">When with red background, values exceed ADC range.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</si>
  <si>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ampl</t>
    </r>
  </si>
  <si>
    <t xml:space="preserve">Type</t>
  </si>
  <si>
    <t xml:space="preserve">DC</t>
  </si>
  <si>
    <t xml:space="preserve">Maximal voltage that can be measured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</si>
  <si>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maxmeas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</si>
  <si>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in+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</si>
  <si>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Ra</t>
    </r>
  </si>
  <si>
    <r>
      <rPr>
        <sz val="11"/>
        <color theme="1"/>
        <rFont val="Calibri"/>
        <family val="2"/>
        <charset val="204"/>
      </rPr>
      <t xml:space="preserve">Current resistor R</t>
    </r>
    <r>
      <rPr>
        <vertAlign val="subscript"/>
        <sz val="11"/>
        <color theme="1"/>
        <rFont val="Calibri"/>
        <family val="2"/>
        <charset val="204"/>
      </rPr>
      <t xml:space="preserve">c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</si>
  <si>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Rc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</si>
  <si>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in-</t>
    </r>
  </si>
  <si>
    <r>
      <rPr>
        <sz val="11"/>
        <color theme="1"/>
        <rFont val="Calibri"/>
        <family val="2"/>
        <charset val="204"/>
      </rPr>
      <t xml:space="preserve">Current in R</t>
    </r>
    <r>
      <rPr>
        <vertAlign val="subscript"/>
        <sz val="11"/>
        <color theme="1"/>
        <rFont val="Calibri"/>
        <family val="2"/>
        <charset val="204"/>
      </rPr>
      <t xml:space="preserve">c</t>
    </r>
  </si>
  <si>
    <r>
      <rPr>
        <sz val="11"/>
        <color theme="1"/>
        <rFont val="Calibri"/>
        <family val="2"/>
        <charset val="204"/>
      </rPr>
      <t xml:space="preserve">R</t>
    </r>
    <r>
      <rPr>
        <vertAlign val="subscript"/>
        <sz val="11"/>
        <color theme="1"/>
        <rFont val="Calibri"/>
        <family val="2"/>
        <charset val="204"/>
      </rPr>
      <t xml:space="preserve">c</t>
    </r>
  </si>
  <si>
    <r>
      <rPr>
        <sz val="11"/>
        <color theme="1"/>
        <rFont val="Calibri"/>
        <family val="2"/>
        <charset val="204"/>
      </rPr>
      <t xml:space="preserve">P</t>
    </r>
    <r>
      <rPr>
        <vertAlign val="subscript"/>
        <sz val="11"/>
        <color theme="1"/>
        <rFont val="Calibri"/>
        <family val="2"/>
        <charset val="204"/>
      </rPr>
      <t xml:space="preserve">c</t>
    </r>
  </si>
  <si>
    <r>
      <rPr>
        <sz val="10"/>
        <color theme="1"/>
        <rFont val="Calibri"/>
        <family val="2"/>
        <charset val="204"/>
      </rPr>
      <t xml:space="preserve">V</t>
    </r>
    <r>
      <rPr>
        <vertAlign val="subscript"/>
        <sz val="10"/>
        <color theme="1"/>
        <rFont val="Calibri"/>
        <family val="2"/>
        <charset val="204"/>
      </rPr>
      <t xml:space="preserve">eff</t>
    </r>
  </si>
  <si>
    <t xml:space="preserve">REVERSE VOLTAGE DIVISOR</t>
  </si>
  <si>
    <r>
      <rPr>
        <sz val="10"/>
        <color theme="1"/>
        <rFont val="Calibri"/>
        <family val="2"/>
        <charset val="204"/>
      </rPr>
      <t xml:space="preserve">R</t>
    </r>
    <r>
      <rPr>
        <vertAlign val="subscript"/>
        <sz val="10"/>
        <color theme="1"/>
        <rFont val="Calibri"/>
        <family val="2"/>
        <charset val="204"/>
      </rPr>
      <t xml:space="preserve">a</t>
    </r>
  </si>
  <si>
    <r>
      <rPr>
        <sz val="10"/>
        <color theme="1"/>
        <rFont val="Calibri"/>
        <family val="2"/>
        <charset val="204"/>
      </rPr>
      <t xml:space="preserve">V</t>
    </r>
    <r>
      <rPr>
        <vertAlign val="subscript"/>
        <sz val="10"/>
        <color theme="1"/>
        <rFont val="Calibri"/>
        <family val="2"/>
        <charset val="204"/>
      </rPr>
      <t xml:space="preserve">RA</t>
    </r>
  </si>
  <si>
    <r>
      <rPr>
        <sz val="10"/>
        <color theme="1"/>
        <rFont val="Calibri"/>
        <family val="2"/>
        <charset val="204"/>
      </rPr>
      <t xml:space="preserve">This calculator computes the value of </t>
    </r>
    <r>
      <rPr>
        <b val="true"/>
        <sz val="10"/>
        <color theme="1"/>
        <rFont val="Calibri"/>
        <family val="2"/>
        <charset val="204"/>
      </rPr>
      <t xml:space="preserve">R</t>
    </r>
    <r>
      <rPr>
        <b val="true"/>
        <vertAlign val="subscript"/>
        <sz val="10"/>
        <color theme="1"/>
        <rFont val="Calibri"/>
        <family val="2"/>
        <charset val="204"/>
      </rPr>
      <t xml:space="preserve">b</t>
    </r>
    <r>
      <rPr>
        <sz val="10"/>
        <color theme="1"/>
        <rFont val="Calibri"/>
        <family val="2"/>
        <charset val="204"/>
      </rPr>
      <t xml:space="preserve">, given the ADC value measured from </t>
    </r>
    <r>
      <rPr>
        <b val="true"/>
        <sz val="10"/>
        <color theme="1"/>
        <rFont val="Calibri"/>
        <family val="2"/>
        <charset val="204"/>
      </rPr>
      <t xml:space="preserve">V</t>
    </r>
    <r>
      <rPr>
        <b val="true"/>
        <vertAlign val="subscript"/>
        <sz val="10"/>
        <color theme="1"/>
        <rFont val="Calibri"/>
        <family val="2"/>
        <charset val="204"/>
      </rPr>
      <t xml:space="preserve">out</t>
    </r>
    <r>
      <rPr>
        <vertAlign val="subscript"/>
        <sz val="10"/>
        <color theme="1"/>
        <rFont val="Calibri"/>
        <family val="2"/>
        <charset val="204"/>
      </rPr>
      <t xml:space="preserve">.</t>
    </r>
  </si>
  <si>
    <r>
      <rPr>
        <sz val="10"/>
        <color theme="1"/>
        <rFont val="Calibri"/>
        <family val="2"/>
        <charset val="204"/>
      </rPr>
      <t xml:space="preserve">V</t>
    </r>
    <r>
      <rPr>
        <vertAlign val="subscript"/>
        <sz val="10"/>
        <color theme="1"/>
        <rFont val="Calibri"/>
        <family val="2"/>
        <charset val="204"/>
      </rPr>
      <t xml:space="preserve">out</t>
    </r>
  </si>
  <si>
    <r>
      <rPr>
        <sz val="10"/>
        <color theme="1"/>
        <rFont val="Calibri"/>
        <family val="2"/>
        <charset val="204"/>
      </rPr>
      <t xml:space="preserve">R</t>
    </r>
    <r>
      <rPr>
        <vertAlign val="subscript"/>
        <sz val="10"/>
        <color theme="1"/>
        <rFont val="Calibri"/>
        <family val="2"/>
        <charset val="204"/>
      </rPr>
      <t xml:space="preserve">b</t>
    </r>
  </si>
  <si>
    <r>
      <rPr>
        <sz val="10"/>
        <color theme="1"/>
        <rFont val="Calibri"/>
        <family val="2"/>
        <charset val="204"/>
      </rPr>
      <t xml:space="preserve">V</t>
    </r>
    <r>
      <rPr>
        <vertAlign val="subscript"/>
        <sz val="10"/>
        <color theme="1"/>
        <rFont val="Calibri"/>
        <family val="2"/>
        <charset val="204"/>
      </rPr>
      <t xml:space="preserve">RB</t>
    </r>
  </si>
  <si>
    <r>
      <rPr>
        <sz val="10"/>
        <color theme="1"/>
        <rFont val="Calibri"/>
        <family val="2"/>
        <charset val="204"/>
      </rPr>
      <t xml:space="preserve">Enter values into the </t>
    </r>
    <r>
      <rPr>
        <i val="true"/>
        <sz val="10"/>
        <color theme="3"/>
        <rFont val="Calibri"/>
        <family val="2"/>
        <charset val="204"/>
      </rPr>
      <t xml:space="preserve">italic</t>
    </r>
    <r>
      <rPr>
        <sz val="10"/>
        <color theme="1"/>
        <rFont val="Calibri"/>
        <family val="2"/>
        <charset val="204"/>
      </rPr>
      <t xml:space="preserve"> fields with thicker border only</t>
    </r>
  </si>
  <si>
    <r>
      <rPr>
        <sz val="10"/>
        <color theme="1"/>
        <rFont val="Calibri"/>
        <family val="2"/>
        <charset val="204"/>
      </rPr>
      <t xml:space="preserve">VREF</t>
    </r>
    <r>
      <rPr>
        <vertAlign val="subscript"/>
        <sz val="10"/>
        <color theme="1"/>
        <rFont val="Calibri"/>
        <family val="2"/>
        <charset val="204"/>
      </rPr>
      <t xml:space="preserve">ADC</t>
    </r>
  </si>
  <si>
    <t xml:space="preserve">ADC resolution</t>
  </si>
  <si>
    <t xml:space="preserve">ADC 10 bits</t>
  </si>
  <si>
    <t xml:space="preserve">Ω</t>
  </si>
  <si>
    <t xml:space="preserve">ADC value</t>
  </si>
  <si>
    <r>
      <rPr>
        <sz val="10"/>
        <color theme="1"/>
        <rFont val="Calibri"/>
        <family val="2"/>
        <charset val="204"/>
      </rPr>
      <t xml:space="preserve">V</t>
    </r>
    <r>
      <rPr>
        <vertAlign val="subscript"/>
        <sz val="10"/>
        <color theme="1"/>
        <rFont val="Calibri"/>
        <family val="2"/>
        <charset val="204"/>
      </rPr>
      <t xml:space="preserve">ampl</t>
    </r>
  </si>
  <si>
    <t xml:space="preserve">Voltage type</t>
  </si>
  <si>
    <t xml:space="preserve">← this does not matter by now</t>
  </si>
  <si>
    <t xml:space="preserve">C</t>
  </si>
  <si>
    <t xml:space="preserve">τ</t>
  </si>
  <si>
    <t xml:space="preserve">s</t>
  </si>
  <si>
    <r>
      <rPr>
        <sz val="11"/>
        <color theme="1"/>
        <rFont val="Calibri"/>
        <family val="2"/>
        <charset val="204"/>
      </rPr>
      <t xml:space="preserve">f</t>
    </r>
    <r>
      <rPr>
        <vertAlign val="subscript"/>
        <sz val="11"/>
        <color theme="1"/>
        <rFont val="Calibri"/>
        <family val="2"/>
        <charset val="204"/>
      </rPr>
      <t xml:space="preserve">c</t>
    </r>
  </si>
  <si>
    <t xml:space="preserve">Hz</t>
  </si>
  <si>
    <t xml:space="preserve">μF</t>
  </si>
  <si>
    <t xml:space="preserve">t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</si>
  <si>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out</t>
    </r>
    <r>
      <rPr>
        <sz val="11"/>
        <color theme="1"/>
        <rFont val="Calibri"/>
        <family val="2"/>
        <charset val="204"/>
      </rPr>
      <t xml:space="preserve">(t)</t>
    </r>
  </si>
  <si>
    <t xml:space="preserve">steps begin from 0</t>
  </si>
  <si>
    <t xml:space="preserve">LOW_LIMIT</t>
  </si>
  <si>
    <t xml:space="preserve">STEP</t>
  </si>
  <si>
    <t xml:space="preserve">AVG</t>
  </si>
  <si>
    <t xml:space="preserve">HIGH_LIMIT</t>
  </si>
  <si>
    <t xml:space="preserve">RESULT</t>
  </si>
  <si>
    <t xml:space="preserve">STEPS</t>
  </si>
  <si>
    <t xml:space="preserve">PWM</t>
  </si>
  <si>
    <r>
      <rPr>
        <sz val="11"/>
        <color theme="1"/>
        <rFont val="Calibri"/>
        <family val="2"/>
        <charset val="204"/>
      </rPr>
      <t xml:space="preserve">F</t>
    </r>
    <r>
      <rPr>
        <vertAlign val="subscript"/>
        <sz val="11"/>
        <color theme="1"/>
        <rFont val="Calibri"/>
        <family val="2"/>
        <charset val="204"/>
      </rPr>
      <t xml:space="preserve">OSC</t>
    </r>
    <r>
      <rPr>
        <sz val="11"/>
        <color theme="1"/>
        <rFont val="Calibri"/>
        <family val="2"/>
        <charset val="204"/>
      </rPr>
      <t xml:space="preserve"> [Hz]</t>
    </r>
  </si>
  <si>
    <t xml:space="preserve">Period [μs]</t>
  </si>
  <si>
    <t xml:space="preserve">CLOCKOUT</t>
  </si>
  <si>
    <t xml:space="preserve">Frequency [Hz]</t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</si>
  <si>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CY</t>
    </r>
    <r>
      <rPr>
        <sz val="11"/>
        <color theme="1"/>
        <rFont val="Calibri"/>
        <family val="2"/>
        <charset val="204"/>
      </rPr>
      <t xml:space="preserve"> [µs]</t>
    </r>
  </si>
  <si>
    <t xml:space="preserve">Duty Cycle [μs]</t>
  </si>
  <si>
    <t xml:space="preserve">PR2</t>
  </si>
  <si>
    <t xml:space="preserve">Duty Cycle Ratio</t>
  </si>
  <si>
    <t xml:space="preserve">01.00.04</t>
  </si>
  <si>
    <t xml:space="preserve">TMR2 Prescaler</t>
  </si>
  <si>
    <t xml:space="preserve">Resolution [bits]</t>
  </si>
  <si>
    <t xml:space="preserve">CCPR1L/PWMxDCH</t>
  </si>
  <si>
    <t xml:space="preserve">Smallest Duty Cycle [μs]</t>
  </si>
  <si>
    <t xml:space="preserve">DCxB/PWMxDCL</t>
  </si>
  <si>
    <t xml:space="preserve">CCPR1L*4+DCxB [1/Fosc]</t>
  </si>
  <si>
    <t xml:space="preserve">Note: CCPR1L+DCxB are used in ECCPs in PIC16F1824/28 and similar PICs. PWMxDCH/PWMxDCL are used in the newer PICs like PIC16F1508/09.</t>
  </si>
  <si>
    <r>
      <rPr>
        <sz val="11"/>
        <color theme="1"/>
        <rFont val="Calibri"/>
        <family val="2"/>
        <charset val="204"/>
      </rPr>
      <t xml:space="preserve">Enter values into the </t>
    </r>
    <r>
      <rPr>
        <i val="true"/>
        <sz val="11"/>
        <color theme="3"/>
        <rFont val="Calibri"/>
        <family val="2"/>
        <charset val="204"/>
      </rPr>
      <t xml:space="preserve">italic</t>
    </r>
    <r>
      <rPr>
        <sz val="11"/>
        <color theme="1"/>
        <rFont val="Calibri"/>
        <family val="2"/>
        <charset val="204"/>
      </rPr>
      <t xml:space="preserve"> fields with thicker border only</t>
    </r>
  </si>
  <si>
    <t xml:space="preserve">PIC16F1503 DAC</t>
  </si>
  <si>
    <t xml:space="preserve">Vsource+</t>
  </si>
  <si>
    <t xml:space="preserve">Vsource-</t>
  </si>
  <si>
    <t xml:space="preserve">R</t>
  </si>
  <si>
    <t xml:space="preserve">DACR[4:0]</t>
  </si>
  <si>
    <t xml:space="preserve">DAC_OUT</t>
  </si>
  <si>
    <t xml:space="preserve">RLOAD</t>
  </si>
  <si>
    <t xml:space="preserve">Iout_dac</t>
  </si>
  <si>
    <t xml:space="preserve">mA</t>
  </si>
  <si>
    <t xml:space="preserve">ZCD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</si>
  <si>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PEAK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</si>
  <si>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CPINV</t>
    </r>
  </si>
  <si>
    <t xml:space="preserve">Parallel resistors</t>
  </si>
  <si>
    <t xml:space="preserve">R1</t>
  </si>
  <si>
    <t xml:space="preserve">R2</t>
  </si>
  <si>
    <t xml:space="preserve">Voltage</t>
  </si>
  <si>
    <t xml:space="preserve">Total R</t>
  </si>
  <si>
    <t xml:space="preserve">Current</t>
  </si>
  <si>
    <t xml:space="preserve">MOSFET CALCULATIONS</t>
  </si>
  <si>
    <t xml:space="preserve">IRFH7004PbF</t>
  </si>
  <si>
    <t xml:space="preserve">http://www.infineon.com/dgdl/irfh7004pbf.pdf?fileId=5546d462533600a40153561ea3e51ed2</t>
  </si>
  <si>
    <r>
      <rPr>
        <sz val="11"/>
        <color theme="1"/>
        <rFont val="Calibri"/>
        <family val="2"/>
        <charset val="204"/>
      </rPr>
      <t xml:space="preserve">Q</t>
    </r>
    <r>
      <rPr>
        <vertAlign val="subscript"/>
        <sz val="11"/>
        <color theme="1"/>
        <rFont val="Calibri"/>
        <family val="2"/>
        <charset val="204"/>
      </rPr>
      <t xml:space="preserve">g</t>
    </r>
  </si>
  <si>
    <t xml:space="preserve">nC</t>
  </si>
  <si>
    <r>
      <rPr>
        <sz val="11"/>
        <color theme="1"/>
        <rFont val="Calibri"/>
        <family val="2"/>
        <charset val="204"/>
      </rPr>
      <t xml:space="preserve">Q</t>
    </r>
    <r>
      <rPr>
        <vertAlign val="subscript"/>
        <sz val="11"/>
        <color theme="1"/>
        <rFont val="Calibri"/>
        <family val="2"/>
        <charset val="204"/>
      </rPr>
      <t xml:space="preserve">gs</t>
    </r>
  </si>
  <si>
    <r>
      <rPr>
        <sz val="11"/>
        <color theme="1"/>
        <rFont val="Calibri"/>
        <family val="2"/>
        <charset val="204"/>
      </rPr>
      <t xml:space="preserve">Q</t>
    </r>
    <r>
      <rPr>
        <vertAlign val="subscript"/>
        <sz val="11"/>
        <color theme="1"/>
        <rFont val="Calibri"/>
        <family val="2"/>
        <charset val="204"/>
      </rPr>
      <t xml:space="preserve">gd</t>
    </r>
  </si>
  <si>
    <t xml:space="preserve">turn on calculations</t>
  </si>
  <si>
    <r>
      <rPr>
        <sz val="11"/>
        <color theme="1"/>
        <rFont val="Calibri"/>
        <family val="2"/>
        <charset val="204"/>
      </rPr>
      <t xml:space="preserve">C</t>
    </r>
    <r>
      <rPr>
        <vertAlign val="subscript"/>
        <sz val="11"/>
        <color theme="1"/>
        <rFont val="Calibri"/>
        <family val="2"/>
        <charset val="204"/>
      </rPr>
      <t xml:space="preserve">iss</t>
    </r>
  </si>
  <si>
    <t xml:space="preserve">pF</t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</si>
  <si>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1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</si>
  <si>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ir</t>
    </r>
  </si>
  <si>
    <r>
      <rPr>
        <sz val="11"/>
        <color theme="1"/>
        <rFont val="Calibri"/>
        <family val="2"/>
        <charset val="204"/>
      </rPr>
      <t xml:space="preserve">C</t>
    </r>
    <r>
      <rPr>
        <vertAlign val="subscript"/>
        <sz val="11"/>
        <color theme="1"/>
        <rFont val="Calibri"/>
        <family val="2"/>
        <charset val="204"/>
      </rPr>
      <t xml:space="preserve">oss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</si>
  <si>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2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</si>
  <si>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vf</t>
    </r>
  </si>
  <si>
    <r>
      <rPr>
        <sz val="11"/>
        <color theme="1"/>
        <rFont val="Calibri"/>
        <family val="2"/>
        <charset val="204"/>
      </rPr>
      <t xml:space="preserve">R</t>
    </r>
    <r>
      <rPr>
        <vertAlign val="subscript"/>
        <sz val="11"/>
        <color theme="1"/>
        <rFont val="Calibri"/>
        <family val="2"/>
        <charset val="204"/>
      </rPr>
      <t xml:space="preserve">G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</si>
  <si>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3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</si>
  <si>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GS(TH)</t>
    </r>
  </si>
  <si>
    <t xml:space="preserve">turn off calculations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</si>
  <si>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gp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</si>
  <si>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4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</si>
  <si>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if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</si>
  <si>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5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</si>
  <si>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vr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</si>
  <si>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GS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</si>
  <si>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6</t>
    </r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</si>
  <si>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DS</t>
    </r>
  </si>
  <si>
    <t xml:space="preserve">Formulas from</t>
  </si>
  <si>
    <t xml:space="preserve">http://www.vishay.com/docs/73217/an608a.pdf</t>
  </si>
  <si>
    <r>
      <rPr>
        <sz val="11"/>
        <color theme="1"/>
        <rFont val="Calibri"/>
        <family val="2"/>
        <charset val="204"/>
      </rPr>
      <t xml:space="preserve">I</t>
    </r>
    <r>
      <rPr>
        <vertAlign val="subscript"/>
        <sz val="11"/>
        <color theme="1"/>
        <rFont val="Calibri"/>
        <family val="2"/>
        <charset val="204"/>
      </rPr>
      <t xml:space="preserve">peaksource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</si>
  <si>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onp</t>
    </r>
  </si>
  <si>
    <r>
      <rPr>
        <sz val="11"/>
        <color theme="1"/>
        <rFont val="Calibri"/>
        <family val="2"/>
        <charset val="204"/>
      </rPr>
      <t xml:space="preserve">I</t>
    </r>
    <r>
      <rPr>
        <vertAlign val="subscript"/>
        <sz val="11"/>
        <color theme="1"/>
        <rFont val="Calibri"/>
        <family val="2"/>
        <charset val="204"/>
      </rPr>
      <t xml:space="preserve">peaksink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</si>
  <si>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offp</t>
    </r>
  </si>
  <si>
    <r>
      <rPr>
        <sz val="11"/>
        <color theme="1"/>
        <rFont val="Calibri"/>
        <family val="2"/>
        <charset val="204"/>
      </rPr>
      <t xml:space="preserve">I</t>
    </r>
    <r>
      <rPr>
        <vertAlign val="subscript"/>
        <sz val="11"/>
        <color theme="1"/>
        <rFont val="Calibri"/>
        <family val="2"/>
        <charset val="204"/>
      </rPr>
      <t xml:space="preserve">meansource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</si>
  <si>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onm</t>
    </r>
  </si>
  <si>
    <r>
      <rPr>
        <sz val="11"/>
        <color theme="1"/>
        <rFont val="Calibri"/>
        <family val="2"/>
        <charset val="204"/>
      </rPr>
      <t xml:space="preserve">I</t>
    </r>
    <r>
      <rPr>
        <vertAlign val="subscript"/>
        <sz val="11"/>
        <color theme="1"/>
        <rFont val="Calibri"/>
        <family val="2"/>
        <charset val="204"/>
      </rPr>
      <t xml:space="preserve">meansink</t>
    </r>
  </si>
  <si>
    <r>
      <rPr>
        <sz val="11"/>
        <color theme="1"/>
        <rFont val="Calibri"/>
        <family val="2"/>
        <charset val="204"/>
      </rPr>
      <t xml:space="preserve">t</t>
    </r>
    <r>
      <rPr>
        <vertAlign val="subscript"/>
        <sz val="11"/>
        <color theme="1"/>
        <rFont val="Calibri"/>
        <family val="2"/>
        <charset val="204"/>
      </rPr>
      <t xml:space="preserve">offm</t>
    </r>
  </si>
  <si>
    <t xml:space="preserve">http://www.microchip.com/wwwAppNotes/AppNotes.aspx?appnote=en012138</t>
  </si>
  <si>
    <t xml:space="preserve">INA238</t>
  </si>
  <si>
    <t xml:space="preserve">Current measurement</t>
  </si>
  <si>
    <t xml:space="preserve">Power supply voltage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</si>
  <si>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S</t>
    </r>
  </si>
  <si>
    <t xml:space="preserve">Bus supply rail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</si>
  <si>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CM</t>
    </r>
  </si>
  <si>
    <t xml:space="preserve">Bus supply rail over voltage fault threshold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</si>
  <si>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CMOVR</t>
    </r>
  </si>
  <si>
    <t xml:space="preserve">Bus supply rail under voltage fault threshold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</si>
  <si>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CMUVL</t>
    </r>
  </si>
  <si>
    <t xml:space="preserve">Average current</t>
  </si>
  <si>
    <r>
      <rPr>
        <sz val="11"/>
        <color theme="1"/>
        <rFont val="Calibri"/>
        <family val="2"/>
        <charset val="204"/>
      </rPr>
      <t xml:space="preserve">I</t>
    </r>
    <r>
      <rPr>
        <vertAlign val="subscript"/>
        <sz val="11"/>
        <color theme="1"/>
        <rFont val="Calibri"/>
        <family val="2"/>
        <charset val="204"/>
      </rPr>
      <t xml:space="preserve">AVG</t>
    </r>
  </si>
  <si>
    <t xml:space="preserve">Overcurrent fault threshold</t>
  </si>
  <si>
    <r>
      <rPr>
        <sz val="11"/>
        <color theme="1"/>
        <rFont val="Calibri"/>
        <family val="2"/>
        <charset val="204"/>
      </rPr>
      <t xml:space="preserve">I</t>
    </r>
    <r>
      <rPr>
        <vertAlign val="subscript"/>
        <sz val="11"/>
        <color theme="1"/>
        <rFont val="Calibri"/>
        <family val="2"/>
        <charset val="204"/>
      </rPr>
      <t xml:space="preserve">OVR</t>
    </r>
  </si>
  <si>
    <t xml:space="preserve">ADC range selection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</si>
  <si>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SENSE_MAX</t>
    </r>
  </si>
  <si>
    <t xml:space="preserve">mV</t>
  </si>
  <si>
    <t xml:space="preserve">Temperature</t>
  </si>
  <si>
    <t xml:space="preserve">T</t>
  </si>
  <si>
    <t xml:space="preserve">°C</t>
  </si>
  <si>
    <t xml:space="preserve">VBUS voltage fault limit LSB</t>
  </si>
  <si>
    <t xml:space="preserve">VBUS LSB</t>
  </si>
  <si>
    <r>
      <rPr>
        <sz val="11"/>
        <color theme="1"/>
        <rFont val="Calibri"/>
        <family val="2"/>
        <charset val="204"/>
      </rPr>
      <t xml:space="preserve">R</t>
    </r>
    <r>
      <rPr>
        <vertAlign val="subscript"/>
        <sz val="11"/>
        <color theme="1"/>
        <rFont val="Calibri"/>
        <family val="2"/>
        <charset val="204"/>
      </rPr>
      <t xml:space="preserve">SHUNT</t>
    </r>
    <r>
      <rPr>
        <sz val="11"/>
        <color theme="1"/>
        <rFont val="Calibri"/>
        <family val="2"/>
        <charset val="204"/>
      </rPr>
      <t xml:space="preserve"> should be less than</t>
    </r>
  </si>
  <si>
    <r>
      <rPr>
        <sz val="11"/>
        <color theme="1"/>
        <rFont val="Calibri"/>
        <family val="2"/>
        <charset val="204"/>
      </rPr>
      <t xml:space="preserve">m</t>
    </r>
    <r>
      <rPr>
        <sz val="13"/>
        <color theme="1"/>
        <rFont val="Calibri"/>
        <family val="2"/>
        <charset val="204"/>
      </rPr>
      <t xml:space="preserve">Ω</t>
    </r>
  </si>
  <si>
    <r>
      <rPr>
        <sz val="11"/>
        <color theme="1"/>
        <rFont val="Calibri"/>
        <family val="2"/>
        <charset val="204"/>
      </rPr>
      <t xml:space="preserve">Selected R</t>
    </r>
    <r>
      <rPr>
        <vertAlign val="subscript"/>
        <sz val="11"/>
        <color theme="1"/>
        <rFont val="Calibri"/>
        <family val="2"/>
        <charset val="204"/>
      </rPr>
      <t xml:space="preserve">SHUNT</t>
    </r>
  </si>
  <si>
    <r>
      <rPr>
        <sz val="11"/>
        <color theme="1"/>
        <rFont val="Calibri"/>
        <family val="2"/>
        <charset val="204"/>
      </rPr>
      <t xml:space="preserve">R</t>
    </r>
    <r>
      <rPr>
        <vertAlign val="subscript"/>
        <sz val="11"/>
        <color theme="1"/>
        <rFont val="Calibri"/>
        <family val="2"/>
        <charset val="204"/>
      </rPr>
      <t xml:space="preserve">SHUNT</t>
    </r>
  </si>
  <si>
    <r>
      <rPr>
        <sz val="11"/>
        <color theme="1"/>
        <rFont val="Calibri"/>
        <family val="2"/>
        <charset val="204"/>
      </rPr>
      <t xml:space="preserve">Average power disipated from R</t>
    </r>
    <r>
      <rPr>
        <vertAlign val="subscript"/>
        <sz val="11"/>
        <color theme="1"/>
        <rFont val="Calibri"/>
        <family val="2"/>
        <charset val="204"/>
      </rPr>
      <t xml:space="preserve">SHUNT</t>
    </r>
  </si>
  <si>
    <r>
      <rPr>
        <sz val="11"/>
        <color theme="1"/>
        <rFont val="Calibri"/>
        <family val="2"/>
        <charset val="204"/>
      </rPr>
      <t xml:space="preserve">Maximal power disipated from R</t>
    </r>
    <r>
      <rPr>
        <vertAlign val="subscript"/>
        <sz val="11"/>
        <color theme="1"/>
        <rFont val="Calibri"/>
        <family val="2"/>
        <charset val="204"/>
      </rPr>
      <t xml:space="preserve">SHUNT</t>
    </r>
  </si>
  <si>
    <t xml:space="preserve">VBUS register</t>
  </si>
  <si>
    <t xml:space="preserve">VBUS</t>
  </si>
  <si>
    <r>
      <rPr>
        <sz val="11"/>
        <color theme="1"/>
        <rFont val="Calibri"/>
        <family val="2"/>
        <charset val="204"/>
      </rPr>
      <t xml:space="preserve">V</t>
    </r>
    <r>
      <rPr>
        <vertAlign val="subscript"/>
        <sz val="11"/>
        <color theme="1"/>
        <rFont val="Calibri"/>
        <family val="2"/>
        <charset val="204"/>
      </rPr>
      <t xml:space="preserve">BUS</t>
    </r>
  </si>
  <si>
    <t xml:space="preserve">Current LSB</t>
  </si>
  <si>
    <t xml:space="preserve">SHUNT_CAL register</t>
  </si>
  <si>
    <t xml:space="preserve">SHUNT_CAL</t>
  </si>
  <si>
    <t xml:space="preserve">Shunt over voltage limit  register</t>
  </si>
  <si>
    <t xml:space="preserve">SOVL</t>
  </si>
  <si>
    <t xml:space="preserve">Shunt under voltage limit(negative abs max)</t>
  </si>
  <si>
    <t xml:space="preserve">SUVL</t>
  </si>
  <si>
    <t xml:space="preserve">Over voltage limit register</t>
  </si>
  <si>
    <t xml:space="preserve">BOVL</t>
  </si>
  <si>
    <t xml:space="preserve">Under vlotage limit register</t>
  </si>
  <si>
    <t xml:space="preserve">BUVL</t>
  </si>
  <si>
    <t xml:space="preserve">Current [A] = CURRENT_LSB x CURRENT -&gt; CURRENT_LSB x CURRENT * 1000.0 [mA]</t>
  </si>
  <si>
    <t xml:space="preserve">Power [W] = 0.2 x CURRENT_LSB [uV] x POWER -&gt; 0.2 x CURRENT_LSB x POWER / 1E6 [W]</t>
  </si>
  <si>
    <t xml:space="preserve">from datasheet</t>
  </si>
  <si>
    <t xml:space="preserve">OURS</t>
  </si>
  <si>
    <t xml:space="preserve">POWER SUPPLY INA238</t>
  </si>
  <si>
    <t xml:space="preserve">VBUS RAIL THRESHOLD</t>
  </si>
  <si>
    <t xml:space="preserve">IAVG</t>
  </si>
  <si>
    <t xml:space="preserve">IMAX</t>
  </si>
  <si>
    <t xml:space="preserve">ADC RANGE</t>
  </si>
  <si>
    <t xml:space="preserve">LSB value</t>
  </si>
  <si>
    <t xml:space="preserve">uV/LSB</t>
  </si>
  <si>
    <t xml:space="preserve">degree</t>
  </si>
  <si>
    <t xml:space="preserve">RSHUNT to be less than</t>
  </si>
  <si>
    <t xml:space="preserve">mOhm</t>
  </si>
  <si>
    <t xml:space="preserve">SELECTED Rshunt</t>
  </si>
  <si>
    <t xml:space="preserve">CURRENT_LSB</t>
  </si>
  <si>
    <t xml:space="preserve">uA</t>
  </si>
  <si>
    <t xml:space="preserve">dec</t>
  </si>
  <si>
    <t xml:space="preserve">hex</t>
  </si>
  <si>
    <t xml:space="preserve">Returned values</t>
  </si>
  <si>
    <t xml:space="preserve">Vshunt</t>
  </si>
  <si>
    <t xml:space="preserve">Translation from one measuring unit (UNIT2) to another measuring unit (UNIT1)</t>
  </si>
  <si>
    <t xml:space="preserve">Insert min and max limits in yellow cells and an actual value of UNIT2 in the green cell.</t>
  </si>
  <si>
    <t xml:space="preserve">See the result in the blue cell.</t>
  </si>
  <si>
    <t xml:space="preserve">INP_MIN_INPUT_VALUE_UNIT1</t>
  </si>
  <si>
    <t xml:space="preserve">INP_MIN_INPUT_VALUE_UNIT2</t>
  </si>
  <si>
    <t xml:space="preserve">INP_MAX_INPUT_VALUE_UNIT1</t>
  </si>
  <si>
    <t xml:space="preserve">INP_MAX_INPUT_VALUE_UNIT2</t>
  </si>
  <si>
    <t xml:space="preserve">Y_UNIT1</t>
  </si>
  <si>
    <t xml:space="preserve">X_UNIT2</t>
  </si>
  <si>
    <t xml:space="preserve">The formula is</t>
  </si>
  <si>
    <t xml:space="preserve">Y_UNIT1 = INP_MIN_INPUT_VALUE_UNIT1+X_UNIT2*(INP_MAX_INPUT_VALUE_UNIT1-INP_MIN_INPUT_VALUE_UNIT1)/(INP_MAX_INPUT_VALUE_UNIT2-INP_MIN_INPUT_VALUE_UNIT2)</t>
  </si>
  <si>
    <t xml:space="preserve">Use this formula in your code and rename constants as it is needed.</t>
  </si>
  <si>
    <t xml:space="preserve">ADC 8 bits</t>
  </si>
  <si>
    <t xml:space="preserve">SINE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</si>
</sst>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0.000"/>
    <numFmt numFmtId="166" formatCode="0%"/>
    <numFmt numFmtId="167" formatCode="0.00%"/>
    <numFmt numFmtId="168" formatCode="0.00"/>
    <numFmt numFmtId="169" formatCode="#,##0.00"/>
    <numFmt numFmtId="170" formatCode="General"/>
    <numFmt numFmtId="171" formatCode="0.00000"/>
    <numFmt numFmtId="172" formatCode="0.000%"/>
    <numFmt numFmtId="173" formatCode="0"/>
    <numFmt numFmtId="174" formatCode="0.0000000%"/>
    <numFmt numFmtId="175" formatCode="0.000000000"/>
    <numFmt numFmtId="176" formatCode="#,##0.000000"/>
    <numFmt numFmtId="177" formatCode="yyyy/mm/dd"/>
    <numFmt numFmtId="178" formatCode="0.0"/>
    <numFmt numFmtId="179" formatCode="0.000000"/>
    <numFmt numFmtId="180" formatCode="##0.0000E+0"/>
    <numFmt numFmtId="181" formatCode="0.0000000000"/>
    <numFmt numFmtId="182" formatCode="0.000000000000"/>
    <numFmt numFmtId="183" formatCode="0.0000000"/>
  </numFmts>
  <fonts count="33">
    <font>
      <sz val="11"/>
      <color theme="1"/>
      <name val="Yu Gothic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i val="true"/>
      <sz val="11"/>
      <color theme="3"/>
      <name val="Calibri"/>
      <family val="2"/>
      <charset val="204"/>
    </font>
    <font>
      <sz val="9"/>
      <color theme="1"/>
      <name val="Calibri"/>
      <family val="2"/>
      <charset val="204"/>
    </font>
    <font>
      <i val="true"/>
      <sz val="9"/>
      <color theme="3"/>
      <name val="Calibri"/>
      <family val="2"/>
      <charset val="204"/>
    </font>
    <font>
      <b val="true"/>
      <vertAlign val="subscript"/>
      <sz val="11"/>
      <color theme="1"/>
      <name val="Calibri"/>
      <family val="2"/>
      <charset val="204"/>
    </font>
    <font>
      <b val="true"/>
      <sz val="12"/>
      <color rgb="FF000000"/>
      <name val="Calibri"/>
      <family val="2"/>
    </font>
    <font>
      <sz val="10"/>
      <color rgb="FF000000"/>
      <name val="Yu Gothic"/>
      <family val="2"/>
    </font>
    <font>
      <b val="true"/>
      <sz val="11"/>
      <color theme="1"/>
      <name val="Yu Gothic"/>
      <family val="2"/>
      <charset val="204"/>
    </font>
    <font>
      <i val="true"/>
      <sz val="11"/>
      <color theme="3"/>
      <name val="Yu Gothic"/>
      <family val="2"/>
      <charset val="204"/>
    </font>
    <font>
      <sz val="10"/>
      <color theme="1"/>
      <name val="Yu Gothic"/>
      <family val="2"/>
      <charset val="204"/>
    </font>
    <font>
      <sz val="10"/>
      <color theme="1"/>
      <name val="Calibri"/>
      <family val="2"/>
      <charset val="204"/>
    </font>
    <font>
      <vertAlign val="subscript"/>
      <sz val="10"/>
      <color theme="1"/>
      <name val="Calibri"/>
      <family val="2"/>
      <charset val="204"/>
    </font>
    <font>
      <b val="true"/>
      <sz val="10"/>
      <color theme="1"/>
      <name val="Calibri"/>
      <family val="2"/>
      <charset val="204"/>
    </font>
    <font>
      <b val="true"/>
      <vertAlign val="subscript"/>
      <sz val="10"/>
      <color theme="1"/>
      <name val="Calibri"/>
      <family val="2"/>
      <charset val="204"/>
    </font>
    <font>
      <i val="true"/>
      <sz val="10"/>
      <color theme="3"/>
      <name val="Calibri"/>
      <family val="2"/>
      <charset val="204"/>
    </font>
    <font>
      <i val="true"/>
      <sz val="10"/>
      <color theme="3"/>
      <name val="Yu Gothic"/>
      <family val="2"/>
      <charset val="204"/>
    </font>
    <font>
      <sz val="10"/>
      <color theme="1"/>
      <name val="Century Gothic"/>
      <family val="2"/>
      <charset val="204"/>
    </font>
    <font>
      <sz val="11"/>
      <color rgb="FFFF0000"/>
      <name val="Calibri"/>
      <family val="2"/>
      <charset val="204"/>
    </font>
    <font>
      <i val="true"/>
      <sz val="11"/>
      <color theme="1"/>
      <name val="Yu Gothic"/>
      <family val="2"/>
      <charset val="204"/>
    </font>
    <font>
      <u val="single"/>
      <sz val="11"/>
      <color theme="10"/>
      <name val="Calibri"/>
      <family val="2"/>
      <charset val="204"/>
    </font>
    <font>
      <u val="single"/>
      <sz val="11"/>
      <color theme="10"/>
      <name val="Yu Gothic"/>
      <family val="2"/>
      <charset val="204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3"/>
      <color theme="1"/>
      <name val="Calibri"/>
      <family val="2"/>
      <charset val="204"/>
    </font>
    <font>
      <i val="true"/>
      <sz val="11"/>
      <color theme="1"/>
      <name val="Calibri"/>
      <family val="2"/>
      <charset val="204"/>
    </font>
    <font>
      <b val="true"/>
      <sz val="8"/>
      <color theme="1"/>
      <name val="Courier New"/>
      <family val="3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05"/>
        <bgColor rgb="FFEEECE1"/>
      </patternFill>
    </fill>
    <fill>
      <patternFill patternType="solid">
        <fgColor theme="0" tint="-0.15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rgb="FF003300"/>
      </patternFill>
    </fill>
    <fill>
      <patternFill patternType="solid">
        <fgColor theme="8" tint="0.7999"/>
        <bgColor rgb="FFEEECE1"/>
      </patternFill>
    </fill>
    <fill>
      <patternFill patternType="solid">
        <fgColor theme="2"/>
        <bgColor rgb="FFF2F2F2"/>
      </patternFill>
    </fill>
    <fill>
      <patternFill patternType="solid">
        <fgColor rgb="FFB4C7DC"/>
        <bgColor rgb="FFB7B7B7"/>
      </patternFill>
    </fill>
    <fill>
      <patternFill patternType="solid">
        <fgColor rgb="FFFFBF00"/>
        <bgColor rgb="FFFF9900"/>
      </patternFill>
    </fill>
    <fill>
      <patternFill patternType="solid">
        <fgColor rgb="FFDDDDDD"/>
        <bgColor rgb="FFD9D9D9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ck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4" borderId="9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4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4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5" fillId="3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5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3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5" fillId="3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4" borderId="9" xfId="19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3" fontId="5" fillId="3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4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9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7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3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1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4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3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20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0" fillId="4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5" fontId="5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7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6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7" fillId="0" borderId="9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5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5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2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9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81" fontId="5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5" fillId="4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2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1" fillId="4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5" fillId="8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9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ont>
        <name val="Yu Gothic"/>
        <charset val="204"/>
        <family val="2"/>
        <b val="1"/>
        <color rgb="FFFFFFFF"/>
        <sz val="11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BE4B48"/>
      <rgbColor rgb="FFF2F2F2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EEECE1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Voutrb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'Voltage Divider'!$Z$10</c:f>
              <c:strCache>
                <c:ptCount val="1"/>
                <c:pt idx="0">
                  <c:v>Voutrb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'Voltage Divider'!$Y$11:$Y$111</c:f>
              <c:strCache>
                <c:ptCount val="101"/>
                <c:pt idx="0">
                  <c:v>0.00</c:v>
                </c:pt>
                <c:pt idx="1">
                  <c:v>47.00</c:v>
                </c:pt>
                <c:pt idx="2">
                  <c:v>94.00</c:v>
                </c:pt>
                <c:pt idx="3">
                  <c:v>141.00</c:v>
                </c:pt>
                <c:pt idx="4">
                  <c:v>188.00</c:v>
                </c:pt>
                <c:pt idx="5">
                  <c:v>235.00</c:v>
                </c:pt>
                <c:pt idx="6">
                  <c:v>282.00</c:v>
                </c:pt>
                <c:pt idx="7">
                  <c:v>329.00</c:v>
                </c:pt>
                <c:pt idx="8">
                  <c:v>376.00</c:v>
                </c:pt>
                <c:pt idx="9">
                  <c:v>423.00</c:v>
                </c:pt>
                <c:pt idx="10">
                  <c:v>470.00</c:v>
                </c:pt>
                <c:pt idx="11">
                  <c:v>517.00</c:v>
                </c:pt>
                <c:pt idx="12">
                  <c:v>564.00</c:v>
                </c:pt>
                <c:pt idx="13">
                  <c:v>611.00</c:v>
                </c:pt>
                <c:pt idx="14">
                  <c:v>658.00</c:v>
                </c:pt>
                <c:pt idx="15">
                  <c:v>705.00</c:v>
                </c:pt>
                <c:pt idx="16">
                  <c:v>752.00</c:v>
                </c:pt>
                <c:pt idx="17">
                  <c:v>799.00</c:v>
                </c:pt>
                <c:pt idx="18">
                  <c:v>846.00</c:v>
                </c:pt>
                <c:pt idx="19">
                  <c:v>893.00</c:v>
                </c:pt>
                <c:pt idx="20">
                  <c:v>940.00</c:v>
                </c:pt>
                <c:pt idx="21">
                  <c:v>987.00</c:v>
                </c:pt>
                <c:pt idx="22">
                  <c:v>1034.00</c:v>
                </c:pt>
                <c:pt idx="23">
                  <c:v>1081.00</c:v>
                </c:pt>
                <c:pt idx="24">
                  <c:v>1128.00</c:v>
                </c:pt>
                <c:pt idx="25">
                  <c:v>1175.00</c:v>
                </c:pt>
                <c:pt idx="26">
                  <c:v>1222.00</c:v>
                </c:pt>
                <c:pt idx="27">
                  <c:v>1269.00</c:v>
                </c:pt>
                <c:pt idx="28">
                  <c:v>1316.00</c:v>
                </c:pt>
                <c:pt idx="29">
                  <c:v>1363.00</c:v>
                </c:pt>
                <c:pt idx="30">
                  <c:v>1410.00</c:v>
                </c:pt>
                <c:pt idx="31">
                  <c:v>1457.00</c:v>
                </c:pt>
                <c:pt idx="32">
                  <c:v>1504.00</c:v>
                </c:pt>
                <c:pt idx="33">
                  <c:v>1551.00</c:v>
                </c:pt>
                <c:pt idx="34">
                  <c:v>1598.00</c:v>
                </c:pt>
                <c:pt idx="35">
                  <c:v>1645.00</c:v>
                </c:pt>
                <c:pt idx="36">
                  <c:v>1692.00</c:v>
                </c:pt>
                <c:pt idx="37">
                  <c:v>1739.00</c:v>
                </c:pt>
                <c:pt idx="38">
                  <c:v>1786.00</c:v>
                </c:pt>
                <c:pt idx="39">
                  <c:v>1833.00</c:v>
                </c:pt>
                <c:pt idx="40">
                  <c:v>1880.00</c:v>
                </c:pt>
                <c:pt idx="41">
                  <c:v>1927.00</c:v>
                </c:pt>
                <c:pt idx="42">
                  <c:v>1974.00</c:v>
                </c:pt>
                <c:pt idx="43">
                  <c:v>2021.00</c:v>
                </c:pt>
                <c:pt idx="44">
                  <c:v>2068.00</c:v>
                </c:pt>
                <c:pt idx="45">
                  <c:v>2115.00</c:v>
                </c:pt>
                <c:pt idx="46">
                  <c:v>2162.00</c:v>
                </c:pt>
                <c:pt idx="47">
                  <c:v>2209.00</c:v>
                </c:pt>
                <c:pt idx="48">
                  <c:v>2256.00</c:v>
                </c:pt>
                <c:pt idx="49">
                  <c:v>2303.00</c:v>
                </c:pt>
                <c:pt idx="50">
                  <c:v>2350.00</c:v>
                </c:pt>
                <c:pt idx="51">
                  <c:v>2397.00</c:v>
                </c:pt>
                <c:pt idx="52">
                  <c:v>2444.00</c:v>
                </c:pt>
                <c:pt idx="53">
                  <c:v>2491.00</c:v>
                </c:pt>
                <c:pt idx="54">
                  <c:v>2538.00</c:v>
                </c:pt>
                <c:pt idx="55">
                  <c:v>2585.00</c:v>
                </c:pt>
                <c:pt idx="56">
                  <c:v>2632.00</c:v>
                </c:pt>
                <c:pt idx="57">
                  <c:v>2679.00</c:v>
                </c:pt>
                <c:pt idx="58">
                  <c:v>2726.00</c:v>
                </c:pt>
                <c:pt idx="59">
                  <c:v>2773.00</c:v>
                </c:pt>
                <c:pt idx="60">
                  <c:v>2820.00</c:v>
                </c:pt>
                <c:pt idx="61">
                  <c:v>2867.00</c:v>
                </c:pt>
                <c:pt idx="62">
                  <c:v>2914.00</c:v>
                </c:pt>
                <c:pt idx="63">
                  <c:v>2961.00</c:v>
                </c:pt>
                <c:pt idx="64">
                  <c:v>3008.00</c:v>
                </c:pt>
                <c:pt idx="65">
                  <c:v>3055.00</c:v>
                </c:pt>
                <c:pt idx="66">
                  <c:v>3102.00</c:v>
                </c:pt>
                <c:pt idx="67">
                  <c:v>3149.00</c:v>
                </c:pt>
                <c:pt idx="68">
                  <c:v>3196.00</c:v>
                </c:pt>
                <c:pt idx="69">
                  <c:v>3243.00</c:v>
                </c:pt>
                <c:pt idx="70">
                  <c:v>3290.00</c:v>
                </c:pt>
                <c:pt idx="71">
                  <c:v>3337.00</c:v>
                </c:pt>
                <c:pt idx="72">
                  <c:v>3384.00</c:v>
                </c:pt>
                <c:pt idx="73">
                  <c:v>3431.00</c:v>
                </c:pt>
                <c:pt idx="74">
                  <c:v>3478.00</c:v>
                </c:pt>
                <c:pt idx="75">
                  <c:v>3525.00</c:v>
                </c:pt>
                <c:pt idx="76">
                  <c:v>3572.00</c:v>
                </c:pt>
                <c:pt idx="77">
                  <c:v>3619.00</c:v>
                </c:pt>
                <c:pt idx="78">
                  <c:v>3666.00</c:v>
                </c:pt>
                <c:pt idx="79">
                  <c:v>3713.00</c:v>
                </c:pt>
                <c:pt idx="80">
                  <c:v>3760.00</c:v>
                </c:pt>
                <c:pt idx="81">
                  <c:v>3807.00</c:v>
                </c:pt>
                <c:pt idx="82">
                  <c:v>3854.00</c:v>
                </c:pt>
                <c:pt idx="83">
                  <c:v>3901.00</c:v>
                </c:pt>
                <c:pt idx="84">
                  <c:v>3948.00</c:v>
                </c:pt>
                <c:pt idx="85">
                  <c:v>3995.00</c:v>
                </c:pt>
                <c:pt idx="86">
                  <c:v>4042.00</c:v>
                </c:pt>
                <c:pt idx="87">
                  <c:v>4089.00</c:v>
                </c:pt>
                <c:pt idx="88">
                  <c:v>4136.00</c:v>
                </c:pt>
                <c:pt idx="89">
                  <c:v>4183.00</c:v>
                </c:pt>
                <c:pt idx="90">
                  <c:v>4230.00</c:v>
                </c:pt>
                <c:pt idx="91">
                  <c:v>4277.00</c:v>
                </c:pt>
                <c:pt idx="92">
                  <c:v>4324.00</c:v>
                </c:pt>
                <c:pt idx="93">
                  <c:v>4371.00</c:v>
                </c:pt>
                <c:pt idx="94">
                  <c:v>4418.00</c:v>
                </c:pt>
                <c:pt idx="95">
                  <c:v>4465.00</c:v>
                </c:pt>
                <c:pt idx="96">
                  <c:v>4512.00</c:v>
                </c:pt>
                <c:pt idx="97">
                  <c:v>4559.00</c:v>
                </c:pt>
                <c:pt idx="98">
                  <c:v>4606.00</c:v>
                </c:pt>
                <c:pt idx="99">
                  <c:v>4653.00</c:v>
                </c:pt>
                <c:pt idx="100">
                  <c:v>4700.00</c:v>
                </c:pt>
              </c:strCache>
            </c:strRef>
          </c:cat>
          <c:val>
            <c:numRef>
              <c:f>'Voltage Divider'!$Z$11:$Z$111</c:f>
              <c:numCache>
                <c:formatCode>General</c:formatCode>
                <c:ptCount val="101"/>
                <c:pt idx="0">
                  <c:v>0</c:v>
                </c:pt>
                <c:pt idx="1">
                  <c:v>0.00227247086885748</c:v>
                </c:pt>
                <c:pt idx="2">
                  <c:v>0.00454150159435694</c:v>
                </c:pt>
                <c:pt idx="3">
                  <c:v>0.00680709998229832</c:v>
                </c:pt>
                <c:pt idx="4">
                  <c:v>0.0090692738148839</c:v>
                </c:pt>
                <c:pt idx="5">
                  <c:v>0.0113280308508074</c:v>
                </c:pt>
                <c:pt idx="6">
                  <c:v>0.0135833788253428</c:v>
                </c:pt>
                <c:pt idx="7">
                  <c:v>0.0158353254504324</c:v>
                </c:pt>
                <c:pt idx="8">
                  <c:v>0.0180838784147749</c:v>
                </c:pt>
                <c:pt idx="9">
                  <c:v>0.020329045383913</c:v>
                </c:pt>
                <c:pt idx="10">
                  <c:v>0.0225708340003202</c:v>
                </c:pt>
                <c:pt idx="11">
                  <c:v>0.0248092518834877</c:v>
                </c:pt>
                <c:pt idx="12">
                  <c:v>0.0270443066300109</c:v>
                </c:pt>
                <c:pt idx="13">
                  <c:v>0.0292760058136749</c:v>
                </c:pt>
                <c:pt idx="14">
                  <c:v>0.0315043569855406</c:v>
                </c:pt>
                <c:pt idx="15">
                  <c:v>0.0337293676740292</c:v>
                </c:pt>
                <c:pt idx="16">
                  <c:v>0.0359510453850077</c:v>
                </c:pt>
                <c:pt idx="17">
                  <c:v>0.0381693976018726</c:v>
                </c:pt>
                <c:pt idx="18">
                  <c:v>0.0403844317856347</c:v>
                </c:pt>
                <c:pt idx="19">
                  <c:v>0.042596155375002</c:v>
                </c:pt>
                <c:pt idx="20">
                  <c:v>0.0448045757864633</c:v>
                </c:pt>
                <c:pt idx="21">
                  <c:v>0.0470097004143712</c:v>
                </c:pt>
                <c:pt idx="22">
                  <c:v>0.0492115366310245</c:v>
                </c:pt>
                <c:pt idx="23">
                  <c:v>0.0514100917867504</c:v>
                </c:pt>
                <c:pt idx="24">
                  <c:v>0.0536053732099861</c:v>
                </c:pt>
                <c:pt idx="25">
                  <c:v>0.0557973882073605</c:v>
                </c:pt>
                <c:pt idx="26">
                  <c:v>0.0579861440637753</c:v>
                </c:pt>
                <c:pt idx="27">
                  <c:v>0.0601716480424853</c:v>
                </c:pt>
                <c:pt idx="28">
                  <c:v>0.0623539073851791</c:v>
                </c:pt>
                <c:pt idx="29">
                  <c:v>0.0645329293120591</c:v>
                </c:pt>
                <c:pt idx="30">
                  <c:v>0.0667087210219208</c:v>
                </c:pt>
                <c:pt idx="31">
                  <c:v>0.0688812896922325</c:v>
                </c:pt>
                <c:pt idx="32">
                  <c:v>0.0710506424792139</c:v>
                </c:pt>
                <c:pt idx="33">
                  <c:v>0.0732167865179147</c:v>
                </c:pt>
                <c:pt idx="34">
                  <c:v>0.0753797289222932</c:v>
                </c:pt>
                <c:pt idx="35">
                  <c:v>0.0775394767852934</c:v>
                </c:pt>
                <c:pt idx="36">
                  <c:v>0.0796960371789236</c:v>
                </c:pt>
                <c:pt idx="37">
                  <c:v>0.0818494171543325</c:v>
                </c:pt>
                <c:pt idx="38">
                  <c:v>0.0839996237418869</c:v>
                </c:pt>
                <c:pt idx="39">
                  <c:v>0.0861466639512478</c:v>
                </c:pt>
                <c:pt idx="40">
                  <c:v>0.0882905447714465</c:v>
                </c:pt>
                <c:pt idx="41">
                  <c:v>0.0904312731709606</c:v>
                </c:pt>
                <c:pt idx="42">
                  <c:v>0.0925688560977897</c:v>
                </c:pt>
                <c:pt idx="43">
                  <c:v>0.0947033004795302</c:v>
                </c:pt>
                <c:pt idx="44">
                  <c:v>0.0968346132234501</c:v>
                </c:pt>
                <c:pt idx="45">
                  <c:v>0.098962801216564</c:v>
                </c:pt>
                <c:pt idx="46">
                  <c:v>0.101087871325707</c:v>
                </c:pt>
                <c:pt idx="47">
                  <c:v>0.103209830397608</c:v>
                </c:pt>
                <c:pt idx="48">
                  <c:v>0.105328685258964</c:v>
                </c:pt>
                <c:pt idx="49">
                  <c:v>0.107444442716514</c:v>
                </c:pt>
                <c:pt idx="50">
                  <c:v>0.10955710955711</c:v>
                </c:pt>
                <c:pt idx="51">
                  <c:v>0.111666692547789</c:v>
                </c:pt>
                <c:pt idx="52">
                  <c:v>0.113773198435851</c:v>
                </c:pt>
                <c:pt idx="53">
                  <c:v>0.115876633948923</c:v>
                </c:pt>
                <c:pt idx="54">
                  <c:v>0.117977005795035</c:v>
                </c:pt>
                <c:pt idx="55">
                  <c:v>0.120074320662693</c:v>
                </c:pt>
                <c:pt idx="56">
                  <c:v>0.122168585220943</c:v>
                </c:pt>
                <c:pt idx="57">
                  <c:v>0.124259806119451</c:v>
                </c:pt>
                <c:pt idx="58">
                  <c:v>0.126347989988567</c:v>
                </c:pt>
                <c:pt idx="59">
                  <c:v>0.128433143439396</c:v>
                </c:pt>
                <c:pt idx="60">
                  <c:v>0.130515273063869</c:v>
                </c:pt>
                <c:pt idx="61">
                  <c:v>0.132594385434813</c:v>
                </c:pt>
                <c:pt idx="62">
                  <c:v>0.134670487106017</c:v>
                </c:pt>
                <c:pt idx="63">
                  <c:v>0.136743584612306</c:v>
                </c:pt>
                <c:pt idx="64">
                  <c:v>0.138813684469604</c:v>
                </c:pt>
                <c:pt idx="65">
                  <c:v>0.140880793175006</c:v>
                </c:pt>
                <c:pt idx="66">
                  <c:v>0.142944917206845</c:v>
                </c:pt>
                <c:pt idx="67">
                  <c:v>0.145006063024759</c:v>
                </c:pt>
                <c:pt idx="68">
                  <c:v>0.147064237069759</c:v>
                </c:pt>
                <c:pt idx="69">
                  <c:v>0.149119445764297</c:v>
                </c:pt>
                <c:pt idx="70">
                  <c:v>0.15117169551233</c:v>
                </c:pt>
                <c:pt idx="71">
                  <c:v>0.153220992699389</c:v>
                </c:pt>
                <c:pt idx="72">
                  <c:v>0.155267343692647</c:v>
                </c:pt>
                <c:pt idx="73">
                  <c:v>0.157310754840978</c:v>
                </c:pt>
                <c:pt idx="74">
                  <c:v>0.15935123247503</c:v>
                </c:pt>
                <c:pt idx="75">
                  <c:v>0.161388782907287</c:v>
                </c:pt>
                <c:pt idx="76">
                  <c:v>0.163423412432136</c:v>
                </c:pt>
                <c:pt idx="77">
                  <c:v>0.165455127325927</c:v>
                </c:pt>
                <c:pt idx="78">
                  <c:v>0.167483933847044</c:v>
                </c:pt>
                <c:pt idx="79">
                  <c:v>0.169509838235966</c:v>
                </c:pt>
                <c:pt idx="80">
                  <c:v>0.171532846715328</c:v>
                </c:pt>
                <c:pt idx="81">
                  <c:v>0.173552965489993</c:v>
                </c:pt>
                <c:pt idx="82">
                  <c:v>0.175570200747107</c:v>
                </c:pt>
                <c:pt idx="83">
                  <c:v>0.177584558656166</c:v>
                </c:pt>
                <c:pt idx="84">
                  <c:v>0.179596045369079</c:v>
                </c:pt>
                <c:pt idx="85">
                  <c:v>0.181604667020229</c:v>
                </c:pt>
                <c:pt idx="86">
                  <c:v>0.183610429726538</c:v>
                </c:pt>
                <c:pt idx="87">
                  <c:v>0.185613339587526</c:v>
                </c:pt>
                <c:pt idx="88">
                  <c:v>0.187613402685376</c:v>
                </c:pt>
                <c:pt idx="89">
                  <c:v>0.189610625084992</c:v>
                </c:pt>
                <c:pt idx="90">
                  <c:v>0.191605012834063</c:v>
                </c:pt>
                <c:pt idx="91">
                  <c:v>0.193596571963124</c:v>
                </c:pt>
                <c:pt idx="92">
                  <c:v>0.195585308485616</c:v>
                </c:pt>
                <c:pt idx="93">
                  <c:v>0.197571228397945</c:v>
                </c:pt>
                <c:pt idx="94">
                  <c:v>0.199554337679545</c:v>
                </c:pt>
                <c:pt idx="95">
                  <c:v>0.201534642292936</c:v>
                </c:pt>
                <c:pt idx="96">
                  <c:v>0.203512148183786</c:v>
                </c:pt>
                <c:pt idx="97">
                  <c:v>0.205486861280969</c:v>
                </c:pt>
                <c:pt idx="98">
                  <c:v>0.207458787496622</c:v>
                </c:pt>
                <c:pt idx="99">
                  <c:v>0.209427932726209</c:v>
                </c:pt>
                <c:pt idx="100">
                  <c:v>0.211394302848576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198498"/>
        <c:axId val="18379854"/>
      </c:lineChart>
      <c:catAx>
        <c:axId val="6919849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379854"/>
        <c:crosses val="autoZero"/>
        <c:auto val="1"/>
        <c:lblAlgn val="ctr"/>
        <c:lblOffset val="100"/>
        <c:noMultiLvlLbl val="0"/>
      </c:catAx>
      <c:valAx>
        <c:axId val="183798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19849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Voutra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'Voltage Divider'!$X$10</c:f>
              <c:strCache>
                <c:ptCount val="1"/>
                <c:pt idx="0">
                  <c:v>Voutra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'Voltage Divider'!$Y$11:$Y$111</c:f>
              <c:strCache>
                <c:ptCount val="101"/>
                <c:pt idx="0">
                  <c:v>0.00</c:v>
                </c:pt>
                <c:pt idx="1">
                  <c:v>47.00</c:v>
                </c:pt>
                <c:pt idx="2">
                  <c:v>94.00</c:v>
                </c:pt>
                <c:pt idx="3">
                  <c:v>141.00</c:v>
                </c:pt>
                <c:pt idx="4">
                  <c:v>188.00</c:v>
                </c:pt>
                <c:pt idx="5">
                  <c:v>235.00</c:v>
                </c:pt>
                <c:pt idx="6">
                  <c:v>282.00</c:v>
                </c:pt>
                <c:pt idx="7">
                  <c:v>329.00</c:v>
                </c:pt>
                <c:pt idx="8">
                  <c:v>376.00</c:v>
                </c:pt>
                <c:pt idx="9">
                  <c:v>423.00</c:v>
                </c:pt>
                <c:pt idx="10">
                  <c:v>470.00</c:v>
                </c:pt>
                <c:pt idx="11">
                  <c:v>517.00</c:v>
                </c:pt>
                <c:pt idx="12">
                  <c:v>564.00</c:v>
                </c:pt>
                <c:pt idx="13">
                  <c:v>611.00</c:v>
                </c:pt>
                <c:pt idx="14">
                  <c:v>658.00</c:v>
                </c:pt>
                <c:pt idx="15">
                  <c:v>705.00</c:v>
                </c:pt>
                <c:pt idx="16">
                  <c:v>752.00</c:v>
                </c:pt>
                <c:pt idx="17">
                  <c:v>799.00</c:v>
                </c:pt>
                <c:pt idx="18">
                  <c:v>846.00</c:v>
                </c:pt>
                <c:pt idx="19">
                  <c:v>893.00</c:v>
                </c:pt>
                <c:pt idx="20">
                  <c:v>940.00</c:v>
                </c:pt>
                <c:pt idx="21">
                  <c:v>987.00</c:v>
                </c:pt>
                <c:pt idx="22">
                  <c:v>1034.00</c:v>
                </c:pt>
                <c:pt idx="23">
                  <c:v>1081.00</c:v>
                </c:pt>
                <c:pt idx="24">
                  <c:v>1128.00</c:v>
                </c:pt>
                <c:pt idx="25">
                  <c:v>1175.00</c:v>
                </c:pt>
                <c:pt idx="26">
                  <c:v>1222.00</c:v>
                </c:pt>
                <c:pt idx="27">
                  <c:v>1269.00</c:v>
                </c:pt>
                <c:pt idx="28">
                  <c:v>1316.00</c:v>
                </c:pt>
                <c:pt idx="29">
                  <c:v>1363.00</c:v>
                </c:pt>
                <c:pt idx="30">
                  <c:v>1410.00</c:v>
                </c:pt>
                <c:pt idx="31">
                  <c:v>1457.00</c:v>
                </c:pt>
                <c:pt idx="32">
                  <c:v>1504.00</c:v>
                </c:pt>
                <c:pt idx="33">
                  <c:v>1551.00</c:v>
                </c:pt>
                <c:pt idx="34">
                  <c:v>1598.00</c:v>
                </c:pt>
                <c:pt idx="35">
                  <c:v>1645.00</c:v>
                </c:pt>
                <c:pt idx="36">
                  <c:v>1692.00</c:v>
                </c:pt>
                <c:pt idx="37">
                  <c:v>1739.00</c:v>
                </c:pt>
                <c:pt idx="38">
                  <c:v>1786.00</c:v>
                </c:pt>
                <c:pt idx="39">
                  <c:v>1833.00</c:v>
                </c:pt>
                <c:pt idx="40">
                  <c:v>1880.00</c:v>
                </c:pt>
                <c:pt idx="41">
                  <c:v>1927.00</c:v>
                </c:pt>
                <c:pt idx="42">
                  <c:v>1974.00</c:v>
                </c:pt>
                <c:pt idx="43">
                  <c:v>2021.00</c:v>
                </c:pt>
                <c:pt idx="44">
                  <c:v>2068.00</c:v>
                </c:pt>
                <c:pt idx="45">
                  <c:v>2115.00</c:v>
                </c:pt>
                <c:pt idx="46">
                  <c:v>2162.00</c:v>
                </c:pt>
                <c:pt idx="47">
                  <c:v>2209.00</c:v>
                </c:pt>
                <c:pt idx="48">
                  <c:v>2256.00</c:v>
                </c:pt>
                <c:pt idx="49">
                  <c:v>2303.00</c:v>
                </c:pt>
                <c:pt idx="50">
                  <c:v>2350.00</c:v>
                </c:pt>
                <c:pt idx="51">
                  <c:v>2397.00</c:v>
                </c:pt>
                <c:pt idx="52">
                  <c:v>2444.00</c:v>
                </c:pt>
                <c:pt idx="53">
                  <c:v>2491.00</c:v>
                </c:pt>
                <c:pt idx="54">
                  <c:v>2538.00</c:v>
                </c:pt>
                <c:pt idx="55">
                  <c:v>2585.00</c:v>
                </c:pt>
                <c:pt idx="56">
                  <c:v>2632.00</c:v>
                </c:pt>
                <c:pt idx="57">
                  <c:v>2679.00</c:v>
                </c:pt>
                <c:pt idx="58">
                  <c:v>2726.00</c:v>
                </c:pt>
                <c:pt idx="59">
                  <c:v>2773.00</c:v>
                </c:pt>
                <c:pt idx="60">
                  <c:v>2820.00</c:v>
                </c:pt>
                <c:pt idx="61">
                  <c:v>2867.00</c:v>
                </c:pt>
                <c:pt idx="62">
                  <c:v>2914.00</c:v>
                </c:pt>
                <c:pt idx="63">
                  <c:v>2961.00</c:v>
                </c:pt>
                <c:pt idx="64">
                  <c:v>3008.00</c:v>
                </c:pt>
                <c:pt idx="65">
                  <c:v>3055.00</c:v>
                </c:pt>
                <c:pt idx="66">
                  <c:v>3102.00</c:v>
                </c:pt>
                <c:pt idx="67">
                  <c:v>3149.00</c:v>
                </c:pt>
                <c:pt idx="68">
                  <c:v>3196.00</c:v>
                </c:pt>
                <c:pt idx="69">
                  <c:v>3243.00</c:v>
                </c:pt>
                <c:pt idx="70">
                  <c:v>3290.00</c:v>
                </c:pt>
                <c:pt idx="71">
                  <c:v>3337.00</c:v>
                </c:pt>
                <c:pt idx="72">
                  <c:v>3384.00</c:v>
                </c:pt>
                <c:pt idx="73">
                  <c:v>3431.00</c:v>
                </c:pt>
                <c:pt idx="74">
                  <c:v>3478.00</c:v>
                </c:pt>
                <c:pt idx="75">
                  <c:v>3525.00</c:v>
                </c:pt>
                <c:pt idx="76">
                  <c:v>3572.00</c:v>
                </c:pt>
                <c:pt idx="77">
                  <c:v>3619.00</c:v>
                </c:pt>
                <c:pt idx="78">
                  <c:v>3666.00</c:v>
                </c:pt>
                <c:pt idx="79">
                  <c:v>3713.00</c:v>
                </c:pt>
                <c:pt idx="80">
                  <c:v>3760.00</c:v>
                </c:pt>
                <c:pt idx="81">
                  <c:v>3807.00</c:v>
                </c:pt>
                <c:pt idx="82">
                  <c:v>3854.00</c:v>
                </c:pt>
                <c:pt idx="83">
                  <c:v>3901.00</c:v>
                </c:pt>
                <c:pt idx="84">
                  <c:v>3948.00</c:v>
                </c:pt>
                <c:pt idx="85">
                  <c:v>3995.00</c:v>
                </c:pt>
                <c:pt idx="86">
                  <c:v>4042.00</c:v>
                </c:pt>
                <c:pt idx="87">
                  <c:v>4089.00</c:v>
                </c:pt>
                <c:pt idx="88">
                  <c:v>4136.00</c:v>
                </c:pt>
                <c:pt idx="89">
                  <c:v>4183.00</c:v>
                </c:pt>
                <c:pt idx="90">
                  <c:v>4230.00</c:v>
                </c:pt>
                <c:pt idx="91">
                  <c:v>4277.00</c:v>
                </c:pt>
                <c:pt idx="92">
                  <c:v>4324.00</c:v>
                </c:pt>
                <c:pt idx="93">
                  <c:v>4371.00</c:v>
                </c:pt>
                <c:pt idx="94">
                  <c:v>4418.00</c:v>
                </c:pt>
                <c:pt idx="95">
                  <c:v>4465.00</c:v>
                </c:pt>
                <c:pt idx="96">
                  <c:v>4512.00</c:v>
                </c:pt>
                <c:pt idx="97">
                  <c:v>4559.00</c:v>
                </c:pt>
                <c:pt idx="98">
                  <c:v>4606.00</c:v>
                </c:pt>
                <c:pt idx="99">
                  <c:v>4653.00</c:v>
                </c:pt>
                <c:pt idx="100">
                  <c:v>4700.00</c:v>
                </c:pt>
              </c:strCache>
            </c:strRef>
          </c:cat>
          <c:val>
            <c:numRef>
              <c:f>'Voltage Divider'!$X$11:$X$111</c:f>
              <c:numCache>
                <c:formatCode>General</c:formatCode>
                <c:ptCount val="101"/>
                <c:pt idx="0">
                  <c:v>3</c:v>
                </c:pt>
                <c:pt idx="1">
                  <c:v>2.65037593984962</c:v>
                </c:pt>
                <c:pt idx="2">
                  <c:v>2.37373737373737</c:v>
                </c:pt>
                <c:pt idx="3">
                  <c:v>2.14939024390244</c:v>
                </c:pt>
                <c:pt idx="4">
                  <c:v>1.96378830083565</c:v>
                </c:pt>
                <c:pt idx="5">
                  <c:v>1.80769230769231</c:v>
                </c:pt>
                <c:pt idx="6">
                  <c:v>1.67458432304038</c:v>
                </c:pt>
                <c:pt idx="7">
                  <c:v>1.55973451327434</c:v>
                </c:pt>
                <c:pt idx="8">
                  <c:v>1.45962732919255</c:v>
                </c:pt>
                <c:pt idx="9">
                  <c:v>1.3715953307393</c:v>
                </c:pt>
                <c:pt idx="10">
                  <c:v>1.29357798165138</c:v>
                </c:pt>
                <c:pt idx="11">
                  <c:v>1.22395833333333</c:v>
                </c:pt>
                <c:pt idx="12">
                  <c:v>1.16144975288303</c:v>
                </c:pt>
                <c:pt idx="13">
                  <c:v>1.10501567398119</c:v>
                </c:pt>
                <c:pt idx="14">
                  <c:v>1.05381165919283</c:v>
                </c:pt>
                <c:pt idx="15">
                  <c:v>1.00714285714286</c:v>
                </c:pt>
                <c:pt idx="16">
                  <c:v>0.964432284541724</c:v>
                </c:pt>
                <c:pt idx="17">
                  <c:v>0.925196850393701</c:v>
                </c:pt>
                <c:pt idx="18">
                  <c:v>0.889029003783102</c:v>
                </c:pt>
                <c:pt idx="19">
                  <c:v>0.855582524271845</c:v>
                </c:pt>
                <c:pt idx="20">
                  <c:v>0.824561403508772</c:v>
                </c:pt>
                <c:pt idx="21">
                  <c:v>0.795711060948081</c:v>
                </c:pt>
                <c:pt idx="22">
                  <c:v>0.768811341330425</c:v>
                </c:pt>
                <c:pt idx="23">
                  <c:v>0.743670886075949</c:v>
                </c:pt>
                <c:pt idx="24">
                  <c:v>0.720122574055158</c:v>
                </c:pt>
                <c:pt idx="25">
                  <c:v>0.698019801980198</c:v>
                </c:pt>
                <c:pt idx="26">
                  <c:v>0.677233429394813</c:v>
                </c:pt>
                <c:pt idx="27">
                  <c:v>0.657649253731343</c:v>
                </c:pt>
                <c:pt idx="28">
                  <c:v>0.639165911151405</c:v>
                </c:pt>
                <c:pt idx="29">
                  <c:v>0.621693121693122</c:v>
                </c:pt>
                <c:pt idx="30">
                  <c:v>0.605150214592275</c:v>
                </c:pt>
                <c:pt idx="31">
                  <c:v>0.589464882943144</c:v>
                </c:pt>
                <c:pt idx="32">
                  <c:v>0.574572127139364</c:v>
                </c:pt>
                <c:pt idx="33">
                  <c:v>0.560413354531002</c:v>
                </c:pt>
                <c:pt idx="34">
                  <c:v>0.546935608999224</c:v>
                </c:pt>
                <c:pt idx="35">
                  <c:v>0.534090909090909</c:v>
                </c:pt>
                <c:pt idx="36">
                  <c:v>0.521835677276092</c:v>
                </c:pt>
                <c:pt idx="37">
                  <c:v>0.510130246020261</c:v>
                </c:pt>
                <c:pt idx="38">
                  <c:v>0.498938428874735</c:v>
                </c:pt>
                <c:pt idx="39">
                  <c:v>0.488227146814404</c:v>
                </c:pt>
                <c:pt idx="40">
                  <c:v>0.477966101694915</c:v>
                </c:pt>
                <c:pt idx="41">
                  <c:v>0.468127490039841</c:v>
                </c:pt>
                <c:pt idx="42">
                  <c:v>0.458685751463891</c:v>
                </c:pt>
                <c:pt idx="43">
                  <c:v>0.449617346938776</c:v>
                </c:pt>
                <c:pt idx="44">
                  <c:v>0.440900562851782</c:v>
                </c:pt>
                <c:pt idx="45">
                  <c:v>0.432515337423313</c:v>
                </c:pt>
                <c:pt idx="46">
                  <c:v>0.424443106562312</c:v>
                </c:pt>
                <c:pt idx="47">
                  <c:v>0.416666666666667</c:v>
                </c:pt>
                <c:pt idx="48">
                  <c:v>0.409170052234475</c:v>
                </c:pt>
                <c:pt idx="49">
                  <c:v>0.40193842645382</c:v>
                </c:pt>
                <c:pt idx="50">
                  <c:v>0.394957983193277</c:v>
                </c:pt>
                <c:pt idx="51">
                  <c:v>0.388215859030837</c:v>
                </c:pt>
                <c:pt idx="52">
                  <c:v>0.381700054141852</c:v>
                </c:pt>
                <c:pt idx="53">
                  <c:v>0.375399361022364</c:v>
                </c:pt>
                <c:pt idx="54">
                  <c:v>0.36930330015715</c:v>
                </c:pt>
                <c:pt idx="55">
                  <c:v>0.36340206185567</c:v>
                </c:pt>
                <c:pt idx="56">
                  <c:v>0.357686453576865</c:v>
                </c:pt>
                <c:pt idx="57">
                  <c:v>0.352147852147852</c:v>
                </c:pt>
                <c:pt idx="58">
                  <c:v>0.346778160354156</c:v>
                </c:pt>
                <c:pt idx="59">
                  <c:v>0.34156976744186</c:v>
                </c:pt>
                <c:pt idx="60">
                  <c:v>0.336515513126492</c:v>
                </c:pt>
                <c:pt idx="61">
                  <c:v>0.331608654750706</c:v>
                </c:pt>
                <c:pt idx="62">
                  <c:v>0.326842837273992</c:v>
                </c:pt>
                <c:pt idx="63">
                  <c:v>0.322212065813528</c:v>
                </c:pt>
                <c:pt idx="64">
                  <c:v>0.317710680486706</c:v>
                </c:pt>
                <c:pt idx="65">
                  <c:v>0.313333333333333</c:v>
                </c:pt>
                <c:pt idx="66">
                  <c:v>0.309074967119684</c:v>
                </c:pt>
                <c:pt idx="67">
                  <c:v>0.304930795847751</c:v>
                </c:pt>
                <c:pt idx="68">
                  <c:v>0.30089628681178</c:v>
                </c:pt>
                <c:pt idx="69">
                  <c:v>0.296967144060657</c:v>
                </c:pt>
                <c:pt idx="70">
                  <c:v>0.293139293139293</c:v>
                </c:pt>
                <c:pt idx="71">
                  <c:v>0.289408866995074</c:v>
                </c:pt>
                <c:pt idx="72">
                  <c:v>0.285772192946899</c:v>
                </c:pt>
                <c:pt idx="73">
                  <c:v>0.2822257806245</c:v>
                </c:pt>
                <c:pt idx="74">
                  <c:v>0.278766310794781</c:v>
                </c:pt>
                <c:pt idx="75">
                  <c:v>0.275390625</c:v>
                </c:pt>
                <c:pt idx="76">
                  <c:v>0.272095715939792</c:v>
                </c:pt>
                <c:pt idx="77">
                  <c:v>0.268878718535469</c:v>
                </c:pt>
                <c:pt idx="78">
                  <c:v>0.265736901620807</c:v>
                </c:pt>
                <c:pt idx="79">
                  <c:v>0.262667660208644</c:v>
                </c:pt>
                <c:pt idx="80">
                  <c:v>0.259668508287293</c:v>
                </c:pt>
                <c:pt idx="81">
                  <c:v>0.25673707210488</c:v>
                </c:pt>
                <c:pt idx="82">
                  <c:v>0.253871083903493</c:v>
                </c:pt>
                <c:pt idx="83">
                  <c:v>0.251068376068376</c:v>
                </c:pt>
                <c:pt idx="84">
                  <c:v>0.248326875660444</c:v>
                </c:pt>
                <c:pt idx="85">
                  <c:v>0.245644599303136</c:v>
                </c:pt>
                <c:pt idx="86">
                  <c:v>0.243019648397104</c:v>
                </c:pt>
                <c:pt idx="87">
                  <c:v>0.240450204638472</c:v>
                </c:pt>
                <c:pt idx="88">
                  <c:v>0.237934525818427</c:v>
                </c:pt>
                <c:pt idx="89">
                  <c:v>0.235470941883768</c:v>
                </c:pt>
                <c:pt idx="90">
                  <c:v>0.233057851239669</c:v>
                </c:pt>
                <c:pt idx="91">
                  <c:v>0.230693717277487</c:v>
                </c:pt>
                <c:pt idx="92">
                  <c:v>0.228377065111759</c:v>
                </c:pt>
                <c:pt idx="93">
                  <c:v>0.226106478511867</c:v>
                </c:pt>
                <c:pt idx="94">
                  <c:v>0.223880597014925</c:v>
                </c:pt>
                <c:pt idx="95">
                  <c:v>0.221698113207547</c:v>
                </c:pt>
                <c:pt idx="96">
                  <c:v>0.219557770165058</c:v>
                </c:pt>
                <c:pt idx="97">
                  <c:v>0.217458359037631</c:v>
                </c:pt>
                <c:pt idx="98">
                  <c:v>0.215398716773602</c:v>
                </c:pt>
                <c:pt idx="99">
                  <c:v>0.213377723970944</c:v>
                </c:pt>
                <c:pt idx="100">
                  <c:v>0.211394302848576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830157"/>
        <c:axId val="91244505"/>
      </c:lineChart>
      <c:catAx>
        <c:axId val="38830157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244505"/>
        <c:crosses val="autoZero"/>
        <c:auto val="1"/>
        <c:lblAlgn val="ctr"/>
        <c:lblOffset val="100"/>
        <c:noMultiLvlLbl val="0"/>
      </c:catAx>
      <c:valAx>
        <c:axId val="912445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83015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"exp"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RC!$I$22:$I$622</c:f>
              <c:numCache>
                <c:formatCode>General</c:formatCode>
                <c:ptCount val="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</c:numCache>
            </c:numRef>
          </c:xVal>
          <c:yVal>
            <c:numRef>
              <c:f>RC!$J$22:$J$622</c:f>
              <c:numCache>
                <c:formatCode>General</c:formatCode>
                <c:ptCount val="601"/>
                <c:pt idx="0">
                  <c:v>0</c:v>
                </c:pt>
                <c:pt idx="1">
                  <c:v>0.0451429300028757</c:v>
                </c:pt>
                <c:pt idx="2">
                  <c:v>0.0896683193605259</c:v>
                </c:pt>
                <c:pt idx="3">
                  <c:v>0.133584615828745</c:v>
                </c:pt>
                <c:pt idx="4">
                  <c:v>0.176900151600767</c:v>
                </c:pt>
                <c:pt idx="5">
                  <c:v>0.219623144888124</c:v>
                </c:pt>
                <c:pt idx="6">
                  <c:v>0.26176170147988</c:v>
                </c:pt>
                <c:pt idx="7">
                  <c:v>0.303323816280531</c:v>
                </c:pt>
                <c:pt idx="8">
                  <c:v>0.344317374826874</c:v>
                </c:pt>
                <c:pt idx="9">
                  <c:v>0.384750154784119</c:v>
                </c:pt>
                <c:pt idx="10">
                  <c:v>0.424629827421536</c:v>
                </c:pt>
                <c:pt idx="11">
                  <c:v>0.463963959067919</c:v>
                </c:pt>
                <c:pt idx="12">
                  <c:v>0.50276001254714</c:v>
                </c:pt>
                <c:pt idx="13">
                  <c:v>0.541025348594058</c:v>
                </c:pt>
                <c:pt idx="14">
                  <c:v>0.578767227251067</c:v>
                </c:pt>
                <c:pt idx="15">
                  <c:v>0.615992809245532</c:v>
                </c:pt>
                <c:pt idx="16">
                  <c:v>0.652709157348394</c:v>
                </c:pt>
                <c:pt idx="17">
                  <c:v>0.688923237714175</c:v>
                </c:pt>
                <c:pt idx="18">
                  <c:v>0.724641921202661</c:v>
                </c:pt>
                <c:pt idx="19">
                  <c:v>0.759871984682506</c:v>
                </c:pt>
                <c:pt idx="20">
                  <c:v>0.794620112316997</c:v>
                </c:pt>
                <c:pt idx="21">
                  <c:v>0.828892896832236</c:v>
                </c:pt>
                <c:pt idx="22">
                  <c:v>0.862696840767966</c:v>
                </c:pt>
                <c:pt idx="23">
                  <c:v>0.8960383577113</c:v>
                </c:pt>
                <c:pt idx="24">
                  <c:v>0.928923773513553</c:v>
                </c:pt>
                <c:pt idx="25">
                  <c:v>0.96135932749045</c:v>
                </c:pt>
                <c:pt idx="26">
                  <c:v>0.993351173605898</c:v>
                </c:pt>
                <c:pt idx="27">
                  <c:v>1.02490538163957</c:v>
                </c:pt>
                <c:pt idx="28">
                  <c:v>1.05602793833853</c:v>
                </c:pt>
                <c:pt idx="29">
                  <c:v>1.08672474855307</c:v>
                </c:pt>
                <c:pt idx="30">
                  <c:v>1.11700163635706</c:v>
                </c:pt>
                <c:pt idx="31">
                  <c:v>1.14686434615292</c:v>
                </c:pt>
                <c:pt idx="32">
                  <c:v>1.1763185437615</c:v>
                </c:pt>
                <c:pt idx="33">
                  <c:v>1.20536981749707</c:v>
                </c:pt>
                <c:pt idx="34">
                  <c:v>1.23402367922757</c:v>
                </c:pt>
                <c:pt idx="35">
                  <c:v>1.26228556542036</c:v>
                </c:pt>
                <c:pt idx="36">
                  <c:v>1.29016083817372</c:v>
                </c:pt>
                <c:pt idx="37">
                  <c:v>1.31765478623413</c:v>
                </c:pt>
                <c:pt idx="38">
                  <c:v>1.34477262599976</c:v>
                </c:pt>
                <c:pt idx="39">
                  <c:v>1.37151950251012</c:v>
                </c:pt>
                <c:pt idx="40">
                  <c:v>1.39790049042227</c:v>
                </c:pt>
                <c:pt idx="41">
                  <c:v>1.4239205949736</c:v>
                </c:pt>
                <c:pt idx="42">
                  <c:v>1.44958475293146</c:v>
                </c:pt>
                <c:pt idx="43">
                  <c:v>1.47489783352985</c:v>
                </c:pt>
                <c:pt idx="44">
                  <c:v>1.4998646393932</c:v>
                </c:pt>
                <c:pt idx="45">
                  <c:v>1.52448990744761</c:v>
                </c:pt>
                <c:pt idx="46">
                  <c:v>1.54877830981958</c:v>
                </c:pt>
                <c:pt idx="47">
                  <c:v>1.57273445472241</c:v>
                </c:pt>
                <c:pt idx="48">
                  <c:v>1.59636288733054</c:v>
                </c:pt>
                <c:pt idx="49">
                  <c:v>1.61966809064192</c:v>
                </c:pt>
                <c:pt idx="50">
                  <c:v>1.64265448632851</c:v>
                </c:pt>
                <c:pt idx="51">
                  <c:v>1.66532643557525</c:v>
                </c:pt>
                <c:pt idx="52">
                  <c:v>1.68768823990749</c:v>
                </c:pt>
                <c:pt idx="53">
                  <c:v>1.70974414200709</c:v>
                </c:pt>
                <c:pt idx="54">
                  <c:v>1.7314983265174</c:v>
                </c:pt>
                <c:pt idx="55">
                  <c:v>1.75295492083722</c:v>
                </c:pt>
                <c:pt idx="56">
                  <c:v>1.77411799590387</c:v>
                </c:pt>
                <c:pt idx="57">
                  <c:v>1.79499156696556</c:v>
                </c:pt>
                <c:pt idx="58">
                  <c:v>1.8155795943432</c:v>
                </c:pt>
                <c:pt idx="59">
                  <c:v>1.8358859841818</c:v>
                </c:pt>
                <c:pt idx="60">
                  <c:v>1.8559145891916</c:v>
                </c:pt>
                <c:pt idx="61">
                  <c:v>1.87566920937896</c:v>
                </c:pt>
                <c:pt idx="62">
                  <c:v>1.89515359276743</c:v>
                </c:pt>
                <c:pt idx="63">
                  <c:v>1.91437143610879</c:v>
                </c:pt>
                <c:pt idx="64">
                  <c:v>1.93332638558446</c:v>
                </c:pt>
                <c:pt idx="65">
                  <c:v>1.95202203749729</c:v>
                </c:pt>
                <c:pt idx="66">
                  <c:v>1.97046193895386</c:v>
                </c:pt>
                <c:pt idx="67">
                  <c:v>1.98864958853749</c:v>
                </c:pt>
                <c:pt idx="68">
                  <c:v>2.006588436972</c:v>
                </c:pt>
                <c:pt idx="69">
                  <c:v>2.02428188777645</c:v>
                </c:pt>
                <c:pt idx="70">
                  <c:v>2.04173329791085</c:v>
                </c:pt>
                <c:pt idx="71">
                  <c:v>2.05894597841308</c:v>
                </c:pt>
                <c:pt idx="72">
                  <c:v>2.0759231950271</c:v>
                </c:pt>
                <c:pt idx="73">
                  <c:v>2.09266816882257</c:v>
                </c:pt>
                <c:pt idx="74">
                  <c:v>2.10918407680593</c:v>
                </c:pt>
                <c:pt idx="75">
                  <c:v>2.12547405252322</c:v>
                </c:pt>
                <c:pt idx="76">
                  <c:v>2.14154118665458</c:v>
                </c:pt>
                <c:pt idx="77">
                  <c:v>2.15738852760066</c:v>
                </c:pt>
                <c:pt idx="78">
                  <c:v>2.17301908206097</c:v>
                </c:pt>
                <c:pt idx="79">
                  <c:v>2.18843581560433</c:v>
                </c:pt>
                <c:pt idx="80">
                  <c:v>2.20364165323157</c:v>
                </c:pt>
                <c:pt idx="81">
                  <c:v>2.21863947993043</c:v>
                </c:pt>
                <c:pt idx="82">
                  <c:v>2.23343214122297</c:v>
                </c:pt>
                <c:pt idx="83">
                  <c:v>2.24802244370542</c:v>
                </c:pt>
                <c:pt idx="84">
                  <c:v>2.26241315558069</c:v>
                </c:pt>
                <c:pt idx="85">
                  <c:v>2.27660700718358</c:v>
                </c:pt>
                <c:pt idx="86">
                  <c:v>2.29060669149877</c:v>
                </c:pt>
                <c:pt idx="87">
                  <c:v>2.30441486467182</c:v>
                </c:pt>
                <c:pt idx="88">
                  <c:v>2.31803414651303</c:v>
                </c:pt>
                <c:pt idx="89">
                  <c:v>2.3314671209946</c:v>
                </c:pt>
                <c:pt idx="90">
                  <c:v>2.34471633674079</c:v>
                </c:pt>
                <c:pt idx="91">
                  <c:v>2.35778430751152</c:v>
                </c:pt>
                <c:pt idx="92">
                  <c:v>2.37067351267928</c:v>
                </c:pt>
                <c:pt idx="93">
                  <c:v>2.38338639769957</c:v>
                </c:pt>
                <c:pt idx="94">
                  <c:v>2.39592537457482</c:v>
                </c:pt>
                <c:pt idx="95">
                  <c:v>2.40829282231208</c:v>
                </c:pt>
                <c:pt idx="96">
                  <c:v>2.42049108737433</c:v>
                </c:pt>
                <c:pt idx="97">
                  <c:v>2.43252248412571</c:v>
                </c:pt>
                <c:pt idx="98">
                  <c:v>2.44438929527061</c:v>
                </c:pt>
                <c:pt idx="99">
                  <c:v>2.45609377228677</c:v>
                </c:pt>
                <c:pt idx="100">
                  <c:v>2.46763813585242</c:v>
                </c:pt>
                <c:pt idx="101">
                  <c:v>2.47902457626765</c:v>
                </c:pt>
                <c:pt idx="102">
                  <c:v>2.49025525386997</c:v>
                </c:pt>
                <c:pt idx="103">
                  <c:v>2.50133229944413</c:v>
                </c:pt>
                <c:pt idx="104">
                  <c:v>2.51225781462648</c:v>
                </c:pt>
                <c:pt idx="105">
                  <c:v>2.52303387230364</c:v>
                </c:pt>
                <c:pt idx="106">
                  <c:v>2.53366251700582</c:v>
                </c:pt>
                <c:pt idx="107">
                  <c:v>2.54414576529473</c:v>
                </c:pt>
                <c:pt idx="108">
                  <c:v>2.55448560614615</c:v>
                </c:pt>
                <c:pt idx="109">
                  <c:v>2.56468400132732</c:v>
                </c:pt>
                <c:pt idx="110">
                  <c:v>2.57474288576916</c:v>
                </c:pt>
                <c:pt idx="111">
                  <c:v>2.58466416793335</c:v>
                </c:pt>
                <c:pt idx="112">
                  <c:v>2.59444973017442</c:v>
                </c:pt>
                <c:pt idx="113">
                  <c:v>2.60410142909692</c:v>
                </c:pt>
                <c:pt idx="114">
                  <c:v>2.61362109590764</c:v>
                </c:pt>
                <c:pt idx="115">
                  <c:v>2.62301053676306</c:v>
                </c:pt>
                <c:pt idx="116">
                  <c:v>2.63227153311203</c:v>
                </c:pt>
                <c:pt idx="117">
                  <c:v>2.64140584203374</c:v>
                </c:pt>
                <c:pt idx="118">
                  <c:v>2.65041519657113</c:v>
                </c:pt>
                <c:pt idx="119">
                  <c:v>2.65930130605965</c:v>
                </c:pt>
                <c:pt idx="120">
                  <c:v>2.66806585645161</c:v>
                </c:pt>
                <c:pt idx="121">
                  <c:v>2.67671051063605</c:v>
                </c:pt>
                <c:pt idx="122">
                  <c:v>2.68523690875419</c:v>
                </c:pt>
                <c:pt idx="123">
                  <c:v>2.6936466685107</c:v>
                </c:pt>
                <c:pt idx="124">
                  <c:v>2.70194138548052</c:v>
                </c:pt>
                <c:pt idx="125">
                  <c:v>2.7101226334117</c:v>
                </c:pt>
                <c:pt idx="126">
                  <c:v>2.71819196452387</c:v>
                </c:pt>
                <c:pt idx="127">
                  <c:v>2.72615090980284</c:v>
                </c:pt>
                <c:pt idx="128">
                  <c:v>2.73400097929102</c:v>
                </c:pt>
                <c:pt idx="129">
                  <c:v>2.74174366237392</c:v>
                </c:pt>
                <c:pt idx="130">
                  <c:v>2.74938042806274</c:v>
                </c:pt>
                <c:pt idx="131">
                  <c:v>2.7569127252731</c:v>
                </c:pt>
                <c:pt idx="132">
                  <c:v>2.7643419830999</c:v>
                </c:pt>
                <c:pt idx="133">
                  <c:v>2.77166961108851</c:v>
                </c:pt>
                <c:pt idx="134">
                  <c:v>2.77889699950215</c:v>
                </c:pt>
                <c:pt idx="135">
                  <c:v>2.78602551958572</c:v>
                </c:pt>
                <c:pt idx="136">
                  <c:v>2.7930565238259</c:v>
                </c:pt>
                <c:pt idx="137">
                  <c:v>2.79999134620782</c:v>
                </c:pt>
                <c:pt idx="138">
                  <c:v>2.80683130246812</c:v>
                </c:pt>
                <c:pt idx="139">
                  <c:v>2.81357769034457</c:v>
                </c:pt>
                <c:pt idx="140">
                  <c:v>2.82023178982233</c:v>
                </c:pt>
                <c:pt idx="141">
                  <c:v>2.82679486337677</c:v>
                </c:pt>
                <c:pt idx="142">
                  <c:v>2.83326815621301</c:v>
                </c:pt>
                <c:pt idx="143">
                  <c:v>2.83965289650216</c:v>
                </c:pt>
                <c:pt idx="144">
                  <c:v>2.84595029561435</c:v>
                </c:pt>
                <c:pt idx="145">
                  <c:v>2.85216154834856</c:v>
                </c:pt>
                <c:pt idx="146">
                  <c:v>2.85828783315932</c:v>
                </c:pt>
                <c:pt idx="147">
                  <c:v>2.86433031238026</c:v>
                </c:pt>
                <c:pt idx="148">
                  <c:v>2.87029013244468</c:v>
                </c:pt>
                <c:pt idx="149">
                  <c:v>2.87616842410304</c:v>
                </c:pt>
                <c:pt idx="150">
                  <c:v>2.88196630263751</c:v>
                </c:pt>
                <c:pt idx="151">
                  <c:v>2.88768486807353</c:v>
                </c:pt>
                <c:pt idx="152">
                  <c:v>2.89332520538858</c:v>
                </c:pt>
                <c:pt idx="153">
                  <c:v>2.898888384718</c:v>
                </c:pt>
                <c:pt idx="154">
                  <c:v>2.90437546155801</c:v>
                </c:pt>
                <c:pt idx="155">
                  <c:v>2.90978747696598</c:v>
                </c:pt>
                <c:pt idx="156">
                  <c:v>2.91512545775797</c:v>
                </c:pt>
                <c:pt idx="157">
                  <c:v>2.92039041670352</c:v>
                </c:pt>
                <c:pt idx="158">
                  <c:v>2.92558335271782</c:v>
                </c:pt>
                <c:pt idx="159">
                  <c:v>2.9307052510512</c:v>
                </c:pt>
                <c:pt idx="160">
                  <c:v>2.93575708347612</c:v>
                </c:pt>
                <c:pt idx="161">
                  <c:v>2.94073980847148</c:v>
                </c:pt>
                <c:pt idx="162">
                  <c:v>2.9456543714045</c:v>
                </c:pt>
                <c:pt idx="163">
                  <c:v>2.95050170471011</c:v>
                </c:pt>
                <c:pt idx="164">
                  <c:v>2.95528272806781</c:v>
                </c:pt>
                <c:pt idx="165">
                  <c:v>2.95999834857618</c:v>
                </c:pt>
                <c:pt idx="166">
                  <c:v>2.96464946092499</c:v>
                </c:pt>
                <c:pt idx="167">
                  <c:v>2.96923694756496</c:v>
                </c:pt>
                <c:pt idx="168">
                  <c:v>2.97376167887514</c:v>
                </c:pt>
                <c:pt idx="169">
                  <c:v>2.97822451332811</c:v>
                </c:pt>
                <c:pt idx="170">
                  <c:v>2.9826262976528</c:v>
                </c:pt>
                <c:pt idx="171">
                  <c:v>2.98696786699517</c:v>
                </c:pt>
                <c:pt idx="172">
                  <c:v>2.99125004507665</c:v>
                </c:pt>
                <c:pt idx="173">
                  <c:v>2.99547364435044</c:v>
                </c:pt>
                <c:pt idx="174">
                  <c:v>2.99963946615562</c:v>
                </c:pt>
                <c:pt idx="175">
                  <c:v>3.00374830086925</c:v>
                </c:pt>
                <c:pt idx="176">
                  <c:v>3.00780092805625</c:v>
                </c:pt>
                <c:pt idx="177">
                  <c:v>3.01179811661736</c:v>
                </c:pt>
                <c:pt idx="178">
                  <c:v>3.015740624935</c:v>
                </c:pt>
                <c:pt idx="179">
                  <c:v>3.01962920101719</c:v>
                </c:pt>
                <c:pt idx="180">
                  <c:v>3.02346458263941</c:v>
                </c:pt>
                <c:pt idx="181">
                  <c:v>3.02724749748463</c:v>
                </c:pt>
                <c:pt idx="182">
                  <c:v>3.03097866328135</c:v>
                </c:pt>
                <c:pt idx="183">
                  <c:v>3.03465878793976</c:v>
                </c:pt>
                <c:pt idx="184">
                  <c:v>3.0382885696861</c:v>
                </c:pt>
                <c:pt idx="185">
                  <c:v>3.04186869719508</c:v>
                </c:pt>
                <c:pt idx="186">
                  <c:v>3.04539984972055</c:v>
                </c:pt>
                <c:pt idx="187">
                  <c:v>3.04888269722443</c:v>
                </c:pt>
                <c:pt idx="188">
                  <c:v>3.05231790050373</c:v>
                </c:pt>
                <c:pt idx="189">
                  <c:v>3.05570611131601</c:v>
                </c:pt>
                <c:pt idx="190">
                  <c:v>3.05904797250298</c:v>
                </c:pt>
                <c:pt idx="191">
                  <c:v>3.06234411811248</c:v>
                </c:pt>
                <c:pt idx="192">
                  <c:v>3.06559517351879</c:v>
                </c:pt>
                <c:pt idx="193">
                  <c:v>3.06880175554127</c:v>
                </c:pt>
                <c:pt idx="194">
                  <c:v>3.07196447256139</c:v>
                </c:pt>
                <c:pt idx="195">
                  <c:v>3.07508392463815</c:v>
                </c:pt>
                <c:pt idx="196">
                  <c:v>3.07816070362196</c:v>
                </c:pt>
                <c:pt idx="197">
                  <c:v>3.0811953932669</c:v>
                </c:pt>
                <c:pt idx="198">
                  <c:v>3.08418856934146</c:v>
                </c:pt>
                <c:pt idx="199">
                  <c:v>3.08714079973784</c:v>
                </c:pt>
                <c:pt idx="200">
                  <c:v>3.09005264457963</c:v>
                </c:pt>
                <c:pt idx="201">
                  <c:v>3.09292465632812</c:v>
                </c:pt>
                <c:pt idx="202">
                  <c:v>3.09575737988712</c:v>
                </c:pt>
                <c:pt idx="203">
                  <c:v>3.09855135270632</c:v>
                </c:pt>
                <c:pt idx="204">
                  <c:v>3.10130710488328</c:v>
                </c:pt>
                <c:pt idx="205">
                  <c:v>3.10402515926398</c:v>
                </c:pt>
                <c:pt idx="206">
                  <c:v>3.10670603154206</c:v>
                </c:pt>
                <c:pt idx="207">
                  <c:v>3.10935023035663</c:v>
                </c:pt>
                <c:pt idx="208">
                  <c:v>3.11195825738877</c:v>
                </c:pt>
                <c:pt idx="209">
                  <c:v>3.11453060745675</c:v>
                </c:pt>
                <c:pt idx="210">
                  <c:v>3.11706776860986</c:v>
                </c:pt>
                <c:pt idx="211">
                  <c:v>3.11957022222104</c:v>
                </c:pt>
                <c:pt idx="212">
                  <c:v>3.12203844307823</c:v>
                </c:pt>
                <c:pt idx="213">
                  <c:v>3.12447289947439</c:v>
                </c:pt>
                <c:pt idx="214">
                  <c:v>3.1268740532964</c:v>
                </c:pt>
                <c:pt idx="215">
                  <c:v>3.12924236011268</c:v>
                </c:pt>
                <c:pt idx="216">
                  <c:v>3.13157826925961</c:v>
                </c:pt>
                <c:pt idx="217">
                  <c:v>3.13388222392682</c:v>
                </c:pt>
                <c:pt idx="218">
                  <c:v>3.13615466124121</c:v>
                </c:pt>
                <c:pt idx="219">
                  <c:v>3.13839601234997</c:v>
                </c:pt>
                <c:pt idx="220">
                  <c:v>3.14060670250229</c:v>
                </c:pt>
                <c:pt idx="221">
                  <c:v>3.14278715113013</c:v>
                </c:pt>
                <c:pt idx="222">
                  <c:v>3.14493777192773</c:v>
                </c:pt>
                <c:pt idx="223">
                  <c:v>3.14705897293014</c:v>
                </c:pt>
                <c:pt idx="224">
                  <c:v>3.14915115659062</c:v>
                </c:pt>
                <c:pt idx="225">
                  <c:v>3.151214719857</c:v>
                </c:pt>
                <c:pt idx="226">
                  <c:v>3.15325005424698</c:v>
                </c:pt>
                <c:pt idx="227">
                  <c:v>3.15525754592246</c:v>
                </c:pt>
                <c:pt idx="228">
                  <c:v>3.15723757576272</c:v>
                </c:pt>
                <c:pt idx="229">
                  <c:v>3.15919051943677</c:v>
                </c:pt>
                <c:pt idx="230">
                  <c:v>3.16111674747459</c:v>
                </c:pt>
                <c:pt idx="231">
                  <c:v>3.16301662533742</c:v>
                </c:pt>
                <c:pt idx="232">
                  <c:v>3.1648905134871</c:v>
                </c:pt>
                <c:pt idx="233">
                  <c:v>3.16673876745449</c:v>
                </c:pt>
                <c:pt idx="234">
                  <c:v>3.16856173790688</c:v>
                </c:pt>
                <c:pt idx="235">
                  <c:v>3.17035977071457</c:v>
                </c:pt>
                <c:pt idx="236">
                  <c:v>3.17213320701645</c:v>
                </c:pt>
                <c:pt idx="237">
                  <c:v>3.17388238328473</c:v>
                </c:pt>
                <c:pt idx="238">
                  <c:v>3.17560763138883</c:v>
                </c:pt>
                <c:pt idx="239">
                  <c:v>3.17730927865825</c:v>
                </c:pt>
                <c:pt idx="240">
                  <c:v>3.17898764794478</c:v>
                </c:pt>
                <c:pt idx="241">
                  <c:v>3.18064305768366</c:v>
                </c:pt>
                <c:pt idx="242">
                  <c:v>3.18227582195407</c:v>
                </c:pt>
                <c:pt idx="243">
                  <c:v>3.18388625053866</c:v>
                </c:pt>
                <c:pt idx="244">
                  <c:v>3.18547464898239</c:v>
                </c:pt>
                <c:pt idx="245">
                  <c:v>3.18704131865044</c:v>
                </c:pt>
                <c:pt idx="246">
                  <c:v>3.1885865567854</c:v>
                </c:pt>
                <c:pt idx="247">
                  <c:v>3.19011065656371</c:v>
                </c:pt>
                <c:pt idx="248">
                  <c:v>3.19161390715123</c:v>
                </c:pt>
                <c:pt idx="249">
                  <c:v>3.19309659375812</c:v>
                </c:pt>
                <c:pt idx="250">
                  <c:v>3.19455899769298</c:v>
                </c:pt>
                <c:pt idx="251">
                  <c:v>3.19600139641619</c:v>
                </c:pt>
                <c:pt idx="252">
                  <c:v>3.19742406359255</c:v>
                </c:pt>
                <c:pt idx="253">
                  <c:v>3.19882726914322</c:v>
                </c:pt>
                <c:pt idx="254">
                  <c:v>3.20021127929694</c:v>
                </c:pt>
                <c:pt idx="255">
                  <c:v>3.20157635664051</c:v>
                </c:pt>
                <c:pt idx="256">
                  <c:v>3.20292276016863</c:v>
                </c:pt>
                <c:pt idx="257">
                  <c:v>3.20425074533305</c:v>
                </c:pt>
                <c:pt idx="258">
                  <c:v>3.205560564091</c:v>
                </c:pt>
                <c:pt idx="259">
                  <c:v>3.20685246495305</c:v>
                </c:pt>
                <c:pt idx="260">
                  <c:v>3.20812669303019</c:v>
                </c:pt>
                <c:pt idx="261">
                  <c:v>3.20938349008039</c:v>
                </c:pt>
                <c:pt idx="262">
                  <c:v>3.21062309455446</c:v>
                </c:pt>
                <c:pt idx="263">
                  <c:v>3.21184574164124</c:v>
                </c:pt>
                <c:pt idx="264">
                  <c:v>3.21305166331232</c:v>
                </c:pt>
                <c:pt idx="265">
                  <c:v>3.21424108836594</c:v>
                </c:pt>
                <c:pt idx="266">
                  <c:v>3.21541424247049</c:v>
                </c:pt>
                <c:pt idx="267">
                  <c:v>3.21657134820728</c:v>
                </c:pt>
                <c:pt idx="268">
                  <c:v>3.21771262511277</c:v>
                </c:pt>
                <c:pt idx="269">
                  <c:v>3.21883828972024</c:v>
                </c:pt>
                <c:pt idx="270">
                  <c:v>3.21994855560087</c:v>
                </c:pt>
                <c:pt idx="271">
                  <c:v>3.22104363340424</c:v>
                </c:pt>
                <c:pt idx="272">
                  <c:v>3.22212373089834</c:v>
                </c:pt>
                <c:pt idx="273">
                  <c:v>3.22318905300893</c:v>
                </c:pt>
                <c:pt idx="274">
                  <c:v>3.22423980185846</c:v>
                </c:pt>
                <c:pt idx="275">
                  <c:v>3.22527617680444</c:v>
                </c:pt>
                <c:pt idx="276">
                  <c:v>3.22629837447718</c:v>
                </c:pt>
                <c:pt idx="277">
                  <c:v>3.22730658881721</c:v>
                </c:pt>
                <c:pt idx="278">
                  <c:v>3.22830101111196</c:v>
                </c:pt>
                <c:pt idx="279">
                  <c:v>3.22928183003216</c:v>
                </c:pt>
                <c:pt idx="280">
                  <c:v>3.23024923166755</c:v>
                </c:pt>
                <c:pt idx="281">
                  <c:v>3.23120339956224</c:v>
                </c:pt>
                <c:pt idx="282">
                  <c:v>3.23214451474951</c:v>
                </c:pt>
                <c:pt idx="283">
                  <c:v>3.23307275578617</c:v>
                </c:pt>
                <c:pt idx="284">
                  <c:v>3.23398829878642</c:v>
                </c:pt>
                <c:pt idx="285">
                  <c:v>3.23489131745529</c:v>
                </c:pt>
                <c:pt idx="286">
                  <c:v>3.23578198312156</c:v>
                </c:pt>
                <c:pt idx="287">
                  <c:v>3.23666046477031</c:v>
                </c:pt>
                <c:pt idx="288">
                  <c:v>3.23752692907494</c:v>
                </c:pt>
                <c:pt idx="289">
                  <c:v>3.23838154042883</c:v>
                </c:pt>
                <c:pt idx="290">
                  <c:v>3.2392244609765</c:v>
                </c:pt>
                <c:pt idx="291">
                  <c:v>3.24005585064438</c:v>
                </c:pt>
                <c:pt idx="292">
                  <c:v>3.24087586717118</c:v>
                </c:pt>
                <c:pt idx="293">
                  <c:v>3.24168466613778</c:v>
                </c:pt>
                <c:pt idx="294">
                  <c:v>3.24248240099676</c:v>
                </c:pt>
                <c:pt idx="295">
                  <c:v>3.24326922310153</c:v>
                </c:pt>
                <c:pt idx="296">
                  <c:v>3.24404528173503</c:v>
                </c:pt>
                <c:pt idx="297">
                  <c:v>3.24481072413805</c:v>
                </c:pt>
                <c:pt idx="298">
                  <c:v>3.24556569553718</c:v>
                </c:pt>
                <c:pt idx="299">
                  <c:v>3.24631033917237</c:v>
                </c:pt>
                <c:pt idx="300">
                  <c:v>3.24704479632407</c:v>
                </c:pt>
                <c:pt idx="301">
                  <c:v>3.24776920634008</c:v>
                </c:pt>
                <c:pt idx="302">
                  <c:v>3.24848370666196</c:v>
                </c:pt>
                <c:pt idx="303">
                  <c:v>3.2491884328511</c:v>
                </c:pt>
                <c:pt idx="304">
                  <c:v>3.24988351861447</c:v>
                </c:pt>
                <c:pt idx="305">
                  <c:v>3.25056909582998</c:v>
                </c:pt>
                <c:pt idx="306">
                  <c:v>3.25124529457147</c:v>
                </c:pt>
                <c:pt idx="307">
                  <c:v>3.25191224313344</c:v>
                </c:pt>
                <c:pt idx="308">
                  <c:v>3.25257006805532</c:v>
                </c:pt>
                <c:pt idx="309">
                  <c:v>3.25321889414557</c:v>
                </c:pt>
                <c:pt idx="310">
                  <c:v>3.25385884450528</c:v>
                </c:pt>
                <c:pt idx="311">
                  <c:v>3.25449004055157</c:v>
                </c:pt>
                <c:pt idx="312">
                  <c:v>3.2551126020406</c:v>
                </c:pt>
                <c:pt idx="313">
                  <c:v>3.25572664709033</c:v>
                </c:pt>
                <c:pt idx="314">
                  <c:v>3.25633229220287</c:v>
                </c:pt>
                <c:pt idx="315">
                  <c:v>3.25692965228665</c:v>
                </c:pt>
                <c:pt idx="316">
                  <c:v>3.25751884067817</c:v>
                </c:pt>
                <c:pt idx="317">
                  <c:v>3.25809996916354</c:v>
                </c:pt>
                <c:pt idx="318">
                  <c:v>3.25867314799965</c:v>
                </c:pt>
                <c:pt idx="319">
                  <c:v>3.25923848593513</c:v>
                </c:pt>
                <c:pt idx="320">
                  <c:v>3.25979609023096</c:v>
                </c:pt>
                <c:pt idx="321">
                  <c:v>3.26034606668082</c:v>
                </c:pt>
                <c:pt idx="322">
                  <c:v>3.26088851963118</c:v>
                </c:pt>
                <c:pt idx="323">
                  <c:v>3.26142355200106</c:v>
                </c:pt>
                <c:pt idx="324">
                  <c:v>3.26195126530159</c:v>
                </c:pt>
                <c:pt idx="325">
                  <c:v>3.26247175965529</c:v>
                </c:pt>
                <c:pt idx="326">
                  <c:v>3.26298513381499</c:v>
                </c:pt>
                <c:pt idx="327">
                  <c:v>3.26349148518264</c:v>
                </c:pt>
                <c:pt idx="328">
                  <c:v>3.26399090982777</c:v>
                </c:pt>
                <c:pt idx="329">
                  <c:v>3.26448350250568</c:v>
                </c:pt>
                <c:pt idx="330">
                  <c:v>3.26496935667548</c:v>
                </c:pt>
                <c:pt idx="331">
                  <c:v>3.26544856451777</c:v>
                </c:pt>
                <c:pt idx="332">
                  <c:v>3.26592121695215</c:v>
                </c:pt>
                <c:pt idx="333">
                  <c:v>3.26638740365449</c:v>
                </c:pt>
                <c:pt idx="334">
                  <c:v>3.2668472130739</c:v>
                </c:pt>
                <c:pt idx="335">
                  <c:v>3.26730073244953</c:v>
                </c:pt>
                <c:pt idx="336">
                  <c:v>3.26774804782716</c:v>
                </c:pt>
                <c:pt idx="337">
                  <c:v>3.26818924407546</c:v>
                </c:pt>
                <c:pt idx="338">
                  <c:v>3.26862440490214</c:v>
                </c:pt>
                <c:pt idx="339">
                  <c:v>3.26905361286981</c:v>
                </c:pt>
                <c:pt idx="340">
                  <c:v>3.26947694941165</c:v>
                </c:pt>
                <c:pt idx="341">
                  <c:v>3.26989449484685</c:v>
                </c:pt>
                <c:pt idx="342">
                  <c:v>3.27030632839589</c:v>
                </c:pt>
                <c:pt idx="343">
                  <c:v>3.27071252819551</c:v>
                </c:pt>
                <c:pt idx="344">
                  <c:v>3.27111317131358</c:v>
                </c:pt>
                <c:pt idx="345">
                  <c:v>3.2715083337637</c:v>
                </c:pt>
                <c:pt idx="346">
                  <c:v>3.27189809051963</c:v>
                </c:pt>
                <c:pt idx="347">
                  <c:v>3.27228251552952</c:v>
                </c:pt>
                <c:pt idx="348">
                  <c:v>3.27266168172992</c:v>
                </c:pt>
                <c:pt idx="349">
                  <c:v>3.27303566105963</c:v>
                </c:pt>
                <c:pt idx="350">
                  <c:v>3.27340452447338</c:v>
                </c:pt>
                <c:pt idx="351">
                  <c:v>3.27376834195522</c:v>
                </c:pt>
                <c:pt idx="352">
                  <c:v>3.27412718253188</c:v>
                </c:pt>
                <c:pt idx="353">
                  <c:v>3.2744811142858</c:v>
                </c:pt>
                <c:pt idx="354">
                  <c:v>3.27483020436809</c:v>
                </c:pt>
                <c:pt idx="355">
                  <c:v>3.27517451901124</c:v>
                </c:pt>
                <c:pt idx="356">
                  <c:v>3.27551412354171</c:v>
                </c:pt>
                <c:pt idx="357">
                  <c:v>3.27584908239233</c:v>
                </c:pt>
                <c:pt idx="358">
                  <c:v>3.27617945911447</c:v>
                </c:pt>
                <c:pt idx="359">
                  <c:v>3.27650531639017</c:v>
                </c:pt>
                <c:pt idx="360">
                  <c:v>3.276826716044</c:v>
                </c:pt>
                <c:pt idx="361">
                  <c:v>3.27714371905478</c:v>
                </c:pt>
                <c:pt idx="362">
                  <c:v>3.27745638556715</c:v>
                </c:pt>
                <c:pt idx="363">
                  <c:v>3.27776477490302</c:v>
                </c:pt>
                <c:pt idx="364">
                  <c:v>3.27806894557276</c:v>
                </c:pt>
                <c:pt idx="365">
                  <c:v>3.27836895528637</c:v>
                </c:pt>
                <c:pt idx="366">
                  <c:v>3.27866486096437</c:v>
                </c:pt>
                <c:pt idx="367">
                  <c:v>3.27895671874863</c:v>
                </c:pt>
                <c:pt idx="368">
                  <c:v>3.27924458401305</c:v>
                </c:pt>
                <c:pt idx="369">
                  <c:v>3.27952851137398</c:v>
                </c:pt>
                <c:pt idx="370">
                  <c:v>3.27980855470068</c:v>
                </c:pt>
                <c:pt idx="371">
                  <c:v>3.28008476712547</c:v>
                </c:pt>
                <c:pt idx="372">
                  <c:v>3.28035720105384</c:v>
                </c:pt>
                <c:pt idx="373">
                  <c:v>3.28062590817442</c:v>
                </c:pt>
                <c:pt idx="374">
                  <c:v>3.2808909394687</c:v>
                </c:pt>
                <c:pt idx="375">
                  <c:v>3.28115234522082</c:v>
                </c:pt>
                <c:pt idx="376">
                  <c:v>3.28141017502701</c:v>
                </c:pt>
                <c:pt idx="377">
                  <c:v>3.28166447780504</c:v>
                </c:pt>
                <c:pt idx="378">
                  <c:v>3.28191530180353</c:v>
                </c:pt>
                <c:pt idx="379">
                  <c:v>3.28216269461105</c:v>
                </c:pt>
                <c:pt idx="380">
                  <c:v>3.28240670316517</c:v>
                </c:pt>
                <c:pt idx="381">
                  <c:v>3.2826473737614</c:v>
                </c:pt>
                <c:pt idx="382">
                  <c:v>3.2828847520619</c:v>
                </c:pt>
                <c:pt idx="383">
                  <c:v>3.28311888310422</c:v>
                </c:pt>
                <c:pt idx="384">
                  <c:v>3.28334981130979</c:v>
                </c:pt>
                <c:pt idx="385">
                  <c:v>3.28357758049239</c:v>
                </c:pt>
                <c:pt idx="386">
                  <c:v>3.28380223386642</c:v>
                </c:pt>
                <c:pt idx="387">
                  <c:v>3.28402381405514</c:v>
                </c:pt>
                <c:pt idx="388">
                  <c:v>3.28424236309873</c:v>
                </c:pt>
                <c:pt idx="389">
                  <c:v>3.28445792246225</c:v>
                </c:pt>
                <c:pt idx="390">
                  <c:v>3.28467053304358</c:v>
                </c:pt>
                <c:pt idx="391">
                  <c:v>3.2848802351811</c:v>
                </c:pt>
                <c:pt idx="392">
                  <c:v>3.28508706866136</c:v>
                </c:pt>
                <c:pt idx="393">
                  <c:v>3.28529107272668</c:v>
                </c:pt>
                <c:pt idx="394">
                  <c:v>3.28549228608254</c:v>
                </c:pt>
                <c:pt idx="395">
                  <c:v>3.28569074690492</c:v>
                </c:pt>
                <c:pt idx="396">
                  <c:v>3.28588649284761</c:v>
                </c:pt>
                <c:pt idx="397">
                  <c:v>3.28607956104927</c:v>
                </c:pt>
                <c:pt idx="398">
                  <c:v>3.28626998814053</c:v>
                </c:pt>
                <c:pt idx="399">
                  <c:v>3.28645781025093</c:v>
                </c:pt>
                <c:pt idx="400">
                  <c:v>3.28664306301575</c:v>
                </c:pt>
                <c:pt idx="401">
                  <c:v>3.28682578158283</c:v>
                </c:pt>
                <c:pt idx="402">
                  <c:v>3.28700600061914</c:v>
                </c:pt>
                <c:pt idx="403">
                  <c:v>3.28718375431748</c:v>
                </c:pt>
                <c:pt idx="404">
                  <c:v>3.28735907640286</c:v>
                </c:pt>
                <c:pt idx="405">
                  <c:v>3.28753200013895</c:v>
                </c:pt>
                <c:pt idx="406">
                  <c:v>3.28770255833441</c:v>
                </c:pt>
                <c:pt idx="407">
                  <c:v>3.28787078334905</c:v>
                </c:pt>
                <c:pt idx="408">
                  <c:v>3.28803670710004</c:v>
                </c:pt>
                <c:pt idx="409">
                  <c:v>3.28820036106792</c:v>
                </c:pt>
                <c:pt idx="410">
                  <c:v>3.28836177630257</c:v>
                </c:pt>
                <c:pt idx="411">
                  <c:v>3.28852098342916</c:v>
                </c:pt>
                <c:pt idx="412">
                  <c:v>3.28867801265387</c:v>
                </c:pt>
                <c:pt idx="413">
                  <c:v>3.28883289376971</c:v>
                </c:pt>
                <c:pt idx="414">
                  <c:v>3.2889856561621</c:v>
                </c:pt>
                <c:pt idx="415">
                  <c:v>3.28913632881449</c:v>
                </c:pt>
                <c:pt idx="416">
                  <c:v>3.28928494031386</c:v>
                </c:pt>
                <c:pt idx="417">
                  <c:v>3.2894315188561</c:v>
                </c:pt>
                <c:pt idx="418">
                  <c:v>3.28957609225141</c:v>
                </c:pt>
                <c:pt idx="419">
                  <c:v>3.28971868792954</c:v>
                </c:pt>
                <c:pt idx="420">
                  <c:v>3.28985933294504</c:v>
                </c:pt>
                <c:pt idx="421">
                  <c:v>3.28999805398232</c:v>
                </c:pt>
                <c:pt idx="422">
                  <c:v>3.2901348773608</c:v>
                </c:pt>
                <c:pt idx="423">
                  <c:v>3.29026982903982</c:v>
                </c:pt>
                <c:pt idx="424">
                  <c:v>3.29040293462363</c:v>
                </c:pt>
                <c:pt idx="425">
                  <c:v>3.29053421936621</c:v>
                </c:pt>
                <c:pt idx="426">
                  <c:v>3.29066370817608</c:v>
                </c:pt>
                <c:pt idx="427">
                  <c:v>3.29079142562102</c:v>
                </c:pt>
                <c:pt idx="428">
                  <c:v>3.29091739593272</c:v>
                </c:pt>
                <c:pt idx="429">
                  <c:v>3.2910416430114</c:v>
                </c:pt>
                <c:pt idx="430">
                  <c:v>3.29116419043034</c:v>
                </c:pt>
                <c:pt idx="431">
                  <c:v>3.29128506144031</c:v>
                </c:pt>
                <c:pt idx="432">
                  <c:v>3.29140427897406</c:v>
                </c:pt>
                <c:pt idx="433">
                  <c:v>3.29152186565061</c:v>
                </c:pt>
                <c:pt idx="434">
                  <c:v>3.29163784377955</c:v>
                </c:pt>
                <c:pt idx="435">
                  <c:v>3.29175223536528</c:v>
                </c:pt>
                <c:pt idx="436">
                  <c:v>3.29186506211122</c:v>
                </c:pt>
                <c:pt idx="437">
                  <c:v>3.29197634542385</c:v>
                </c:pt>
                <c:pt idx="438">
                  <c:v>3.29208610641685</c:v>
                </c:pt>
                <c:pt idx="439">
                  <c:v>3.29219436591506</c:v>
                </c:pt>
                <c:pt idx="440">
                  <c:v>3.29230114445843</c:v>
                </c:pt>
                <c:pt idx="441">
                  <c:v>3.29240646230595</c:v>
                </c:pt>
                <c:pt idx="442">
                  <c:v>3.29251033943946</c:v>
                </c:pt>
                <c:pt idx="443">
                  <c:v>3.29261279556747</c:v>
                </c:pt>
                <c:pt idx="444">
                  <c:v>3.29271385012887</c:v>
                </c:pt>
                <c:pt idx="445">
                  <c:v>3.29281352229663</c:v>
                </c:pt>
                <c:pt idx="446">
                  <c:v>3.29291183098146</c:v>
                </c:pt>
                <c:pt idx="447">
                  <c:v>3.29300879483535</c:v>
                </c:pt>
                <c:pt idx="448">
                  <c:v>3.29310443225517</c:v>
                </c:pt>
                <c:pt idx="449">
                  <c:v>3.29319876138609</c:v>
                </c:pt>
                <c:pt idx="450">
                  <c:v>3.29329180012508</c:v>
                </c:pt>
                <c:pt idx="451">
                  <c:v>3.29338356612429</c:v>
                </c:pt>
                <c:pt idx="452">
                  <c:v>3.29347407679439</c:v>
                </c:pt>
                <c:pt idx="453">
                  <c:v>3.29356334930787</c:v>
                </c:pt>
                <c:pt idx="454">
                  <c:v>3.29365140060231</c:v>
                </c:pt>
                <c:pt idx="455">
                  <c:v>3.29373824738359</c:v>
                </c:pt>
                <c:pt idx="456">
                  <c:v>3.29382390612906</c:v>
                </c:pt>
                <c:pt idx="457">
                  <c:v>3.29390839309067</c:v>
                </c:pt>
                <c:pt idx="458">
                  <c:v>3.29399172429803</c:v>
                </c:pt>
                <c:pt idx="459">
                  <c:v>3.29407391556151</c:v>
                </c:pt>
                <c:pt idx="460">
                  <c:v>3.29415498247514</c:v>
                </c:pt>
                <c:pt idx="461">
                  <c:v>3.29423494041968</c:v>
                </c:pt>
                <c:pt idx="462">
                  <c:v>3.29431380456547</c:v>
                </c:pt>
                <c:pt idx="463">
                  <c:v>3.29439158987531</c:v>
                </c:pt>
                <c:pt idx="464">
                  <c:v>3.29446831110734</c:v>
                </c:pt>
                <c:pt idx="465">
                  <c:v>3.29454398281779</c:v>
                </c:pt>
                <c:pt idx="466">
                  <c:v>3.29461861936377</c:v>
                </c:pt>
                <c:pt idx="467">
                  <c:v>3.29469223490601</c:v>
                </c:pt>
                <c:pt idx="468">
                  <c:v>3.2947648434115</c:v>
                </c:pt>
                <c:pt idx="469">
                  <c:v>3.29483645865617</c:v>
                </c:pt>
                <c:pt idx="470">
                  <c:v>3.29490709422752</c:v>
                </c:pt>
                <c:pt idx="471">
                  <c:v>3.29497676352716</c:v>
                </c:pt>
                <c:pt idx="472">
                  <c:v>3.29504547977336</c:v>
                </c:pt>
                <c:pt idx="473">
                  <c:v>3.2951132560036</c:v>
                </c:pt>
                <c:pt idx="474">
                  <c:v>3.29518010507699</c:v>
                </c:pt>
                <c:pt idx="475">
                  <c:v>3.29524603967672</c:v>
                </c:pt>
                <c:pt idx="476">
                  <c:v>3.29531107231252</c:v>
                </c:pt>
                <c:pt idx="477">
                  <c:v>3.29537521532294</c:v>
                </c:pt>
                <c:pt idx="478">
                  <c:v>3.29543848087777</c:v>
                </c:pt>
                <c:pt idx="479">
                  <c:v>3.29550088098033</c:v>
                </c:pt>
                <c:pt idx="480">
                  <c:v>3.29556242746972</c:v>
                </c:pt>
                <c:pt idx="481">
                  <c:v>3.29562313202308</c:v>
                </c:pt>
                <c:pt idx="482">
                  <c:v>3.29568300615785</c:v>
                </c:pt>
                <c:pt idx="483">
                  <c:v>3.29574206123386</c:v>
                </c:pt>
                <c:pt idx="484">
                  <c:v>3.29580030845558</c:v>
                </c:pt>
                <c:pt idx="485">
                  <c:v>3.29585775887419</c:v>
                </c:pt>
                <c:pt idx="486">
                  <c:v>3.29591442338971</c:v>
                </c:pt>
                <c:pt idx="487">
                  <c:v>3.29597031275302</c:v>
                </c:pt>
                <c:pt idx="488">
                  <c:v>3.29602543756797</c:v>
                </c:pt>
                <c:pt idx="489">
                  <c:v>3.29607980829332</c:v>
                </c:pt>
                <c:pt idx="490">
                  <c:v>3.29613343524478</c:v>
                </c:pt>
                <c:pt idx="491">
                  <c:v>3.29618632859693</c:v>
                </c:pt>
                <c:pt idx="492">
                  <c:v>3.29623849838517</c:v>
                </c:pt>
                <c:pt idx="493">
                  <c:v>3.29628995450763</c:v>
                </c:pt>
                <c:pt idx="494">
                  <c:v>3.29634070672701</c:v>
                </c:pt>
                <c:pt idx="495">
                  <c:v>3.29639076467249</c:v>
                </c:pt>
                <c:pt idx="496">
                  <c:v>3.29644013784151</c:v>
                </c:pt>
                <c:pt idx="497">
                  <c:v>3.29648883560158</c:v>
                </c:pt>
                <c:pt idx="498">
                  <c:v>3.29653686719209</c:v>
                </c:pt>
                <c:pt idx="499">
                  <c:v>3.29658424172601</c:v>
                </c:pt>
                <c:pt idx="500">
                  <c:v>3.29663096819166</c:v>
                </c:pt>
                <c:pt idx="501">
                  <c:v>3.29667705545442</c:v>
                </c:pt>
                <c:pt idx="502">
                  <c:v>3.29672251225837</c:v>
                </c:pt>
                <c:pt idx="503">
                  <c:v>3.29676734722798</c:v>
                </c:pt>
                <c:pt idx="504">
                  <c:v>3.29681156886974</c:v>
                </c:pt>
                <c:pt idx="505">
                  <c:v>3.29685518557378</c:v>
                </c:pt>
                <c:pt idx="506">
                  <c:v>3.29689820561545</c:v>
                </c:pt>
                <c:pt idx="507">
                  <c:v>3.2969406371569</c:v>
                </c:pt>
                <c:pt idx="508">
                  <c:v>3.29698248824862</c:v>
                </c:pt>
                <c:pt idx="509">
                  <c:v>3.29702376683098</c:v>
                </c:pt>
                <c:pt idx="510">
                  <c:v>3.29706448073571</c:v>
                </c:pt>
                <c:pt idx="511">
                  <c:v>3.29710463768743</c:v>
                </c:pt>
                <c:pt idx="512">
                  <c:v>3.29714424530507</c:v>
                </c:pt>
                <c:pt idx="513">
                  <c:v>3.29718331110334</c:v>
                </c:pt>
                <c:pt idx="514">
                  <c:v>3.29722184249416</c:v>
                </c:pt>
                <c:pt idx="515">
                  <c:v>3.29725984678804</c:v>
                </c:pt>
                <c:pt idx="516">
                  <c:v>3.29729733119551</c:v>
                </c:pt>
                <c:pt idx="517">
                  <c:v>3.29733430282844</c:v>
                </c:pt>
                <c:pt idx="518">
                  <c:v>3.29737076870142</c:v>
                </c:pt>
                <c:pt idx="519">
                  <c:v>3.29740673573308</c:v>
                </c:pt>
                <c:pt idx="520">
                  <c:v>3.2974422107474</c:v>
                </c:pt>
                <c:pt idx="521">
                  <c:v>3.29747720047504</c:v>
                </c:pt>
                <c:pt idx="522">
                  <c:v>3.29751171155454</c:v>
                </c:pt>
                <c:pt idx="523">
                  <c:v>3.29754575053367</c:v>
                </c:pt>
                <c:pt idx="524">
                  <c:v>3.2975793238706</c:v>
                </c:pt>
                <c:pt idx="525">
                  <c:v>3.29761243793517</c:v>
                </c:pt>
                <c:pt idx="526">
                  <c:v>3.29764509901007</c:v>
                </c:pt>
                <c:pt idx="527">
                  <c:v>3.29767731329205</c:v>
                </c:pt>
                <c:pt idx="528">
                  <c:v>3.2977090868931</c:v>
                </c:pt>
                <c:pt idx="529">
                  <c:v>3.2977404258416</c:v>
                </c:pt>
                <c:pt idx="530">
                  <c:v>3.29777133608344</c:v>
                </c:pt>
                <c:pt idx="531">
                  <c:v>3.29780182348319</c:v>
                </c:pt>
                <c:pt idx="532">
                  <c:v>3.2978318938252</c:v>
                </c:pt>
                <c:pt idx="533">
                  <c:v>3.29786155281468</c:v>
                </c:pt>
                <c:pt idx="534">
                  <c:v>3.2978908060788</c:v>
                </c:pt>
                <c:pt idx="535">
                  <c:v>3.29791965916776</c:v>
                </c:pt>
                <c:pt idx="536">
                  <c:v>3.29794811755581</c:v>
                </c:pt>
                <c:pt idx="537">
                  <c:v>3.29797618664234</c:v>
                </c:pt>
                <c:pt idx="538">
                  <c:v>3.29800387175287</c:v>
                </c:pt>
                <c:pt idx="539">
                  <c:v>3.29803117814006</c:v>
                </c:pt>
                <c:pt idx="540">
                  <c:v>3.29805811098473</c:v>
                </c:pt>
                <c:pt idx="541">
                  <c:v>3.29808467539682</c:v>
                </c:pt>
                <c:pt idx="542">
                  <c:v>3.29811087641636</c:v>
                </c:pt>
                <c:pt idx="543">
                  <c:v>3.29813671901445</c:v>
                </c:pt>
                <c:pt idx="544">
                  <c:v>3.29816220809418</c:v>
                </c:pt>
                <c:pt idx="545">
                  <c:v>3.29818734849157</c:v>
                </c:pt>
                <c:pt idx="546">
                  <c:v>3.29821214497647</c:v>
                </c:pt>
                <c:pt idx="547">
                  <c:v>3.29823660225349</c:v>
                </c:pt>
                <c:pt idx="548">
                  <c:v>3.2982607249629</c:v>
                </c:pt>
                <c:pt idx="549">
                  <c:v>3.29828451768146</c:v>
                </c:pt>
                <c:pt idx="550">
                  <c:v>3.29830798492334</c:v>
                </c:pt>
                <c:pt idx="551">
                  <c:v>3.29833113114097</c:v>
                </c:pt>
                <c:pt idx="552">
                  <c:v>3.29835396072585</c:v>
                </c:pt>
                <c:pt idx="553">
                  <c:v>3.2983764780094</c:v>
                </c:pt>
                <c:pt idx="554">
                  <c:v>3.29839868726382</c:v>
                </c:pt>
                <c:pt idx="555">
                  <c:v>3.29842059270284</c:v>
                </c:pt>
                <c:pt idx="556">
                  <c:v>3.29844219848256</c:v>
                </c:pt>
                <c:pt idx="557">
                  <c:v>3.29846350870221</c:v>
                </c:pt>
                <c:pt idx="558">
                  <c:v>3.29848452740497</c:v>
                </c:pt>
                <c:pt idx="559">
                  <c:v>3.29850525857869</c:v>
                </c:pt>
                <c:pt idx="560">
                  <c:v>3.29852570615668</c:v>
                </c:pt>
                <c:pt idx="561">
                  <c:v>3.29854587401843</c:v>
                </c:pt>
                <c:pt idx="562">
                  <c:v>3.29856576599037</c:v>
                </c:pt>
                <c:pt idx="563">
                  <c:v>3.29858538584658</c:v>
                </c:pt>
                <c:pt idx="564">
                  <c:v>3.29860473730952</c:v>
                </c:pt>
                <c:pt idx="565">
                  <c:v>3.29862382405072</c:v>
                </c:pt>
                <c:pt idx="566">
                  <c:v>3.2986426496915</c:v>
                </c:pt>
                <c:pt idx="567">
                  <c:v>3.29866121780361</c:v>
                </c:pt>
                <c:pt idx="568">
                  <c:v>3.29867953190997</c:v>
                </c:pt>
                <c:pt idx="569">
                  <c:v>3.29869759548529</c:v>
                </c:pt>
                <c:pt idx="570">
                  <c:v>3.29871541195676</c:v>
                </c:pt>
                <c:pt idx="571">
                  <c:v>3.29873298470467</c:v>
                </c:pt>
                <c:pt idx="572">
                  <c:v>3.29875031706309</c:v>
                </c:pt>
                <c:pt idx="573">
                  <c:v>3.29876741232047</c:v>
                </c:pt>
                <c:pt idx="574">
                  <c:v>3.29878427372027</c:v>
                </c:pt>
                <c:pt idx="575">
                  <c:v>3.29880090446159</c:v>
                </c:pt>
                <c:pt idx="576">
                  <c:v>3.29881730769976</c:v>
                </c:pt>
                <c:pt idx="577">
                  <c:v>3.29883348654694</c:v>
                </c:pt>
                <c:pt idx="578">
                  <c:v>3.29884944407275</c:v>
                </c:pt>
                <c:pt idx="579">
                  <c:v>3.29886518330478</c:v>
                </c:pt>
                <c:pt idx="580">
                  <c:v>3.29888070722921</c:v>
                </c:pt>
                <c:pt idx="581">
                  <c:v>3.2988960187914</c:v>
                </c:pt>
                <c:pt idx="582">
                  <c:v>3.29891112089637</c:v>
                </c:pt>
                <c:pt idx="583">
                  <c:v>3.29892601640945</c:v>
                </c:pt>
                <c:pt idx="584">
                  <c:v>3.29894070815674</c:v>
                </c:pt>
                <c:pt idx="585">
                  <c:v>3.29895519892569</c:v>
                </c:pt>
                <c:pt idx="586">
                  <c:v>3.29896949146562</c:v>
                </c:pt>
                <c:pt idx="587">
                  <c:v>3.29898358848823</c:v>
                </c:pt>
                <c:pt idx="588">
                  <c:v>3.29899749266815</c:v>
                </c:pt>
                <c:pt idx="589">
                  <c:v>3.2990112066434</c:v>
                </c:pt>
                <c:pt idx="590">
                  <c:v>3.29902473301591</c:v>
                </c:pt>
                <c:pt idx="591">
                  <c:v>3.29903807435203</c:v>
                </c:pt>
                <c:pt idx="592">
                  <c:v>3.299051233183</c:v>
                </c:pt>
                <c:pt idx="593">
                  <c:v>3.29906421200542</c:v>
                </c:pt>
                <c:pt idx="594">
                  <c:v>3.29907701328177</c:v>
                </c:pt>
                <c:pt idx="595">
                  <c:v>3.2990896394408</c:v>
                </c:pt>
                <c:pt idx="596">
                  <c:v>3.29910209287808</c:v>
                </c:pt>
                <c:pt idx="597">
                  <c:v>3.29911437595636</c:v>
                </c:pt>
                <c:pt idx="598">
                  <c:v>3.29912649100613</c:v>
                </c:pt>
                <c:pt idx="599">
                  <c:v>3.29913844032593</c:v>
                </c:pt>
                <c:pt idx="600">
                  <c:v>3.29915022618292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"down"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RC!$I$22:$I$622</c:f>
              <c:numCache>
                <c:formatCode>General</c:formatCode>
                <c:ptCount val="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</c:numCache>
            </c:numRef>
          </c:xVal>
          <c:yVal>
            <c:numRef>
              <c:f>RC!$L$22:$L$622</c:f>
              <c:numCache>
                <c:formatCode>General</c:formatCode>
                <c:ptCount val="601"/>
                <c:pt idx="0">
                  <c:v>3.3</c:v>
                </c:pt>
                <c:pt idx="1">
                  <c:v>3.25485706999712</c:v>
                </c:pt>
                <c:pt idx="2">
                  <c:v>3.21033168063947</c:v>
                </c:pt>
                <c:pt idx="3">
                  <c:v>3.16641538417126</c:v>
                </c:pt>
                <c:pt idx="4">
                  <c:v>3.12309984839923</c:v>
                </c:pt>
                <c:pt idx="5">
                  <c:v>3.08037685511188</c:v>
                </c:pt>
                <c:pt idx="6">
                  <c:v>3.03823829852012</c:v>
                </c:pt>
                <c:pt idx="7">
                  <c:v>2.99667618371947</c:v>
                </c:pt>
                <c:pt idx="8">
                  <c:v>2.95568262517313</c:v>
                </c:pt>
                <c:pt idx="9">
                  <c:v>2.91524984521588</c:v>
                </c:pt>
                <c:pt idx="10">
                  <c:v>2.87537017257846</c:v>
                </c:pt>
                <c:pt idx="11">
                  <c:v>2.83603604093208</c:v>
                </c:pt>
                <c:pt idx="12">
                  <c:v>2.79723998745286</c:v>
                </c:pt>
                <c:pt idx="13">
                  <c:v>2.75897465140594</c:v>
                </c:pt>
                <c:pt idx="14">
                  <c:v>2.72123277274893</c:v>
                </c:pt>
                <c:pt idx="15">
                  <c:v>2.68400719075447</c:v>
                </c:pt>
                <c:pt idx="16">
                  <c:v>2.64729084265161</c:v>
                </c:pt>
                <c:pt idx="17">
                  <c:v>2.61107676228583</c:v>
                </c:pt>
                <c:pt idx="18">
                  <c:v>2.57535807879734</c:v>
                </c:pt>
                <c:pt idx="19">
                  <c:v>2.54012801531749</c:v>
                </c:pt>
                <c:pt idx="20">
                  <c:v>2.505379887683</c:v>
                </c:pt>
                <c:pt idx="21">
                  <c:v>2.47110710316776</c:v>
                </c:pt>
                <c:pt idx="22">
                  <c:v>2.43730315923203</c:v>
                </c:pt>
                <c:pt idx="23">
                  <c:v>2.4039616422887</c:v>
                </c:pt>
                <c:pt idx="24">
                  <c:v>2.37107622648645</c:v>
                </c:pt>
                <c:pt idx="25">
                  <c:v>2.33864067250955</c:v>
                </c:pt>
                <c:pt idx="26">
                  <c:v>2.3066488263941</c:v>
                </c:pt>
                <c:pt idx="27">
                  <c:v>2.27509461836043</c:v>
                </c:pt>
                <c:pt idx="28">
                  <c:v>2.24397206166147</c:v>
                </c:pt>
                <c:pt idx="29">
                  <c:v>2.21327525144693</c:v>
                </c:pt>
                <c:pt idx="30">
                  <c:v>2.18299836364294</c:v>
                </c:pt>
                <c:pt idx="31">
                  <c:v>2.15313565384708</c:v>
                </c:pt>
                <c:pt idx="32">
                  <c:v>2.1236814562385</c:v>
                </c:pt>
                <c:pt idx="33">
                  <c:v>2.09463018250293</c:v>
                </c:pt>
                <c:pt idx="34">
                  <c:v>2.06597632077243</c:v>
                </c:pt>
                <c:pt idx="35">
                  <c:v>2.03771443457964</c:v>
                </c:pt>
                <c:pt idx="36">
                  <c:v>2.00983916182628</c:v>
                </c:pt>
                <c:pt idx="37">
                  <c:v>1.98234521376587</c:v>
                </c:pt>
                <c:pt idx="38">
                  <c:v>1.95522737400024</c:v>
                </c:pt>
                <c:pt idx="39">
                  <c:v>1.92848049748988</c:v>
                </c:pt>
                <c:pt idx="40">
                  <c:v>1.90209950957773</c:v>
                </c:pt>
                <c:pt idx="41">
                  <c:v>1.8760794050264</c:v>
                </c:pt>
                <c:pt idx="42">
                  <c:v>1.85041524706854</c:v>
                </c:pt>
                <c:pt idx="43">
                  <c:v>1.82510216647015</c:v>
                </c:pt>
                <c:pt idx="44">
                  <c:v>1.8001353606068</c:v>
                </c:pt>
                <c:pt idx="45">
                  <c:v>1.77551009255239</c:v>
                </c:pt>
                <c:pt idx="46">
                  <c:v>1.75122169018042</c:v>
                </c:pt>
                <c:pt idx="47">
                  <c:v>1.72726554527759</c:v>
                </c:pt>
                <c:pt idx="48">
                  <c:v>1.70363711266946</c:v>
                </c:pt>
                <c:pt idx="49">
                  <c:v>1.68033190935808</c:v>
                </c:pt>
                <c:pt idx="50">
                  <c:v>1.65734551367149</c:v>
                </c:pt>
                <c:pt idx="51">
                  <c:v>1.63467356442475</c:v>
                </c:pt>
                <c:pt idx="52">
                  <c:v>1.61231176009251</c:v>
                </c:pt>
                <c:pt idx="53">
                  <c:v>1.59025585799291</c:v>
                </c:pt>
                <c:pt idx="54">
                  <c:v>1.5685016734826</c:v>
                </c:pt>
                <c:pt idx="55">
                  <c:v>1.54704507916278</c:v>
                </c:pt>
                <c:pt idx="56">
                  <c:v>1.52588200409613</c:v>
                </c:pt>
                <c:pt idx="57">
                  <c:v>1.50500843303444</c:v>
                </c:pt>
                <c:pt idx="58">
                  <c:v>1.4844204056568</c:v>
                </c:pt>
                <c:pt idx="59">
                  <c:v>1.4641140158182</c:v>
                </c:pt>
                <c:pt idx="60">
                  <c:v>1.44408541080841</c:v>
                </c:pt>
                <c:pt idx="61">
                  <c:v>1.42433079062104</c:v>
                </c:pt>
                <c:pt idx="62">
                  <c:v>1.40484640723257</c:v>
                </c:pt>
                <c:pt idx="63">
                  <c:v>1.38562856389121</c:v>
                </c:pt>
                <c:pt idx="64">
                  <c:v>1.36667361441554</c:v>
                </c:pt>
                <c:pt idx="65">
                  <c:v>1.34797796250271</c:v>
                </c:pt>
                <c:pt idx="66">
                  <c:v>1.32953806104614</c:v>
                </c:pt>
                <c:pt idx="67">
                  <c:v>1.31135041146251</c:v>
                </c:pt>
                <c:pt idx="68">
                  <c:v>1.293411563028</c:v>
                </c:pt>
                <c:pt idx="69">
                  <c:v>1.27571811222355</c:v>
                </c:pt>
                <c:pt idx="70">
                  <c:v>1.25826670208915</c:v>
                </c:pt>
                <c:pt idx="71">
                  <c:v>1.24105402158692</c:v>
                </c:pt>
                <c:pt idx="72">
                  <c:v>1.2240768049729</c:v>
                </c:pt>
                <c:pt idx="73">
                  <c:v>1.20733183117743</c:v>
                </c:pt>
                <c:pt idx="74">
                  <c:v>1.19081592319407</c:v>
                </c:pt>
                <c:pt idx="75">
                  <c:v>1.17452594747678</c:v>
                </c:pt>
                <c:pt idx="76">
                  <c:v>1.15845881334542</c:v>
                </c:pt>
                <c:pt idx="77">
                  <c:v>1.14261147239934</c:v>
                </c:pt>
                <c:pt idx="78">
                  <c:v>1.12698091793903</c:v>
                </c:pt>
                <c:pt idx="79">
                  <c:v>1.11156418439567</c:v>
                </c:pt>
                <c:pt idx="80">
                  <c:v>1.09635834676843</c:v>
                </c:pt>
                <c:pt idx="81">
                  <c:v>1.08136052006957</c:v>
                </c:pt>
                <c:pt idx="82">
                  <c:v>1.06656785877704</c:v>
                </c:pt>
                <c:pt idx="83">
                  <c:v>1.05197755629458</c:v>
                </c:pt>
                <c:pt idx="84">
                  <c:v>1.03758684441931</c:v>
                </c:pt>
                <c:pt idx="85">
                  <c:v>1.02339299281642</c:v>
                </c:pt>
                <c:pt idx="86">
                  <c:v>1.00939330850123</c:v>
                </c:pt>
                <c:pt idx="87">
                  <c:v>0.995585135328185</c:v>
                </c:pt>
                <c:pt idx="88">
                  <c:v>0.981965853486966</c:v>
                </c:pt>
                <c:pt idx="89">
                  <c:v>0.968532879005397</c:v>
                </c:pt>
                <c:pt idx="90">
                  <c:v>0.955283663259208</c:v>
                </c:pt>
                <c:pt idx="91">
                  <c:v>0.94221569248848</c:v>
                </c:pt>
                <c:pt idx="92">
                  <c:v>0.929326487320717</c:v>
                </c:pt>
                <c:pt idx="93">
                  <c:v>0.916613602300433</c:v>
                </c:pt>
                <c:pt idx="94">
                  <c:v>0.904074625425181</c:v>
                </c:pt>
                <c:pt idx="95">
                  <c:v>0.891707177687925</c:v>
                </c:pt>
                <c:pt idx="96">
                  <c:v>0.879508912625674</c:v>
                </c:pt>
                <c:pt idx="97">
                  <c:v>0.86747751587429</c:v>
                </c:pt>
                <c:pt idx="98">
                  <c:v>0.855610704729387</c:v>
                </c:pt>
                <c:pt idx="99">
                  <c:v>0.843906227713232</c:v>
                </c:pt>
                <c:pt idx="100">
                  <c:v>0.832361864147581</c:v>
                </c:pt>
                <c:pt idx="101">
                  <c:v>0.820975423732345</c:v>
                </c:pt>
                <c:pt idx="102">
                  <c:v>0.809744746130033</c:v>
                </c:pt>
                <c:pt idx="103">
                  <c:v>0.798667700555868</c:v>
                </c:pt>
                <c:pt idx="104">
                  <c:v>0.787742185373519</c:v>
                </c:pt>
                <c:pt idx="105">
                  <c:v>0.776966127696359</c:v>
                </c:pt>
                <c:pt idx="106">
                  <c:v>0.766337482994176</c:v>
                </c:pt>
                <c:pt idx="107">
                  <c:v>0.755854234705271</c:v>
                </c:pt>
                <c:pt idx="108">
                  <c:v>0.745514393853854</c:v>
                </c:pt>
                <c:pt idx="109">
                  <c:v>0.735315998672678</c:v>
                </c:pt>
                <c:pt idx="110">
                  <c:v>0.725257114230837</c:v>
                </c:pt>
                <c:pt idx="111">
                  <c:v>0.715335832066652</c:v>
                </c:pt>
                <c:pt idx="112">
                  <c:v>0.705550269825581</c:v>
                </c:pt>
                <c:pt idx="113">
                  <c:v>0.695898570903082</c:v>
                </c:pt>
                <c:pt idx="114">
                  <c:v>0.686378904092361</c:v>
                </c:pt>
                <c:pt idx="115">
                  <c:v>0.676989463236939</c:v>
                </c:pt>
                <c:pt idx="116">
                  <c:v>0.667728466887973</c:v>
                </c:pt>
                <c:pt idx="117">
                  <c:v>0.65859415796626</c:v>
                </c:pt>
                <c:pt idx="118">
                  <c:v>0.649584803428874</c:v>
                </c:pt>
                <c:pt idx="119">
                  <c:v>0.640698693940353</c:v>
                </c:pt>
                <c:pt idx="120">
                  <c:v>0.631934143548388</c:v>
                </c:pt>
                <c:pt idx="121">
                  <c:v>0.623289489363954</c:v>
                </c:pt>
                <c:pt idx="122">
                  <c:v>0.614763091245807</c:v>
                </c:pt>
                <c:pt idx="123">
                  <c:v>0.606353331489304</c:v>
                </c:pt>
                <c:pt idx="124">
                  <c:v>0.598058614519476</c:v>
                </c:pt>
                <c:pt idx="125">
                  <c:v>0.589877366588303</c:v>
                </c:pt>
                <c:pt idx="126">
                  <c:v>0.581808035476129</c:v>
                </c:pt>
                <c:pt idx="127">
                  <c:v>0.573849090197156</c:v>
                </c:pt>
                <c:pt idx="128">
                  <c:v>0.565999020708979</c:v>
                </c:pt>
                <c:pt idx="129">
                  <c:v>0.558256337626081</c:v>
                </c:pt>
                <c:pt idx="130">
                  <c:v>0.550619571937258</c:v>
                </c:pt>
                <c:pt idx="131">
                  <c:v>0.543087274726902</c:v>
                </c:pt>
                <c:pt idx="132">
                  <c:v>0.535658016900099</c:v>
                </c:pt>
                <c:pt idx="133">
                  <c:v>0.528330388911493</c:v>
                </c:pt>
                <c:pt idx="134">
                  <c:v>0.521103000497849</c:v>
                </c:pt>
                <c:pt idx="135">
                  <c:v>0.513974480414285</c:v>
                </c:pt>
                <c:pt idx="136">
                  <c:v>0.506943476174101</c:v>
                </c:pt>
                <c:pt idx="137">
                  <c:v>0.500008653792179</c:v>
                </c:pt>
                <c:pt idx="138">
                  <c:v>0.493168697531884</c:v>
                </c:pt>
                <c:pt idx="139">
                  <c:v>0.486422309655433</c:v>
                </c:pt>
                <c:pt idx="140">
                  <c:v>0.479768210177671</c:v>
                </c:pt>
                <c:pt idx="141">
                  <c:v>0.47320513662323</c:v>
                </c:pt>
                <c:pt idx="142">
                  <c:v>0.466731843786993</c:v>
                </c:pt>
                <c:pt idx="143">
                  <c:v>0.460347103497844</c:v>
                </c:pt>
                <c:pt idx="144">
                  <c:v>0.454049704385653</c:v>
                </c:pt>
                <c:pt idx="145">
                  <c:v>0.447838451651439</c:v>
                </c:pt>
                <c:pt idx="146">
                  <c:v>0.441712166840682</c:v>
                </c:pt>
                <c:pt idx="147">
                  <c:v>0.43566968761974</c:v>
                </c:pt>
                <c:pt idx="148">
                  <c:v>0.429709867555319</c:v>
                </c:pt>
                <c:pt idx="149">
                  <c:v>0.423831575896956</c:v>
                </c:pt>
                <c:pt idx="150">
                  <c:v>0.418033697362494</c:v>
                </c:pt>
                <c:pt idx="151">
                  <c:v>0.41231513192647</c:v>
                </c:pt>
                <c:pt idx="152">
                  <c:v>0.406674794611415</c:v>
                </c:pt>
                <c:pt idx="153">
                  <c:v>0.401111615281998</c:v>
                </c:pt>
                <c:pt idx="154">
                  <c:v>0.395624538441993</c:v>
                </c:pt>
                <c:pt idx="155">
                  <c:v>0.390212523034021</c:v>
                </c:pt>
                <c:pt idx="156">
                  <c:v>0.38487454224203</c:v>
                </c:pt>
                <c:pt idx="157">
                  <c:v>0.379609583296479</c:v>
                </c:pt>
                <c:pt idx="158">
                  <c:v>0.374416647282183</c:v>
                </c:pt>
                <c:pt idx="159">
                  <c:v>0.369294748948798</c:v>
                </c:pt>
                <c:pt idx="160">
                  <c:v>0.364242916523882</c:v>
                </c:pt>
                <c:pt idx="161">
                  <c:v>0.359260191528524</c:v>
                </c:pt>
                <c:pt idx="162">
                  <c:v>0.354345628595496</c:v>
                </c:pt>
                <c:pt idx="163">
                  <c:v>0.349498295289886</c:v>
                </c:pt>
                <c:pt idx="164">
                  <c:v>0.344717271932191</c:v>
                </c:pt>
                <c:pt idx="165">
                  <c:v>0.340001651423822</c:v>
                </c:pt>
                <c:pt idx="166">
                  <c:v>0.335350539075007</c:v>
                </c:pt>
                <c:pt idx="167">
                  <c:v>0.330763052435041</c:v>
                </c:pt>
                <c:pt idx="168">
                  <c:v>0.326238321124855</c:v>
                </c:pt>
                <c:pt idx="169">
                  <c:v>0.321775486671887</c:v>
                </c:pt>
                <c:pt idx="170">
                  <c:v>0.317373702347199</c:v>
                </c:pt>
                <c:pt idx="171">
                  <c:v>0.313032133004831</c:v>
                </c:pt>
                <c:pt idx="172">
                  <c:v>0.30874995492335</c:v>
                </c:pt>
                <c:pt idx="173">
                  <c:v>0.304526355649564</c:v>
                </c:pt>
                <c:pt idx="174">
                  <c:v>0.300360533844376</c:v>
                </c:pt>
                <c:pt idx="175">
                  <c:v>0.296251699130751</c:v>
                </c:pt>
                <c:pt idx="176">
                  <c:v>0.292199071943753</c:v>
                </c:pt>
                <c:pt idx="177">
                  <c:v>0.288201883382643</c:v>
                </c:pt>
                <c:pt idx="178">
                  <c:v>0.284259375064995</c:v>
                </c:pt>
                <c:pt idx="179">
                  <c:v>0.280370798982807</c:v>
                </c:pt>
                <c:pt idx="180">
                  <c:v>0.276535417360585</c:v>
                </c:pt>
                <c:pt idx="181">
                  <c:v>0.272752502515366</c:v>
                </c:pt>
                <c:pt idx="182">
                  <c:v>0.26902133671865</c:v>
                </c:pt>
                <c:pt idx="183">
                  <c:v>0.265341212060235</c:v>
                </c:pt>
                <c:pt idx="184">
                  <c:v>0.261711430313898</c:v>
                </c:pt>
                <c:pt idx="185">
                  <c:v>0.258131302804924</c:v>
                </c:pt>
                <c:pt idx="186">
                  <c:v>0.254600150279447</c:v>
                </c:pt>
                <c:pt idx="187">
                  <c:v>0.251117302775573</c:v>
                </c:pt>
                <c:pt idx="188">
                  <c:v>0.247682099496267</c:v>
                </c:pt>
                <c:pt idx="189">
                  <c:v>0.244293888683987</c:v>
                </c:pt>
                <c:pt idx="190">
                  <c:v>0.240952027497019</c:v>
                </c:pt>
                <c:pt idx="191">
                  <c:v>0.23765588188752</c:v>
                </c:pt>
                <c:pt idx="192">
                  <c:v>0.234404826481211</c:v>
                </c:pt>
                <c:pt idx="193">
                  <c:v>0.231198244458733</c:v>
                </c:pt>
                <c:pt idx="194">
                  <c:v>0.228035527438615</c:v>
                </c:pt>
                <c:pt idx="195">
                  <c:v>0.224916075361848</c:v>
                </c:pt>
                <c:pt idx="196">
                  <c:v>0.221839296378036</c:v>
                </c:pt>
                <c:pt idx="197">
                  <c:v>0.218804606733102</c:v>
                </c:pt>
                <c:pt idx="198">
                  <c:v>0.215811430658539</c:v>
                </c:pt>
                <c:pt idx="199">
                  <c:v>0.212859200262163</c:v>
                </c:pt>
                <c:pt idx="200">
                  <c:v>0.209947355420374</c:v>
                </c:pt>
                <c:pt idx="201">
                  <c:v>0.20707534367188</c:v>
                </c:pt>
                <c:pt idx="202">
                  <c:v>0.20424262011288</c:v>
                </c:pt>
                <c:pt idx="203">
                  <c:v>0.20144864729368</c:v>
                </c:pt>
                <c:pt idx="204">
                  <c:v>0.198692895116725</c:v>
                </c:pt>
                <c:pt idx="205">
                  <c:v>0.195974840736021</c:v>
                </c:pt>
                <c:pt idx="206">
                  <c:v>0.193293968457939</c:v>
                </c:pt>
                <c:pt idx="207">
                  <c:v>0.19064976964337</c:v>
                </c:pt>
                <c:pt idx="208">
                  <c:v>0.188041742611227</c:v>
                </c:pt>
                <c:pt idx="209">
                  <c:v>0.185469392543252</c:v>
                </c:pt>
                <c:pt idx="210">
                  <c:v>0.182932231390144</c:v>
                </c:pt>
                <c:pt idx="211">
                  <c:v>0.180429777778957</c:v>
                </c:pt>
                <c:pt idx="212">
                  <c:v>0.177961556921772</c:v>
                </c:pt>
                <c:pt idx="213">
                  <c:v>0.175527100525614</c:v>
                </c:pt>
                <c:pt idx="214">
                  <c:v>0.173125946703603</c:v>
                </c:pt>
                <c:pt idx="215">
                  <c:v>0.170757639887324</c:v>
                </c:pt>
                <c:pt idx="216">
                  <c:v>0.168421730740388</c:v>
                </c:pt>
                <c:pt idx="217">
                  <c:v>0.166117776073183</c:v>
                </c:pt>
                <c:pt idx="218">
                  <c:v>0.163845338758787</c:v>
                </c:pt>
                <c:pt idx="219">
                  <c:v>0.161603987650034</c:v>
                </c:pt>
                <c:pt idx="220">
                  <c:v>0.159393297497709</c:v>
                </c:pt>
                <c:pt idx="221">
                  <c:v>0.157212848869871</c:v>
                </c:pt>
                <c:pt idx="222">
                  <c:v>0.155062228072269</c:v>
                </c:pt>
                <c:pt idx="223">
                  <c:v>0.152941027069858</c:v>
                </c:pt>
                <c:pt idx="224">
                  <c:v>0.150848843409379</c:v>
                </c:pt>
                <c:pt idx="225">
                  <c:v>0.148785280143002</c:v>
                </c:pt>
                <c:pt idx="226">
                  <c:v>0.146749945753016</c:v>
                </c:pt>
                <c:pt idx="227">
                  <c:v>0.144742454077545</c:v>
                </c:pt>
                <c:pt idx="228">
                  <c:v>0.142762424237282</c:v>
                </c:pt>
                <c:pt idx="229">
                  <c:v>0.140809480563226</c:v>
                </c:pt>
                <c:pt idx="230">
                  <c:v>0.138883252525406</c:v>
                </c:pt>
                <c:pt idx="231">
                  <c:v>0.13698337466258</c:v>
                </c:pt>
                <c:pt idx="232">
                  <c:v>0.135109486512898</c:v>
                </c:pt>
                <c:pt idx="233">
                  <c:v>0.133261232545511</c:v>
                </c:pt>
                <c:pt idx="234">
                  <c:v>0.131438262093117</c:v>
                </c:pt>
                <c:pt idx="235">
                  <c:v>0.12964022928543</c:v>
                </c:pt>
                <c:pt idx="236">
                  <c:v>0.127866792983554</c:v>
                </c:pt>
                <c:pt idx="237">
                  <c:v>0.126117616715267</c:v>
                </c:pt>
                <c:pt idx="238">
                  <c:v>0.124392368611174</c:v>
                </c:pt>
                <c:pt idx="239">
                  <c:v>0.122690721341748</c:v>
                </c:pt>
                <c:pt idx="240">
                  <c:v>0.121012352055223</c:v>
                </c:pt>
                <c:pt idx="241">
                  <c:v>0.11935694231634</c:v>
                </c:pt>
                <c:pt idx="242">
                  <c:v>0.117724178045933</c:v>
                </c:pt>
                <c:pt idx="243">
                  <c:v>0.116113749461335</c:v>
                </c:pt>
                <c:pt idx="244">
                  <c:v>0.114525351017606</c:v>
                </c:pt>
                <c:pt idx="245">
                  <c:v>0.112958681349563</c:v>
                </c:pt>
                <c:pt idx="246">
                  <c:v>0.111413443214599</c:v>
                </c:pt>
                <c:pt idx="247">
                  <c:v>0.109889343436291</c:v>
                </c:pt>
                <c:pt idx="248">
                  <c:v>0.108386092848774</c:v>
                </c:pt>
                <c:pt idx="249">
                  <c:v>0.106903406241878</c:v>
                </c:pt>
                <c:pt idx="250">
                  <c:v>0.105441002307016</c:v>
                </c:pt>
                <c:pt idx="251">
                  <c:v>0.10399860358381</c:v>
                </c:pt>
                <c:pt idx="252">
                  <c:v>0.102575936407452</c:v>
                </c:pt>
                <c:pt idx="253">
                  <c:v>0.101172730856779</c:v>
                </c:pt>
                <c:pt idx="254">
                  <c:v>0.0997887207030617</c:v>
                </c:pt>
                <c:pt idx="255">
                  <c:v>0.0984236433594936</c:v>
                </c:pt>
                <c:pt idx="256">
                  <c:v>0.0970772398313706</c:v>
                </c:pt>
                <c:pt idx="257">
                  <c:v>0.0957492546669525</c:v>
                </c:pt>
                <c:pt idx="258">
                  <c:v>0.0944394359089956</c:v>
                </c:pt>
                <c:pt idx="259">
                  <c:v>0.0931475350469499</c:v>
                </c:pt>
                <c:pt idx="260">
                  <c:v>0.091873306969809</c:v>
                </c:pt>
                <c:pt idx="261">
                  <c:v>0.0906165099196057</c:v>
                </c:pt>
                <c:pt idx="262">
                  <c:v>0.0893769054455434</c:v>
                </c:pt>
                <c:pt idx="263">
                  <c:v>0.088154258358755</c:v>
                </c:pt>
                <c:pt idx="264">
                  <c:v>0.0869483366876808</c:v>
                </c:pt>
                <c:pt idx="265">
                  <c:v>0.0857589116340571</c:v>
                </c:pt>
                <c:pt idx="266">
                  <c:v>0.0845857575295058</c:v>
                </c:pt>
                <c:pt idx="267">
                  <c:v>0.0834286517927196</c:v>
                </c:pt>
                <c:pt idx="268">
                  <c:v>0.0822873748872307</c:v>
                </c:pt>
                <c:pt idx="269">
                  <c:v>0.0811617102797596</c:v>
                </c:pt>
                <c:pt idx="270">
                  <c:v>0.0800514443991315</c:v>
                </c:pt>
                <c:pt idx="271">
                  <c:v>0.078956366595756</c:v>
                </c:pt>
                <c:pt idx="272">
                  <c:v>0.0778762691016609</c:v>
                </c:pt>
                <c:pt idx="273">
                  <c:v>0.0768109469910727</c:v>
                </c:pt>
                <c:pt idx="274">
                  <c:v>0.0757601981415355</c:v>
                </c:pt>
                <c:pt idx="275">
                  <c:v>0.0747238231955636</c:v>
                </c:pt>
                <c:pt idx="276">
                  <c:v>0.0737016255228168</c:v>
                </c:pt>
                <c:pt idx="277">
                  <c:v>0.0726934111827941</c:v>
                </c:pt>
                <c:pt idx="278">
                  <c:v>0.071698988888038</c:v>
                </c:pt>
                <c:pt idx="279">
                  <c:v>0.0707181699678411</c:v>
                </c:pt>
                <c:pt idx="280">
                  <c:v>0.0697507683324503</c:v>
                </c:pt>
                <c:pt idx="281">
                  <c:v>0.0687966004377598</c:v>
                </c:pt>
                <c:pt idx="282">
                  <c:v>0.0678554852504879</c:v>
                </c:pt>
                <c:pt idx="283">
                  <c:v>0.066927244213829</c:v>
                </c:pt>
                <c:pt idx="284">
                  <c:v>0.0660117012135775</c:v>
                </c:pt>
                <c:pt idx="285">
                  <c:v>0.0651086825447122</c:v>
                </c:pt>
                <c:pt idx="286">
                  <c:v>0.0642180168784409</c:v>
                </c:pt>
                <c:pt idx="287">
                  <c:v>0.0633395352296933</c:v>
                </c:pt>
                <c:pt idx="288">
                  <c:v>0.0624730709250604</c:v>
                </c:pt>
                <c:pt idx="289">
                  <c:v>0.0616184595711711</c:v>
                </c:pt>
                <c:pt idx="290">
                  <c:v>0.0607755390235025</c:v>
                </c:pt>
                <c:pt idx="291">
                  <c:v>0.0599441493556161</c:v>
                </c:pt>
                <c:pt idx="292">
                  <c:v>0.0591241328288153</c:v>
                </c:pt>
                <c:pt idx="293">
                  <c:v>0.0583153338622178</c:v>
                </c:pt>
                <c:pt idx="294">
                  <c:v>0.057517599003237</c:v>
                </c:pt>
                <c:pt idx="295">
                  <c:v>0.0567307768984683</c:v>
                </c:pt>
                <c:pt idx="296">
                  <c:v>0.0559547182649725</c:v>
                </c:pt>
                <c:pt idx="297">
                  <c:v>0.0551892758619524</c:v>
                </c:pt>
                <c:pt idx="298">
                  <c:v>0.0544343044628174</c:v>
                </c:pt>
                <c:pt idx="299">
                  <c:v>0.0536896608276295</c:v>
                </c:pt>
                <c:pt idx="300">
                  <c:v>0.0529552036759265</c:v>
                </c:pt>
                <c:pt idx="301">
                  <c:v>0.0522307936599173</c:v>
                </c:pt>
                <c:pt idx="302">
                  <c:v>0.0515162933380433</c:v>
                </c:pt>
                <c:pt idx="303">
                  <c:v>0.0508115671489018</c:v>
                </c:pt>
                <c:pt idx="304">
                  <c:v>0.0501164813855262</c:v>
                </c:pt>
                <c:pt idx="305">
                  <c:v>0.049430904170018</c:v>
                </c:pt>
                <c:pt idx="306">
                  <c:v>0.0487547054285253</c:v>
                </c:pt>
                <c:pt idx="307">
                  <c:v>0.0480877568665645</c:v>
                </c:pt>
                <c:pt idx="308">
                  <c:v>0.0474299319446788</c:v>
                </c:pt>
                <c:pt idx="309">
                  <c:v>0.0467811058544304</c:v>
                </c:pt>
                <c:pt idx="310">
                  <c:v>0.0461411554947202</c:v>
                </c:pt>
                <c:pt idx="311">
                  <c:v>0.0455099594484323</c:v>
                </c:pt>
                <c:pt idx="312">
                  <c:v>0.0448873979593977</c:v>
                </c:pt>
                <c:pt idx="313">
                  <c:v>0.0442733529096727</c:v>
                </c:pt>
                <c:pt idx="314">
                  <c:v>0.0436677077971291</c:v>
                </c:pt>
                <c:pt idx="315">
                  <c:v>0.0430703477133498</c:v>
                </c:pt>
                <c:pt idx="316">
                  <c:v>0.0424811593218276</c:v>
                </c:pt>
                <c:pt idx="317">
                  <c:v>0.041900030836462</c:v>
                </c:pt>
                <c:pt idx="318">
                  <c:v>0.0413268520003503</c:v>
                </c:pt>
                <c:pt idx="319">
                  <c:v>0.0407615140648682</c:v>
                </c:pt>
                <c:pt idx="320">
                  <c:v>0.0402039097690374</c:v>
                </c:pt>
                <c:pt idx="321">
                  <c:v>0.0396539333191751</c:v>
                </c:pt>
                <c:pt idx="322">
                  <c:v>0.0391114803688217</c:v>
                </c:pt>
                <c:pt idx="323">
                  <c:v>0.0385764479989433</c:v>
                </c:pt>
                <c:pt idx="324">
                  <c:v>0.0380487346984052</c:v>
                </c:pt>
                <c:pt idx="325">
                  <c:v>0.0375282403447118</c:v>
                </c:pt>
                <c:pt idx="326">
                  <c:v>0.0370148661850111</c:v>
                </c:pt>
                <c:pt idx="327">
                  <c:v>0.0365085148173578</c:v>
                </c:pt>
                <c:pt idx="328">
                  <c:v>0.0360090901722339</c:v>
                </c:pt>
                <c:pt idx="329">
                  <c:v>0.0355164974943211</c:v>
                </c:pt>
                <c:pt idx="330">
                  <c:v>0.0350306433245231</c:v>
                </c:pt>
                <c:pt idx="331">
                  <c:v>0.0345514354822337</c:v>
                </c:pt>
                <c:pt idx="332">
                  <c:v>0.0340787830478479</c:v>
                </c:pt>
                <c:pt idx="333">
                  <c:v>0.0336125963455109</c:v>
                </c:pt>
                <c:pt idx="334">
                  <c:v>0.0331527869261047</c:v>
                </c:pt>
                <c:pt idx="335">
                  <c:v>0.0326992675504667</c:v>
                </c:pt>
                <c:pt idx="336">
                  <c:v>0.0322519521728376</c:v>
                </c:pt>
                <c:pt idx="337">
                  <c:v>0.0318107559245362</c:v>
                </c:pt>
                <c:pt idx="338">
                  <c:v>0.0313755950978575</c:v>
                </c:pt>
                <c:pt idx="339">
                  <c:v>0.0309463871301905</c:v>
                </c:pt>
                <c:pt idx="340">
                  <c:v>0.0305230505883541</c:v>
                </c:pt>
                <c:pt idx="341">
                  <c:v>0.0301055051531467</c:v>
                </c:pt>
                <c:pt idx="342">
                  <c:v>0.0296936716041074</c:v>
                </c:pt>
                <c:pt idx="343">
                  <c:v>0.0292874718044854</c:v>
                </c:pt>
                <c:pt idx="344">
                  <c:v>0.0288868286864154</c:v>
                </c:pt>
                <c:pt idx="345">
                  <c:v>0.0284916662362954</c:v>
                </c:pt>
                <c:pt idx="346">
                  <c:v>0.028101909480365</c:v>
                </c:pt>
                <c:pt idx="347">
                  <c:v>0.0277174844704803</c:v>
                </c:pt>
                <c:pt idx="348">
                  <c:v>0.0273383182700844</c:v>
                </c:pt>
                <c:pt idx="349">
                  <c:v>0.0269643389403684</c:v>
                </c:pt>
                <c:pt idx="350">
                  <c:v>0.0265954755266233</c:v>
                </c:pt>
                <c:pt idx="351">
                  <c:v>0.0262316580447774</c:v>
                </c:pt>
                <c:pt idx="352">
                  <c:v>0.0258728174681183</c:v>
                </c:pt>
                <c:pt idx="353">
                  <c:v>0.025518885714197</c:v>
                </c:pt>
                <c:pt idx="354">
                  <c:v>0.0251697956319099</c:v>
                </c:pt>
                <c:pt idx="355">
                  <c:v>0.024825480988759</c:v>
                </c:pt>
                <c:pt idx="356">
                  <c:v>0.0244858764582853</c:v>
                </c:pt>
                <c:pt idx="357">
                  <c:v>0.0241509176076746</c:v>
                </c:pt>
                <c:pt idx="358">
                  <c:v>0.0238205408855326</c:v>
                </c:pt>
                <c:pt idx="359">
                  <c:v>0.0234946836098277</c:v>
                </c:pt>
                <c:pt idx="360">
                  <c:v>0.0231732839559979</c:v>
                </c:pt>
                <c:pt idx="361">
                  <c:v>0.0228562809452214</c:v>
                </c:pt>
                <c:pt idx="362">
                  <c:v>0.0225436144328468</c:v>
                </c:pt>
                <c:pt idx="363">
                  <c:v>0.022235225096982</c:v>
                </c:pt>
                <c:pt idx="364">
                  <c:v>0.0219310544272392</c:v>
                </c:pt>
                <c:pt idx="365">
                  <c:v>0.0216310447136337</c:v>
                </c:pt>
                <c:pt idx="366">
                  <c:v>0.0213351390356348</c:v>
                </c:pt>
                <c:pt idx="367">
                  <c:v>0.0210432812513659</c:v>
                </c:pt>
                <c:pt idx="368">
                  <c:v>0.0207554159869534</c:v>
                </c:pt>
                <c:pt idx="369">
                  <c:v>0.0204714886260202</c:v>
                </c:pt>
                <c:pt idx="370">
                  <c:v>0.0201914452993235</c:v>
                </c:pt>
                <c:pt idx="371">
                  <c:v>0.0199152328745343</c:v>
                </c:pt>
                <c:pt idx="372">
                  <c:v>0.0196427989461567</c:v>
                </c:pt>
                <c:pt idx="373">
                  <c:v>0.0193740918255849</c:v>
                </c:pt>
                <c:pt idx="374">
                  <c:v>0.0191090605312965</c:v>
                </c:pt>
                <c:pt idx="375">
                  <c:v>0.0188476547791799</c:v>
                </c:pt>
                <c:pt idx="376">
                  <c:v>0.0185898249729935</c:v>
                </c:pt>
                <c:pt idx="377">
                  <c:v>0.0183355221949567</c:v>
                </c:pt>
                <c:pt idx="378">
                  <c:v>0.0180846981964679</c:v>
                </c:pt>
                <c:pt idx="379">
                  <c:v>0.0178373053889508</c:v>
                </c:pt>
                <c:pt idx="380">
                  <c:v>0.0175932968348256</c:v>
                </c:pt>
                <c:pt idx="381">
                  <c:v>0.017352626238603</c:v>
                </c:pt>
                <c:pt idx="382">
                  <c:v>0.0171152479381014</c:v>
                </c:pt>
                <c:pt idx="383">
                  <c:v>0.0168811168957828</c:v>
                </c:pt>
                <c:pt idx="384">
                  <c:v>0.016650188690208</c:v>
                </c:pt>
                <c:pt idx="385">
                  <c:v>0.016422419507609</c:v>
                </c:pt>
                <c:pt idx="386">
                  <c:v>0.0161977661335757</c:v>
                </c:pt>
                <c:pt idx="387">
                  <c:v>0.0159761859448572</c:v>
                </c:pt>
                <c:pt idx="388">
                  <c:v>0.0157576369012749</c:v>
                </c:pt>
                <c:pt idx="389">
                  <c:v>0.0155420775377461</c:v>
                </c:pt>
                <c:pt idx="390">
                  <c:v>0.0153294669564171</c:v>
                </c:pt>
                <c:pt idx="391">
                  <c:v>0.0151197648189035</c:v>
                </c:pt>
                <c:pt idx="392">
                  <c:v>0.0149129313386369</c:v>
                </c:pt>
                <c:pt idx="393">
                  <c:v>0.0147089272733164</c:v>
                </c:pt>
                <c:pt idx="394">
                  <c:v>0.0145077139174629</c:v>
                </c:pt>
                <c:pt idx="395">
                  <c:v>0.0143092530950757</c:v>
                </c:pt>
                <c:pt idx="396">
                  <c:v>0.0141135071523895</c:v>
                </c:pt>
                <c:pt idx="397">
                  <c:v>0.0139204389507302</c:v>
                </c:pt>
                <c:pt idx="398">
                  <c:v>0.013730011859469</c:v>
                </c:pt>
                <c:pt idx="399">
                  <c:v>0.0135421897490718</c:v>
                </c:pt>
                <c:pt idx="400">
                  <c:v>0.0133569369842452</c:v>
                </c:pt>
                <c:pt idx="401">
                  <c:v>0.0131742184171747</c:v>
                </c:pt>
                <c:pt idx="402">
                  <c:v>0.0129939993808568</c:v>
                </c:pt>
                <c:pt idx="403">
                  <c:v>0.0128162456825212</c:v>
                </c:pt>
                <c:pt idx="404">
                  <c:v>0.0126409235971437</c:v>
                </c:pt>
                <c:pt idx="405">
                  <c:v>0.0124679998610475</c:v>
                </c:pt>
                <c:pt idx="406">
                  <c:v>0.012297441665592</c:v>
                </c:pt>
                <c:pt idx="407">
                  <c:v>0.0121292166509482</c:v>
                </c:pt>
                <c:pt idx="408">
                  <c:v>0.0119632928999593</c:v>
                </c:pt>
                <c:pt idx="409">
                  <c:v>0.0117996389320845</c:v>
                </c:pt>
                <c:pt idx="410">
                  <c:v>0.0116382236974269</c:v>
                </c:pt>
                <c:pt idx="411">
                  <c:v>0.0114790165708418</c:v>
                </c:pt>
                <c:pt idx="412">
                  <c:v>0.0113219873461268</c:v>
                </c:pt>
                <c:pt idx="413">
                  <c:v>0.0111671062302906</c:v>
                </c:pt>
                <c:pt idx="414">
                  <c:v>0.0110143438379001</c:v>
                </c:pt>
                <c:pt idx="415">
                  <c:v>0.0108636711855055</c:v>
                </c:pt>
                <c:pt idx="416">
                  <c:v>0.0107150596861414</c:v>
                </c:pt>
                <c:pt idx="417">
                  <c:v>0.0105684811439026</c:v>
                </c:pt>
                <c:pt idx="418">
                  <c:v>0.0104239077485948</c:v>
                </c:pt>
                <c:pt idx="419">
                  <c:v>0.010281312070458</c:v>
                </c:pt>
                <c:pt idx="420">
                  <c:v>0.0101406670549627</c:v>
                </c:pt>
                <c:pt idx="421">
                  <c:v>0.0100019460176765</c:v>
                </c:pt>
                <c:pt idx="422">
                  <c:v>0.00986512263920119</c:v>
                </c:pt>
                <c:pt idx="423">
                  <c:v>0.00973017096017959</c:v>
                </c:pt>
                <c:pt idx="424">
                  <c:v>0.00959706537637008</c:v>
                </c:pt>
                <c:pt idx="425">
                  <c:v>0.00946578063378872</c:v>
                </c:pt>
                <c:pt idx="426">
                  <c:v>0.0093362918239179</c:v>
                </c:pt>
                <c:pt idx="427">
                  <c:v>0.00920857437898046</c:v>
                </c:pt>
                <c:pt idx="428">
                  <c:v>0.00908260406727846</c:v>
                </c:pt>
                <c:pt idx="429">
                  <c:v>0.00895835698859574</c:v>
                </c:pt>
                <c:pt idx="430">
                  <c:v>0.00883580956966334</c:v>
                </c:pt>
                <c:pt idx="431">
                  <c:v>0.00871493855968696</c:v>
                </c:pt>
                <c:pt idx="432">
                  <c:v>0.00859572102593564</c:v>
                </c:pt>
                <c:pt idx="433">
                  <c:v>0.00847813434939078</c:v>
                </c:pt>
                <c:pt idx="434">
                  <c:v>0.00836215622045456</c:v>
                </c:pt>
                <c:pt idx="435">
                  <c:v>0.00824776463471726</c:v>
                </c:pt>
                <c:pt idx="436">
                  <c:v>0.00813493788878233</c:v>
                </c:pt>
                <c:pt idx="437">
                  <c:v>0.00802365457614869</c:v>
                </c:pt>
                <c:pt idx="438">
                  <c:v>0.0079138935831492</c:v>
                </c:pt>
                <c:pt idx="439">
                  <c:v>0.00780563408494486</c:v>
                </c:pt>
                <c:pt idx="440">
                  <c:v>0.00769885554157372</c:v>
                </c:pt>
                <c:pt idx="441">
                  <c:v>0.00759353769405387</c:v>
                </c:pt>
                <c:pt idx="442">
                  <c:v>0.00748966056053967</c:v>
                </c:pt>
                <c:pt idx="443">
                  <c:v>0.00738720443253066</c:v>
                </c:pt>
                <c:pt idx="444">
                  <c:v>0.00728614987113227</c:v>
                </c:pt>
                <c:pt idx="445">
                  <c:v>0.00718647770336773</c:v>
                </c:pt>
                <c:pt idx="446">
                  <c:v>0.00708816901854035</c:v>
                </c:pt>
                <c:pt idx="447">
                  <c:v>0.00699120516464565</c:v>
                </c:pt>
                <c:pt idx="448">
                  <c:v>0.00689556774483251</c:v>
                </c:pt>
                <c:pt idx="449">
                  <c:v>0.0068012386139128</c:v>
                </c:pt>
                <c:pt idx="450">
                  <c:v>0.00670819987491864</c:v>
                </c:pt>
                <c:pt idx="451">
                  <c:v>0.0066164338757069</c:v>
                </c:pt>
                <c:pt idx="452">
                  <c:v>0.00652592320561003</c:v>
                </c:pt>
                <c:pt idx="453">
                  <c:v>0.00643665069213275</c:v>
                </c:pt>
                <c:pt idx="454">
                  <c:v>0.00634859939769399</c:v>
                </c:pt>
                <c:pt idx="455">
                  <c:v>0.00626175261641326</c:v>
                </c:pt>
                <c:pt idx="456">
                  <c:v>0.00617609387094112</c:v>
                </c:pt>
                <c:pt idx="457">
                  <c:v>0.00609160690933291</c:v>
                </c:pt>
                <c:pt idx="458">
                  <c:v>0.00600827570196532</c:v>
                </c:pt>
                <c:pt idx="459">
                  <c:v>0.00592608443849508</c:v>
                </c:pt>
                <c:pt idx="460">
                  <c:v>0.00584501752485929</c:v>
                </c:pt>
                <c:pt idx="461">
                  <c:v>0.00576505958031677</c:v>
                </c:pt>
                <c:pt idx="462">
                  <c:v>0.00568619543452991</c:v>
                </c:pt>
                <c:pt idx="463">
                  <c:v>0.00560841012468638</c:v>
                </c:pt>
                <c:pt idx="464">
                  <c:v>0.00553168889266028</c:v>
                </c:pt>
                <c:pt idx="465">
                  <c:v>0.00545601718221207</c:v>
                </c:pt>
                <c:pt idx="466">
                  <c:v>0.0053813806362269</c:v>
                </c:pt>
                <c:pt idx="467">
                  <c:v>0.00530776509399053</c:v>
                </c:pt>
                <c:pt idx="468">
                  <c:v>0.00523515658850274</c:v>
                </c:pt>
                <c:pt idx="469">
                  <c:v>0.00516354134382732</c:v>
                </c:pt>
                <c:pt idx="470">
                  <c:v>0.00509290577247842</c:v>
                </c:pt>
                <c:pt idx="471">
                  <c:v>0.00502323647284259</c:v>
                </c:pt>
                <c:pt idx="472">
                  <c:v>0.0049545202266361</c:v>
                </c:pt>
                <c:pt idx="473">
                  <c:v>0.00488674399639705</c:v>
                </c:pt>
                <c:pt idx="474">
                  <c:v>0.0048198949230118</c:v>
                </c:pt>
                <c:pt idx="475">
                  <c:v>0.00475396032327521</c:v>
                </c:pt>
                <c:pt idx="476">
                  <c:v>0.00468892768748429</c:v>
                </c:pt>
                <c:pt idx="477">
                  <c:v>0.0046247846770647</c:v>
                </c:pt>
                <c:pt idx="478">
                  <c:v>0.00456151912222982</c:v>
                </c:pt>
                <c:pt idx="479">
                  <c:v>0.00449911901967175</c:v>
                </c:pt>
                <c:pt idx="480">
                  <c:v>0.00443757253028398</c:v>
                </c:pt>
                <c:pt idx="481">
                  <c:v>0.00437686797691511</c:v>
                </c:pt>
                <c:pt idx="482">
                  <c:v>0.00431699384215338</c:v>
                </c:pt>
                <c:pt idx="483">
                  <c:v>0.0042579387661415</c:v>
                </c:pt>
                <c:pt idx="484">
                  <c:v>0.00419969154442137</c:v>
                </c:pt>
                <c:pt idx="485">
                  <c:v>0.00414224112580819</c:v>
                </c:pt>
                <c:pt idx="486">
                  <c:v>0.00408557661029383</c:v>
                </c:pt>
                <c:pt idx="487">
                  <c:v>0.00402968724697871</c:v>
                </c:pt>
                <c:pt idx="488">
                  <c:v>0.00397456243203209</c:v>
                </c:pt>
                <c:pt idx="489">
                  <c:v>0.00392019170668019</c:v>
                </c:pt>
                <c:pt idx="490">
                  <c:v>0.00386656475522185</c:v>
                </c:pt>
                <c:pt idx="491">
                  <c:v>0.00381367140307138</c:v>
                </c:pt>
                <c:pt idx="492">
                  <c:v>0.0037615016148281</c:v>
                </c:pt>
                <c:pt idx="493">
                  <c:v>0.00371004549237237</c:v>
                </c:pt>
                <c:pt idx="494">
                  <c:v>0.00365929327298763</c:v>
                </c:pt>
                <c:pt idx="495">
                  <c:v>0.00360923532750809</c:v>
                </c:pt>
                <c:pt idx="496">
                  <c:v>0.00355986215849185</c:v>
                </c:pt>
                <c:pt idx="497">
                  <c:v>0.00351116439841892</c:v>
                </c:pt>
                <c:pt idx="498">
                  <c:v>0.00346313280791394</c:v>
                </c:pt>
                <c:pt idx="499">
                  <c:v>0.00341575827399324</c:v>
                </c:pt>
                <c:pt idx="500">
                  <c:v>0.00336903180833578</c:v>
                </c:pt>
                <c:pt idx="501">
                  <c:v>0.00332294454557785</c:v>
                </c:pt>
                <c:pt idx="502">
                  <c:v>0.00327748774163104</c:v>
                </c:pt>
                <c:pt idx="503">
                  <c:v>0.00323265277202324</c:v>
                </c:pt>
                <c:pt idx="504">
                  <c:v>0.00318843113026232</c:v>
                </c:pt>
                <c:pt idx="505">
                  <c:v>0.0031448144262222</c:v>
                </c:pt>
                <c:pt idx="506">
                  <c:v>0.00310179438455099</c:v>
                </c:pt>
                <c:pt idx="507">
                  <c:v>0.00305936284310096</c:v>
                </c:pt>
                <c:pt idx="508">
                  <c:v>0.00301751175137989</c:v>
                </c:pt>
                <c:pt idx="509">
                  <c:v>0.00297623316902371</c:v>
                </c:pt>
                <c:pt idx="510">
                  <c:v>0.00293551926428993</c:v>
                </c:pt>
                <c:pt idx="511">
                  <c:v>0.00289536231257177</c:v>
                </c:pt>
                <c:pt idx="512">
                  <c:v>0.00285575469493256</c:v>
                </c:pt>
                <c:pt idx="513">
                  <c:v>0.00281668889666022</c:v>
                </c:pt>
                <c:pt idx="514">
                  <c:v>0.00277815750584149</c:v>
                </c:pt>
                <c:pt idx="515">
                  <c:v>0.00274015321195568</c:v>
                </c:pt>
                <c:pt idx="516">
                  <c:v>0.00270266880448766</c:v>
                </c:pt>
                <c:pt idx="517">
                  <c:v>0.0026656971715598</c:v>
                </c:pt>
                <c:pt idx="518">
                  <c:v>0.00262923129858265</c:v>
                </c:pt>
                <c:pt idx="519">
                  <c:v>0.00259326426692408</c:v>
                </c:pt>
                <c:pt idx="520">
                  <c:v>0.00255778925259659</c:v>
                </c:pt>
                <c:pt idx="521">
                  <c:v>0.00252279952496263</c:v>
                </c:pt>
                <c:pt idx="522">
                  <c:v>0.00248828844545758</c:v>
                </c:pt>
                <c:pt idx="523">
                  <c:v>0.00245424946633022</c:v>
                </c:pt>
                <c:pt idx="524">
                  <c:v>0.00242067612940049</c:v>
                </c:pt>
                <c:pt idx="525">
                  <c:v>0.00238756206483407</c:v>
                </c:pt>
                <c:pt idx="526">
                  <c:v>0.00235490098993398</c:v>
                </c:pt>
                <c:pt idx="527">
                  <c:v>0.00232268670794843</c:v>
                </c:pt>
                <c:pt idx="528">
                  <c:v>0.00229091310689524</c:v>
                </c:pt>
                <c:pt idx="529">
                  <c:v>0.00225957415840214</c:v>
                </c:pt>
                <c:pt idx="530">
                  <c:v>0.00222866391656303</c:v>
                </c:pt>
                <c:pt idx="531">
                  <c:v>0.0021981765168099</c:v>
                </c:pt>
                <c:pt idx="532">
                  <c:v>0.0021681061748001</c:v>
                </c:pt>
                <c:pt idx="533">
                  <c:v>0.00213844718531895</c:v>
                </c:pt>
                <c:pt idx="534">
                  <c:v>0.00210919392119723</c:v>
                </c:pt>
                <c:pt idx="535">
                  <c:v>0.00208034083224356</c:v>
                </c:pt>
                <c:pt idx="536">
                  <c:v>0.00205188244419141</c:v>
                </c:pt>
                <c:pt idx="537">
                  <c:v>0.00202381335766042</c:v>
                </c:pt>
                <c:pt idx="538">
                  <c:v>0.00199612824713201</c:v>
                </c:pt>
                <c:pt idx="539">
                  <c:v>0.00196882185993897</c:v>
                </c:pt>
                <c:pt idx="540">
                  <c:v>0.00194188901526886</c:v>
                </c:pt>
                <c:pt idx="541">
                  <c:v>0.00191532460318109</c:v>
                </c:pt>
                <c:pt idx="542">
                  <c:v>0.0018891235836374</c:v>
                </c:pt>
                <c:pt idx="543">
                  <c:v>0.0018632809855456</c:v>
                </c:pt>
                <c:pt idx="544">
                  <c:v>0.00183779190581646</c:v>
                </c:pt>
                <c:pt idx="545">
                  <c:v>0.00181265150843339</c:v>
                </c:pt>
                <c:pt idx="546">
                  <c:v>0.00178785502353496</c:v>
                </c:pt>
                <c:pt idx="547">
                  <c:v>0.00176339774650989</c:v>
                </c:pt>
                <c:pt idx="548">
                  <c:v>0.00173927503710446</c:v>
                </c:pt>
                <c:pt idx="549">
                  <c:v>0.00171548231854211</c:v>
                </c:pt>
                <c:pt idx="550">
                  <c:v>0.00169201507665511</c:v>
                </c:pt>
                <c:pt idx="551">
                  <c:v>0.00166886885902806</c:v>
                </c:pt>
                <c:pt idx="552">
                  <c:v>0.00164603927415319</c:v>
                </c:pt>
                <c:pt idx="553">
                  <c:v>0.0016235219905971</c:v>
                </c:pt>
                <c:pt idx="554">
                  <c:v>0.00160131273617902</c:v>
                </c:pt>
                <c:pt idx="555">
                  <c:v>0.00157940729716022</c:v>
                </c:pt>
                <c:pt idx="556">
                  <c:v>0.00155780151744455</c:v>
                </c:pt>
                <c:pt idx="557">
                  <c:v>0.00153649129778989</c:v>
                </c:pt>
                <c:pt idx="558">
                  <c:v>0.00151547259503044</c:v>
                </c:pt>
                <c:pt idx="559">
                  <c:v>0.00149474142130962</c:v>
                </c:pt>
                <c:pt idx="560">
                  <c:v>0.00147429384332338</c:v>
                </c:pt>
                <c:pt idx="561">
                  <c:v>0.00145412598157404</c:v>
                </c:pt>
                <c:pt idx="562">
                  <c:v>0.00143423400963417</c:v>
                </c:pt>
                <c:pt idx="563">
                  <c:v>0.00141461415342064</c:v>
                </c:pt>
                <c:pt idx="564">
                  <c:v>0.00139526269047854</c:v>
                </c:pt>
                <c:pt idx="565">
                  <c:v>0.00137617594927493</c:v>
                </c:pt>
                <c:pt idx="566">
                  <c:v>0.00135735030850228</c:v>
                </c:pt>
                <c:pt idx="567">
                  <c:v>0.00133878219639134</c:v>
                </c:pt>
                <c:pt idx="568">
                  <c:v>0.00132046809003352</c:v>
                </c:pt>
                <c:pt idx="569">
                  <c:v>0.00130240451471249</c:v>
                </c:pt>
                <c:pt idx="570">
                  <c:v>0.00128458804324488</c:v>
                </c:pt>
                <c:pt idx="571">
                  <c:v>0.00126701529533011</c:v>
                </c:pt>
                <c:pt idx="572">
                  <c:v>0.00124968293690901</c:v>
                </c:pt>
                <c:pt idx="573">
                  <c:v>0.00123258767953123</c:v>
                </c:pt>
                <c:pt idx="574">
                  <c:v>0.00121572627973138</c:v>
                </c:pt>
                <c:pt idx="575">
                  <c:v>0.00119909553841363</c:v>
                </c:pt>
                <c:pt idx="576">
                  <c:v>0.00118269230024474</c:v>
                </c:pt>
                <c:pt idx="577">
                  <c:v>0.00116651345305538</c:v>
                </c:pt>
                <c:pt idx="578">
                  <c:v>0.00115055592724971</c:v>
                </c:pt>
                <c:pt idx="579">
                  <c:v>0.00113481669522298</c:v>
                </c:pt>
                <c:pt idx="580">
                  <c:v>0.00111929277078705</c:v>
                </c:pt>
                <c:pt idx="581">
                  <c:v>0.00110398120860391</c:v>
                </c:pt>
                <c:pt idx="582">
                  <c:v>0.00108887910362679</c:v>
                </c:pt>
                <c:pt idx="583">
                  <c:v>0.00107398359054903</c:v>
                </c:pt>
                <c:pt idx="584">
                  <c:v>0.00105929184326042</c:v>
                </c:pt>
                <c:pt idx="585">
                  <c:v>0.00104480107431105</c:v>
                </c:pt>
                <c:pt idx="586">
                  <c:v>0.0010305085343824</c:v>
                </c:pt>
                <c:pt idx="587">
                  <c:v>0.00101641151176574</c:v>
                </c:pt>
                <c:pt idx="588">
                  <c:v>0.00100250733184763</c:v>
                </c:pt>
                <c:pt idx="589">
                  <c:v>0.000988793356602488</c:v>
                </c:pt>
                <c:pt idx="590">
                  <c:v>0.000975266984092058</c:v>
                </c:pt>
                <c:pt idx="591">
                  <c:v>0.00096192564797176</c:v>
                </c:pt>
                <c:pt idx="592">
                  <c:v>0.000948766817003772</c:v>
                </c:pt>
                <c:pt idx="593">
                  <c:v>0.000935787994576787</c:v>
                </c:pt>
                <c:pt idx="594">
                  <c:v>0.000922986718232328</c:v>
                </c:pt>
                <c:pt idx="595">
                  <c:v>0.000910360559197557</c:v>
                </c:pt>
                <c:pt idx="596">
                  <c:v>0.000897907121924456</c:v>
                </c:pt>
                <c:pt idx="597">
                  <c:v>0.000885624043635329</c:v>
                </c:pt>
                <c:pt idx="598">
                  <c:v>0.000873508993874513</c:v>
                </c:pt>
                <c:pt idx="599">
                  <c:v>0.000861559674066222</c:v>
                </c:pt>
                <c:pt idx="600">
                  <c:v>0.000849773817078442</c:v>
                </c:pt>
              </c:numCache>
            </c:numRef>
          </c:yVal>
          <c:smooth val="1"/>
        </c:ser>
        <c:axId val="80141560"/>
        <c:axId val="45658018"/>
      </c:scatterChart>
      <c:valAx>
        <c:axId val="80141560"/>
        <c:scaling>
          <c:orientation val="minMax"/>
        </c:scaling>
        <c:delete val="0"/>
        <c:axPos val="b"/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658018"/>
        <c:crosses val="autoZero"/>
        <c:crossBetween val="midCat"/>
      </c:valAx>
      <c:valAx>
        <c:axId val="456580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14156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247680</xdr:colOff>
      <xdr:row>5</xdr:row>
      <xdr:rowOff>57240</xdr:rowOff>
    </xdr:from>
    <xdr:to>
      <xdr:col>34</xdr:col>
      <xdr:colOff>138960</xdr:colOff>
      <xdr:row>21</xdr:row>
      <xdr:rowOff>36360</xdr:rowOff>
    </xdr:to>
    <xdr:graphicFrame>
      <xdr:nvGraphicFramePr>
        <xdr:cNvPr id="0" name="Chart 2"/>
        <xdr:cNvGraphicFramePr/>
      </xdr:nvGraphicFramePr>
      <xdr:xfrm>
        <a:off x="11946240" y="1057320"/>
        <a:ext cx="4783320" cy="352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247680</xdr:colOff>
      <xdr:row>21</xdr:row>
      <xdr:rowOff>28440</xdr:rowOff>
    </xdr:from>
    <xdr:to>
      <xdr:col>34</xdr:col>
      <xdr:colOff>138960</xdr:colOff>
      <xdr:row>38</xdr:row>
      <xdr:rowOff>97200</xdr:rowOff>
    </xdr:to>
    <xdr:graphicFrame>
      <xdr:nvGraphicFramePr>
        <xdr:cNvPr id="1" name="Chart 3"/>
        <xdr:cNvGraphicFramePr/>
      </xdr:nvGraphicFramePr>
      <xdr:xfrm>
        <a:off x="11946240" y="4569840"/>
        <a:ext cx="4783320" cy="343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38160</xdr:colOff>
      <xdr:row>18</xdr:row>
      <xdr:rowOff>47520</xdr:rowOff>
    </xdr:from>
    <xdr:to>
      <xdr:col>14</xdr:col>
      <xdr:colOff>138960</xdr:colOff>
      <xdr:row>19</xdr:row>
      <xdr:rowOff>91080</xdr:rowOff>
    </xdr:to>
    <xdr:pic>
      <xdr:nvPicPr>
        <xdr:cNvPr id="2" name="Picture 1" descr=" V(t) = V_0(1-e^{-t/ \tau}) "/>
        <xdr:cNvPicPr/>
      </xdr:nvPicPr>
      <xdr:blipFill>
        <a:blip r:embed="rId1"/>
        <a:stretch/>
      </xdr:blipFill>
      <xdr:spPr>
        <a:xfrm>
          <a:off x="3863520" y="2981160"/>
          <a:ext cx="1679400" cy="23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19080</xdr:colOff>
      <xdr:row>1</xdr:row>
      <xdr:rowOff>0</xdr:rowOff>
    </xdr:from>
    <xdr:to>
      <xdr:col>24</xdr:col>
      <xdr:colOff>607320</xdr:colOff>
      <xdr:row>23</xdr:row>
      <xdr:rowOff>119880</xdr:rowOff>
    </xdr:to>
    <xdr:graphicFrame>
      <xdr:nvGraphicFramePr>
        <xdr:cNvPr id="3" name="Chart 2"/>
        <xdr:cNvGraphicFramePr/>
      </xdr:nvGraphicFramePr>
      <xdr:xfrm>
        <a:off x="5704920" y="190440"/>
        <a:ext cx="5480280" cy="381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19080</xdr:colOff>
      <xdr:row>0</xdr:row>
      <xdr:rowOff>0</xdr:rowOff>
    </xdr:from>
    <xdr:to>
      <xdr:col>15</xdr:col>
      <xdr:colOff>510120</xdr:colOff>
      <xdr:row>11</xdr:row>
      <xdr:rowOff>138600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4928760" y="0"/>
          <a:ext cx="2325600" cy="253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0</xdr:row>
      <xdr:rowOff>76320</xdr:rowOff>
    </xdr:from>
    <xdr:to>
      <xdr:col>20</xdr:col>
      <xdr:colOff>329040</xdr:colOff>
      <xdr:row>10</xdr:row>
      <xdr:rowOff>43560</xdr:rowOff>
    </xdr:to>
    <xdr:pic>
      <xdr:nvPicPr>
        <xdr:cNvPr id="5" name="Picture 2" descr=""/>
        <xdr:cNvPicPr/>
      </xdr:nvPicPr>
      <xdr:blipFill>
        <a:blip r:embed="rId2"/>
        <a:stretch/>
      </xdr:blipFill>
      <xdr:spPr>
        <a:xfrm>
          <a:off x="7355880" y="76320"/>
          <a:ext cx="2774880" cy="213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12</xdr:row>
      <xdr:rowOff>66600</xdr:rowOff>
    </xdr:from>
    <xdr:to>
      <xdr:col>15</xdr:col>
      <xdr:colOff>510120</xdr:colOff>
      <xdr:row>24</xdr:row>
      <xdr:rowOff>24120</xdr:rowOff>
    </xdr:to>
    <xdr:pic>
      <xdr:nvPicPr>
        <xdr:cNvPr id="6" name="Picture 3" descr=""/>
        <xdr:cNvPicPr/>
      </xdr:nvPicPr>
      <xdr:blipFill>
        <a:blip r:embed="rId3"/>
        <a:stretch/>
      </xdr:blipFill>
      <xdr:spPr>
        <a:xfrm>
          <a:off x="4835160" y="2695680"/>
          <a:ext cx="2419200" cy="243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95400</xdr:colOff>
      <xdr:row>13</xdr:row>
      <xdr:rowOff>0</xdr:rowOff>
    </xdr:from>
    <xdr:to>
      <xdr:col>20</xdr:col>
      <xdr:colOff>319680</xdr:colOff>
      <xdr:row>20</xdr:row>
      <xdr:rowOff>43560</xdr:rowOff>
    </xdr:to>
    <xdr:pic>
      <xdr:nvPicPr>
        <xdr:cNvPr id="7" name="Picture 5" descr=""/>
        <xdr:cNvPicPr/>
      </xdr:nvPicPr>
      <xdr:blipFill>
        <a:blip r:embed="rId4"/>
        <a:stretch/>
      </xdr:blipFill>
      <xdr:spPr>
        <a:xfrm>
          <a:off x="7451280" y="2857680"/>
          <a:ext cx="2670120" cy="142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28</xdr:row>
      <xdr:rowOff>38160</xdr:rowOff>
    </xdr:from>
    <xdr:to>
      <xdr:col>6</xdr:col>
      <xdr:colOff>109800</xdr:colOff>
      <xdr:row>40</xdr:row>
      <xdr:rowOff>24480</xdr:rowOff>
    </xdr:to>
    <xdr:pic>
      <xdr:nvPicPr>
        <xdr:cNvPr id="8" name="Picture 6" descr=""/>
        <xdr:cNvPicPr/>
      </xdr:nvPicPr>
      <xdr:blipFill>
        <a:blip r:embed="rId5"/>
        <a:stretch/>
      </xdr:blipFill>
      <xdr:spPr>
        <a:xfrm>
          <a:off x="0" y="5838840"/>
          <a:ext cx="3035160" cy="227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152280</xdr:colOff>
      <xdr:row>28</xdr:row>
      <xdr:rowOff>38160</xdr:rowOff>
    </xdr:from>
    <xdr:to>
      <xdr:col>14</xdr:col>
      <xdr:colOff>52560</xdr:colOff>
      <xdr:row>32</xdr:row>
      <xdr:rowOff>158040</xdr:rowOff>
    </xdr:to>
    <xdr:pic>
      <xdr:nvPicPr>
        <xdr:cNvPr id="9" name="Picture 7" descr=""/>
        <xdr:cNvPicPr/>
      </xdr:nvPicPr>
      <xdr:blipFill>
        <a:blip r:embed="rId6"/>
        <a:stretch/>
      </xdr:blipFill>
      <xdr:spPr>
        <a:xfrm>
          <a:off x="3077640" y="5838840"/>
          <a:ext cx="3107880" cy="88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200160</xdr:colOff>
      <xdr:row>33</xdr:row>
      <xdr:rowOff>95400</xdr:rowOff>
    </xdr:from>
    <xdr:to>
      <xdr:col>14</xdr:col>
      <xdr:colOff>138600</xdr:colOff>
      <xdr:row>35</xdr:row>
      <xdr:rowOff>119880</xdr:rowOff>
    </xdr:to>
    <xdr:pic>
      <xdr:nvPicPr>
        <xdr:cNvPr id="10" name="Picture 8" descr=""/>
        <xdr:cNvPicPr/>
      </xdr:nvPicPr>
      <xdr:blipFill>
        <a:blip r:embed="rId7"/>
        <a:stretch/>
      </xdr:blipFill>
      <xdr:spPr>
        <a:xfrm>
          <a:off x="3125520" y="6848640"/>
          <a:ext cx="3146040" cy="40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0</xdr:colOff>
      <xdr:row>28</xdr:row>
      <xdr:rowOff>9360</xdr:rowOff>
    </xdr:from>
    <xdr:to>
      <xdr:col>19</xdr:col>
      <xdr:colOff>528840</xdr:colOff>
      <xdr:row>36</xdr:row>
      <xdr:rowOff>52920</xdr:rowOff>
    </xdr:to>
    <xdr:pic>
      <xdr:nvPicPr>
        <xdr:cNvPr id="11" name="Picture 9" descr=""/>
        <xdr:cNvPicPr/>
      </xdr:nvPicPr>
      <xdr:blipFill>
        <a:blip r:embed="rId8"/>
        <a:stretch/>
      </xdr:blipFill>
      <xdr:spPr>
        <a:xfrm>
          <a:off x="6132960" y="5810040"/>
          <a:ext cx="3586320" cy="1567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vishay.com/docs/73217/an608a.pdf" TargetMode="External"/><Relationship Id="rId2" Type="http://schemas.openxmlformats.org/officeDocument/2006/relationships/hyperlink" Target="http://www.microchip.com/wwwAppNotes/AppNotes.aspx?appnote=en012138" TargetMode="External"/><Relationship Id="rId3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ColWidth="7.89453125" defaultRowHeight="15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.04"/>
    <col collapsed="false" customWidth="true" hidden="false" outlineLevel="0" max="3" min="3" style="1" width="8.97"/>
    <col collapsed="false" customWidth="true" hidden="false" outlineLevel="0" max="6" min="4" style="1" width="1.04"/>
    <col collapsed="false" customWidth="true" hidden="false" outlineLevel="0" max="7" min="7" style="1" width="11.18"/>
    <col collapsed="false" customWidth="true" hidden="false" outlineLevel="0" max="8" min="8" style="1" width="1.58"/>
    <col collapsed="false" customWidth="true" hidden="false" outlineLevel="0" max="9" min="9" style="1" width="8.57"/>
    <col collapsed="false" customWidth="true" hidden="false" outlineLevel="0" max="10" min="10" style="1" width="11.18"/>
    <col collapsed="false" customWidth="true" hidden="false" outlineLevel="0" max="11" min="11" style="1" width="2.2"/>
    <col collapsed="false" customWidth="true" hidden="false" outlineLevel="0" max="12" min="12" style="1" width="1.56"/>
    <col collapsed="false" customWidth="true" hidden="false" outlineLevel="0" max="13" min="13" style="1" width="8.57"/>
    <col collapsed="false" customWidth="true" hidden="false" outlineLevel="0" max="14" min="14" style="1" width="11.18"/>
    <col collapsed="false" customWidth="true" hidden="false" outlineLevel="0" max="15" min="15" style="1" width="2.2"/>
    <col collapsed="false" customWidth="true" hidden="false" outlineLevel="0" max="16" min="16" style="1" width="1.56"/>
    <col collapsed="false" customWidth="true" hidden="false" outlineLevel="0" max="17" min="17" style="1" width="8.57"/>
    <col collapsed="false" customWidth="true" hidden="false" outlineLevel="0" max="18" min="18" style="1" width="11.18"/>
    <col collapsed="false" customWidth="true" hidden="false" outlineLevel="0" max="19" min="19" style="1" width="2.2"/>
    <col collapsed="false" customWidth="true" hidden="false" outlineLevel="0" max="22" min="22" style="1" width="4.15"/>
    <col collapsed="false" customWidth="true" hidden="false" outlineLevel="0" max="23" min="23" style="1" width="8.19"/>
    <col collapsed="false" customWidth="true" hidden="false" outlineLevel="0" max="24" min="24" style="1" width="8.45"/>
    <col collapsed="false" customWidth="true" hidden="false" outlineLevel="0" max="25" min="25" style="1" width="8.57"/>
  </cols>
  <sheetData>
    <row r="2" customFormat="false" ht="18.75" hidden="false" customHeight="true" outlineLevel="0" collapsed="false">
      <c r="B2" s="2"/>
      <c r="C2" s="2"/>
      <c r="D2" s="3"/>
      <c r="E2" s="4"/>
      <c r="F2" s="5"/>
      <c r="G2" s="2"/>
      <c r="H2" s="2"/>
      <c r="I2" s="2"/>
      <c r="J2" s="2"/>
      <c r="K2" s="2"/>
      <c r="L2" s="2"/>
      <c r="M2" s="6" t="s">
        <v>0</v>
      </c>
      <c r="N2" s="6"/>
      <c r="O2" s="6"/>
      <c r="P2" s="6"/>
      <c r="Q2" s="6"/>
      <c r="R2" s="6"/>
      <c r="S2" s="6"/>
      <c r="T2" s="6"/>
    </row>
    <row r="3" customFormat="false" ht="18.75" hidden="false" customHeight="true" outlineLevel="0" collapsed="false">
      <c r="C3" s="7" t="s">
        <v>1</v>
      </c>
      <c r="D3" s="8"/>
      <c r="E3" s="8"/>
      <c r="F3" s="9"/>
      <c r="G3" s="10" t="s">
        <v>2</v>
      </c>
      <c r="H3" s="11"/>
      <c r="T3" s="12"/>
    </row>
    <row r="4" customFormat="false" ht="18.75" hidden="false" customHeight="true" outlineLevel="0" collapsed="false">
      <c r="C4" s="7"/>
      <c r="D4" s="8"/>
      <c r="E4" s="8"/>
      <c r="F4" s="9"/>
      <c r="G4" s="13" t="str">
        <f aca="false">CONCATENATE(TEXT(VD_VIN-VD_VOUT,"0.###"),"V")</f>
        <v>2.789V</v>
      </c>
      <c r="H4" s="14"/>
      <c r="T4" s="12"/>
    </row>
    <row r="5" customFormat="false" ht="7.5" hidden="false" customHeight="true" outlineLevel="0" collapsed="false">
      <c r="C5" s="15" t="s">
        <v>3</v>
      </c>
      <c r="D5" s="9"/>
      <c r="E5" s="16"/>
      <c r="F5" s="17"/>
      <c r="G5" s="18"/>
      <c r="H5" s="5"/>
      <c r="I5" s="19" t="s">
        <v>4</v>
      </c>
      <c r="T5" s="12"/>
    </row>
    <row r="6" customFormat="false" ht="7.5" hidden="false" customHeight="true" outlineLevel="0" collapsed="false">
      <c r="C6" s="15"/>
      <c r="E6" s="4"/>
      <c r="F6" s="5"/>
      <c r="I6" s="19"/>
      <c r="T6" s="12"/>
    </row>
    <row r="7" customFormat="false" ht="18.75" hidden="false" customHeight="false" outlineLevel="0" collapsed="false">
      <c r="C7" s="7" t="s">
        <v>5</v>
      </c>
      <c r="D7" s="8"/>
      <c r="E7" s="8"/>
      <c r="F7" s="9"/>
      <c r="G7" s="10" t="s">
        <v>6</v>
      </c>
      <c r="H7" s="20"/>
    </row>
    <row r="8" customFormat="false" ht="13.8" hidden="false" customHeight="false" outlineLevel="0" collapsed="false">
      <c r="C8" s="7"/>
      <c r="D8" s="8"/>
      <c r="E8" s="8"/>
      <c r="F8" s="9"/>
      <c r="G8" s="13" t="str">
        <f aca="false">CONCATENATE(TEXT(VD_VOUT,"0.###"),"V")</f>
        <v>0.211V</v>
      </c>
      <c r="H8" s="21"/>
      <c r="I8" s="22" t="s">
        <v>7</v>
      </c>
      <c r="J8" s="23" t="n">
        <v>0.01</v>
      </c>
      <c r="K8" s="5"/>
      <c r="M8" s="24" t="s">
        <v>8</v>
      </c>
      <c r="N8" s="24"/>
      <c r="O8" s="24"/>
      <c r="P8" s="24"/>
      <c r="Q8" s="24"/>
      <c r="R8" s="24"/>
      <c r="S8" s="24"/>
      <c r="T8" s="24"/>
      <c r="W8" s="25" t="n">
        <v>100</v>
      </c>
      <c r="X8" s="25"/>
      <c r="Y8" s="25"/>
      <c r="Z8" s="25"/>
    </row>
    <row r="9" customFormat="false" ht="13.8" hidden="false" customHeight="false" outlineLevel="0" collapsed="false">
      <c r="B9" s="18"/>
      <c r="C9" s="18"/>
      <c r="D9" s="3"/>
      <c r="E9" s="26"/>
      <c r="F9" s="5"/>
      <c r="I9" s="22" t="s">
        <v>9</v>
      </c>
      <c r="J9" s="23" t="n">
        <v>0.01</v>
      </c>
      <c r="K9" s="5"/>
      <c r="W9" s="27" t="n">
        <v>0</v>
      </c>
      <c r="X9" s="28"/>
      <c r="Y9" s="27" t="n">
        <v>0</v>
      </c>
      <c r="Z9" s="28"/>
    </row>
    <row r="10" customFormat="false" ht="18.75" hidden="false" customHeight="true" outlineLevel="0" collapsed="false">
      <c r="C10" s="5"/>
      <c r="D10" s="5"/>
      <c r="E10" s="5"/>
      <c r="F10" s="5"/>
      <c r="I10" s="5"/>
      <c r="J10" s="29"/>
      <c r="K10" s="5"/>
      <c r="T10" s="12"/>
      <c r="W10" s="27" t="n">
        <f aca="false">VD_RA</f>
        <v>62000</v>
      </c>
      <c r="X10" s="30" t="s">
        <v>10</v>
      </c>
      <c r="Y10" s="27" t="n">
        <f aca="false">VD_RB</f>
        <v>4700</v>
      </c>
      <c r="Z10" s="30" t="s">
        <v>11</v>
      </c>
    </row>
    <row r="11" customFormat="false" ht="18.75" hidden="false" customHeight="true" outlineLevel="0" collapsed="false">
      <c r="B11" s="31"/>
      <c r="C11" s="5"/>
      <c r="D11" s="5"/>
      <c r="E11" s="5"/>
      <c r="F11" s="5"/>
      <c r="I11" s="32" t="s">
        <v>12</v>
      </c>
      <c r="J11" s="32"/>
      <c r="K11" s="32"/>
      <c r="M11" s="32" t="s">
        <v>13</v>
      </c>
      <c r="N11" s="32"/>
      <c r="O11" s="32"/>
      <c r="Q11" s="32" t="s">
        <v>14</v>
      </c>
      <c r="R11" s="32"/>
      <c r="S11" s="32"/>
      <c r="T11" s="12"/>
      <c r="V11" s="28" t="n">
        <v>0</v>
      </c>
      <c r="W11" s="28" t="n">
        <f aca="false">RAMIN+(RAMAX-RAMIN)*V11/RESTEPS</f>
        <v>0</v>
      </c>
      <c r="X11" s="28" t="n">
        <f aca="false">VD_RB/(W11+VD_RB)*VD_VIN</f>
        <v>3</v>
      </c>
      <c r="Y11" s="27" t="n">
        <f aca="false">RBMIN+(RBMAX-RBMIN)*V11/RESTEPS</f>
        <v>0</v>
      </c>
      <c r="Z11" s="28" t="n">
        <f aca="false">Y11/(VD_RA+Y11)*VD_VIN</f>
        <v>0</v>
      </c>
    </row>
    <row r="12" customFormat="false" ht="18.75" hidden="false" customHeight="true" outlineLevel="0" collapsed="false">
      <c r="B12" s="31"/>
      <c r="C12" s="5"/>
      <c r="I12" s="22" t="s">
        <v>1</v>
      </c>
      <c r="J12" s="33" t="n">
        <v>62000</v>
      </c>
      <c r="K12" s="34" t="s">
        <v>15</v>
      </c>
      <c r="M12" s="35" t="s">
        <v>16</v>
      </c>
      <c r="N12" s="36" t="n">
        <f aca="false">VD_RA*(1+VD_TOLA)</f>
        <v>62620</v>
      </c>
      <c r="O12" s="10" t="s">
        <v>15</v>
      </c>
      <c r="Q12" s="35" t="s">
        <v>16</v>
      </c>
      <c r="R12" s="36" t="n">
        <f aca="false">VD_RA*(1-VD_TOLA)</f>
        <v>61380</v>
      </c>
      <c r="S12" s="10" t="s">
        <v>15</v>
      </c>
      <c r="T12" s="12"/>
      <c r="V12" s="28" t="n">
        <v>1</v>
      </c>
      <c r="W12" s="28" t="n">
        <f aca="false">RAMIN+(RAMAX-RAMIN)*V12/RESTEPS</f>
        <v>620</v>
      </c>
      <c r="X12" s="28" t="n">
        <f aca="false">VD_RB/(W12+VD_RB)*VD_VIN</f>
        <v>2.65037593984962</v>
      </c>
      <c r="Y12" s="27" t="n">
        <f aca="false">RBMIN+(RBMAX-RBMIN)*V12/RESTEPS</f>
        <v>47</v>
      </c>
      <c r="Z12" s="28" t="n">
        <f aca="false">Y12/(VD_RA+Y12)*VD_VIN</f>
        <v>0.00227247086885748</v>
      </c>
    </row>
    <row r="13" customFormat="false" ht="18.75" hidden="false" customHeight="true" outlineLevel="0" collapsed="false">
      <c r="B13" s="31"/>
      <c r="C13" s="5"/>
      <c r="I13" s="22" t="s">
        <v>5</v>
      </c>
      <c r="J13" s="37" t="n">
        <v>4700</v>
      </c>
      <c r="K13" s="34" t="s">
        <v>15</v>
      </c>
      <c r="M13" s="35" t="s">
        <v>17</v>
      </c>
      <c r="N13" s="36" t="n">
        <f aca="false">VD_RB*(1-VD_TOLB)</f>
        <v>4653</v>
      </c>
      <c r="O13" s="10" t="s">
        <v>15</v>
      </c>
      <c r="Q13" s="35" t="s">
        <v>17</v>
      </c>
      <c r="R13" s="36" t="n">
        <f aca="false">VD_RB*(1+VD_TOLB)</f>
        <v>4747</v>
      </c>
      <c r="S13" s="10" t="s">
        <v>15</v>
      </c>
      <c r="T13" s="12"/>
      <c r="V13" s="28" t="n">
        <v>2</v>
      </c>
      <c r="W13" s="28" t="n">
        <f aca="false">RAMIN+(RAMAX-RAMIN)*V13/RESTEPS</f>
        <v>1240</v>
      </c>
      <c r="X13" s="28" t="n">
        <f aca="false">VD_RB/(W13+VD_RB)*VD_VIN</f>
        <v>2.37373737373737</v>
      </c>
      <c r="Y13" s="27" t="n">
        <f aca="false">RBMIN+(RBMAX-RBMIN)*V13/RESTEPS</f>
        <v>94</v>
      </c>
      <c r="Z13" s="28" t="n">
        <f aca="false">Y13/(VD_RA+Y13)*VD_VIN</f>
        <v>0.00454150159435694</v>
      </c>
    </row>
    <row r="14" customFormat="false" ht="18.75" hidden="false" customHeight="true" outlineLevel="0" collapsed="false">
      <c r="B14" s="31"/>
      <c r="C14" s="5"/>
      <c r="I14" s="22" t="s">
        <v>3</v>
      </c>
      <c r="J14" s="38" t="n">
        <f aca="false">VD_VAMP</f>
        <v>3</v>
      </c>
      <c r="K14" s="34" t="s">
        <v>18</v>
      </c>
      <c r="M14" s="35" t="s">
        <v>3</v>
      </c>
      <c r="N14" s="39" t="n">
        <f aca="false">VD_VAMP</f>
        <v>3</v>
      </c>
      <c r="O14" s="10" t="s">
        <v>18</v>
      </c>
      <c r="Q14" s="35" t="s">
        <v>3</v>
      </c>
      <c r="R14" s="39" t="n">
        <f aca="false">VD_VAMP</f>
        <v>3</v>
      </c>
      <c r="S14" s="10" t="s">
        <v>18</v>
      </c>
      <c r="T14" s="12"/>
      <c r="V14" s="28" t="n">
        <v>3</v>
      </c>
      <c r="W14" s="28" t="n">
        <f aca="false">RAMIN+(RAMAX-RAMIN)*V14/RESTEPS</f>
        <v>1860</v>
      </c>
      <c r="X14" s="28" t="n">
        <f aca="false">VD_RB/(W14+VD_RB)*VD_VIN</f>
        <v>2.14939024390244</v>
      </c>
      <c r="Y14" s="27" t="n">
        <f aca="false">RBMIN+(RBMAX-RBMIN)*V14/RESTEPS</f>
        <v>141</v>
      </c>
      <c r="Z14" s="28" t="n">
        <f aca="false">Y14/(VD_RA+Y14)*VD_VIN</f>
        <v>0.00680709998229832</v>
      </c>
    </row>
    <row r="15" customFormat="false" ht="18.75" hidden="false" customHeight="true" outlineLevel="0" collapsed="false">
      <c r="B15" s="31"/>
      <c r="C15" s="5"/>
      <c r="I15" s="35" t="s">
        <v>4</v>
      </c>
      <c r="J15" s="40" t="n">
        <f aca="false">VD_RB/(VD_RA+VD_RB)*VD_VIN</f>
        <v>0.211394302848576</v>
      </c>
      <c r="K15" s="10" t="s">
        <v>18</v>
      </c>
      <c r="M15" s="35" t="s">
        <v>4</v>
      </c>
      <c r="N15" s="36" t="n">
        <f aca="false">VD_RB_M_TOLB/(VD_RA_P_TOLA+VD_RB_M_TOLB)*VD_VIN_PAMB</f>
        <v>0.207497807441321</v>
      </c>
      <c r="O15" s="10" t="s">
        <v>18</v>
      </c>
      <c r="Q15" s="35" t="s">
        <v>4</v>
      </c>
      <c r="R15" s="36" t="n">
        <f aca="false">VD_RB_P_TOLB/(VD_RA_M_TOLA+VD_RB_P_TOLB)*VD_VIN_MAPB</f>
        <v>0.215358325646105</v>
      </c>
      <c r="S15" s="10" t="s">
        <v>18</v>
      </c>
      <c r="T15" s="12"/>
      <c r="V15" s="28" t="n">
        <v>4</v>
      </c>
      <c r="W15" s="28" t="n">
        <f aca="false">RAMIN+(RAMAX-RAMIN)*V15/RESTEPS</f>
        <v>2480</v>
      </c>
      <c r="X15" s="28" t="n">
        <f aca="false">VD_RB/(W15+VD_RB)*VD_VIN</f>
        <v>1.96378830083565</v>
      </c>
      <c r="Y15" s="27" t="n">
        <f aca="false">RBMIN+(RBMAX-RBMIN)*V15/RESTEPS</f>
        <v>188</v>
      </c>
      <c r="Z15" s="28" t="n">
        <f aca="false">Y15/(VD_RA+Y15)*VD_VIN</f>
        <v>0.0090692738148839</v>
      </c>
    </row>
    <row r="16" customFormat="false" ht="18.75" hidden="false" customHeight="true" outlineLevel="0" collapsed="false">
      <c r="B16" s="31"/>
      <c r="C16" s="5"/>
      <c r="I16" s="35" t="s">
        <v>19</v>
      </c>
      <c r="J16" s="36" t="n">
        <f aca="false">VD_VEFF/(VD_RA+VD_RB)</f>
        <v>4.49775112443778E-005</v>
      </c>
      <c r="K16" s="41" t="s">
        <v>20</v>
      </c>
      <c r="M16" s="35" t="s">
        <v>19</v>
      </c>
      <c r="N16" s="36" t="n">
        <f aca="false">VD_VEFF/(VD_RA_P_TOLA+VD_RB_M_TOLB)</f>
        <v>4.45944138064305E-005</v>
      </c>
      <c r="O16" s="10" t="s">
        <v>20</v>
      </c>
      <c r="Q16" s="35" t="s">
        <v>19</v>
      </c>
      <c r="R16" s="36" t="n">
        <f aca="false">VD_VEFF/(VD_RA_M_TOLA+VD_RB_P_TOLB)</f>
        <v>4.536724787152E-005</v>
      </c>
      <c r="S16" s="10" t="s">
        <v>20</v>
      </c>
      <c r="T16" s="12"/>
      <c r="V16" s="28" t="n">
        <v>5</v>
      </c>
      <c r="W16" s="28" t="n">
        <f aca="false">RAMIN+(RAMAX-RAMIN)*V16/RESTEPS</f>
        <v>3100</v>
      </c>
      <c r="X16" s="28" t="n">
        <f aca="false">VD_RB/(W16+VD_RB)*VD_VIN</f>
        <v>1.80769230769231</v>
      </c>
      <c r="Y16" s="27" t="n">
        <f aca="false">RBMIN+(RBMAX-RBMIN)*V16/RESTEPS</f>
        <v>235</v>
      </c>
      <c r="Z16" s="28" t="n">
        <f aca="false">Y16/(VD_RA+Y16)*VD_VIN</f>
        <v>0.0113280308508074</v>
      </c>
    </row>
    <row r="17" customFormat="false" ht="18.75" hidden="false" customHeight="true" outlineLevel="0" collapsed="false">
      <c r="B17" s="31"/>
      <c r="C17" s="5"/>
      <c r="I17" s="35" t="s">
        <v>21</v>
      </c>
      <c r="J17" s="42" t="n">
        <f aca="false">VD_VEFF*VD_ID/2</f>
        <v>6.74662668665667E-005</v>
      </c>
      <c r="K17" s="10" t="s">
        <v>22</v>
      </c>
      <c r="M17" s="35" t="s">
        <v>21</v>
      </c>
      <c r="N17" s="36" t="n">
        <f aca="false">VD_VEFF*VD_ID_PAMB/2</f>
        <v>6.68916207096458E-005</v>
      </c>
      <c r="O17" s="10" t="s">
        <v>22</v>
      </c>
      <c r="Q17" s="35" t="s">
        <v>21</v>
      </c>
      <c r="R17" s="36" t="n">
        <f aca="false">VD_VEFF*VD_ID_MAPB/2</f>
        <v>6.80508718072799E-005</v>
      </c>
      <c r="S17" s="10" t="s">
        <v>22</v>
      </c>
      <c r="T17" s="12"/>
      <c r="V17" s="28" t="n">
        <v>6</v>
      </c>
      <c r="W17" s="28" t="n">
        <f aca="false">RAMIN+(RAMAX-RAMIN)*V17/RESTEPS</f>
        <v>3720</v>
      </c>
      <c r="X17" s="28" t="n">
        <f aca="false">VD_RB/(W17+VD_RB)*VD_VIN</f>
        <v>1.67458432304038</v>
      </c>
      <c r="Y17" s="27" t="n">
        <f aca="false">RBMIN+(RBMAX-RBMIN)*V17/RESTEPS</f>
        <v>282</v>
      </c>
      <c r="Z17" s="28" t="n">
        <f aca="false">Y17/(VD_RA+Y17)*VD_VIN</f>
        <v>0.0135833788253428</v>
      </c>
    </row>
    <row r="18" customFormat="false" ht="18.75" hidden="false" customHeight="true" outlineLevel="0" collapsed="false">
      <c r="B18" s="31"/>
      <c r="C18" s="5"/>
      <c r="I18" s="35" t="s">
        <v>23</v>
      </c>
      <c r="J18" s="43" t="n">
        <f aca="false">VD_VOUT/VD_VIN</f>
        <v>0.0704647676161919</v>
      </c>
      <c r="K18" s="10" t="s">
        <v>24</v>
      </c>
      <c r="M18" s="35" t="s">
        <v>25</v>
      </c>
      <c r="N18" s="43" t="n">
        <f aca="false">(VD_VOUT_PAMB-VD_VOUT)/VD_VOUT</f>
        <v>-0.0184323577066579</v>
      </c>
      <c r="O18" s="10" t="s">
        <v>24</v>
      </c>
      <c r="Q18" s="35" t="s">
        <v>25</v>
      </c>
      <c r="R18" s="43" t="n">
        <f aca="false">(VD_VOUT_MAPB-VD_VOUT)/VD_VOUT</f>
        <v>0.018751795786895</v>
      </c>
      <c r="S18" s="10" t="s">
        <v>24</v>
      </c>
      <c r="T18" s="12"/>
      <c r="V18" s="28" t="n">
        <v>7</v>
      </c>
      <c r="W18" s="28" t="n">
        <f aca="false">RAMIN+(RAMAX-RAMIN)*V18/RESTEPS</f>
        <v>4340</v>
      </c>
      <c r="X18" s="28" t="n">
        <f aca="false">VD_RB/(W18+VD_RB)*VD_VIN</f>
        <v>1.55973451327434</v>
      </c>
      <c r="Y18" s="27" t="n">
        <f aca="false">RBMIN+(RBMAX-RBMIN)*V18/RESTEPS</f>
        <v>329</v>
      </c>
      <c r="Z18" s="28" t="n">
        <f aca="false">Y18/(VD_RA+Y18)*VD_VIN</f>
        <v>0.0158353254504324</v>
      </c>
      <c r="AA18" s="44"/>
    </row>
    <row r="19" customFormat="false" ht="18.75" hidden="false" customHeight="true" outlineLevel="0" collapsed="false">
      <c r="B19" s="31"/>
      <c r="C19" s="45" t="s">
        <v>26</v>
      </c>
      <c r="D19" s="45"/>
      <c r="E19" s="45"/>
      <c r="F19" s="45"/>
      <c r="G19" s="46" t="n">
        <v>0.6</v>
      </c>
      <c r="I19" s="35" t="s">
        <v>27</v>
      </c>
      <c r="J19" s="47" t="n">
        <f aca="false">INT(VD_VOUT/VD_VREF*1023+0.5)</f>
        <v>360</v>
      </c>
      <c r="K19" s="10" t="s">
        <v>24</v>
      </c>
      <c r="M19" s="35" t="s">
        <v>27</v>
      </c>
      <c r="N19" s="47" t="n">
        <f aca="false">INT(VD_VOUT_PAMB/VD_VREF*1023+0.5)</f>
        <v>354</v>
      </c>
      <c r="O19" s="10" t="s">
        <v>24</v>
      </c>
      <c r="Q19" s="35" t="s">
        <v>27</v>
      </c>
      <c r="R19" s="47" t="n">
        <f aca="false">INT(VD_VOUT_MAPB/VD_VREF*1023+0.5)</f>
        <v>367</v>
      </c>
      <c r="S19" s="10" t="s">
        <v>24</v>
      </c>
      <c r="T19" s="12"/>
      <c r="V19" s="28" t="n">
        <v>8</v>
      </c>
      <c r="W19" s="28" t="n">
        <f aca="false">RAMIN+(RAMAX-RAMIN)*V19/RESTEPS</f>
        <v>4960</v>
      </c>
      <c r="X19" s="28" t="n">
        <f aca="false">VD_RB/(W19+VD_RB)*VD_VIN</f>
        <v>1.45962732919255</v>
      </c>
      <c r="Y19" s="27" t="n">
        <f aca="false">RBMIN+(RBMAX-RBMIN)*V19/RESTEPS</f>
        <v>376</v>
      </c>
      <c r="Z19" s="28" t="n">
        <f aca="false">Y19/(VD_RA+Y19)*VD_VIN</f>
        <v>0.0180838784147749</v>
      </c>
    </row>
    <row r="20" customFormat="false" ht="18.75" hidden="false" customHeight="true" outlineLevel="0" collapsed="false">
      <c r="B20" s="31"/>
      <c r="C20" s="45"/>
      <c r="D20" s="45"/>
      <c r="E20" s="45"/>
      <c r="F20" s="45"/>
      <c r="G20" s="46"/>
      <c r="I20" s="35" t="s">
        <v>28</v>
      </c>
      <c r="J20" s="47" t="n">
        <f aca="false">INT(VD_VOUT/VD_VREF*255+0.5)</f>
        <v>90</v>
      </c>
      <c r="K20" s="10" t="s">
        <v>24</v>
      </c>
      <c r="M20" s="35" t="s">
        <v>28</v>
      </c>
      <c r="N20" s="47" t="n">
        <f aca="false">INT(VD_VOUT_PAMB/VD_VREF*255+0.5)</f>
        <v>88</v>
      </c>
      <c r="O20" s="10" t="s">
        <v>24</v>
      </c>
      <c r="Q20" s="35" t="s">
        <v>28</v>
      </c>
      <c r="R20" s="47" t="n">
        <f aca="false">INT(VD_VOUT_MAPB/VD_VREF*255+0.5)</f>
        <v>92</v>
      </c>
      <c r="S20" s="10" t="s">
        <v>24</v>
      </c>
      <c r="T20" s="12"/>
      <c r="V20" s="28" t="n">
        <v>9</v>
      </c>
      <c r="W20" s="28" t="n">
        <f aca="false">RAMIN+(RAMAX-RAMIN)*V20/RESTEPS</f>
        <v>5580</v>
      </c>
      <c r="X20" s="28" t="n">
        <f aca="false">VD_RB/(W20+VD_RB)*VD_VIN</f>
        <v>1.3715953307393</v>
      </c>
      <c r="Y20" s="27" t="n">
        <f aca="false">RBMIN+(RBMAX-RBMIN)*V20/RESTEPS</f>
        <v>423</v>
      </c>
      <c r="Z20" s="28" t="n">
        <f aca="false">Y20/(VD_RA+Y20)*VD_VIN</f>
        <v>0.020329045383913</v>
      </c>
    </row>
    <row r="21" customFormat="false" ht="18.75" hidden="false" customHeight="true" outlineLevel="0" collapsed="false">
      <c r="B21" s="31"/>
      <c r="C21" s="5"/>
      <c r="I21" s="35" t="s">
        <v>29</v>
      </c>
      <c r="J21" s="47" t="n">
        <f aca="false">INT(VD_VOUT/VD_VREF*4095+0.5)</f>
        <v>1443</v>
      </c>
      <c r="K21" s="10" t="s">
        <v>24</v>
      </c>
      <c r="M21" s="35" t="s">
        <v>29</v>
      </c>
      <c r="N21" s="47" t="n">
        <f aca="false">INT(VD_VOUT_PAMB/VD_VREF*4095+0.5)</f>
        <v>1416</v>
      </c>
      <c r="O21" s="10" t="s">
        <v>24</v>
      </c>
      <c r="Q21" s="35" t="s">
        <v>29</v>
      </c>
      <c r="R21" s="47" t="n">
        <f aca="false">INT(VD_VOUT_MAPB/VD_VREF*4095+0.5)</f>
        <v>1470</v>
      </c>
      <c r="S21" s="10" t="s">
        <v>24</v>
      </c>
      <c r="T21" s="12"/>
      <c r="V21" s="28" t="n">
        <v>10</v>
      </c>
      <c r="W21" s="28" t="n">
        <f aca="false">RAMIN+(RAMAX-RAMIN)*V21/RESTEPS</f>
        <v>6200</v>
      </c>
      <c r="X21" s="28" t="n">
        <f aca="false">VD_RB/(W21+VD_RB)*VD_VIN</f>
        <v>1.29357798165138</v>
      </c>
      <c r="Y21" s="27" t="n">
        <f aca="false">RBMIN+(RBMAX-RBMIN)*V21/RESTEPS</f>
        <v>470</v>
      </c>
      <c r="Z21" s="28" t="n">
        <f aca="false">Y21/(VD_RA+Y21)*VD_VIN</f>
        <v>0.0225708340003202</v>
      </c>
    </row>
    <row r="22" customFormat="false" ht="18.75" hidden="false" customHeight="true" outlineLevel="0" collapsed="false">
      <c r="B22" s="31"/>
      <c r="C22" s="5"/>
      <c r="I22" s="22" t="s">
        <v>30</v>
      </c>
      <c r="J22" s="48" t="n">
        <v>3</v>
      </c>
      <c r="K22" s="49" t="s">
        <v>18</v>
      </c>
      <c r="M22" s="41" t="s">
        <v>31</v>
      </c>
      <c r="N22" s="41"/>
      <c r="Q22" s="50" t="s">
        <v>32</v>
      </c>
      <c r="R22" s="50"/>
      <c r="S22" s="50"/>
      <c r="T22" s="12"/>
      <c r="V22" s="28" t="n">
        <v>11</v>
      </c>
      <c r="W22" s="28" t="n">
        <f aca="false">RAMIN+(RAMAX-RAMIN)*V22/RESTEPS</f>
        <v>6820</v>
      </c>
      <c r="X22" s="28" t="n">
        <f aca="false">VD_RB/(W22+VD_RB)*VD_VIN</f>
        <v>1.22395833333333</v>
      </c>
      <c r="Y22" s="27" t="n">
        <f aca="false">RBMIN+(RBMAX-RBMIN)*V22/RESTEPS</f>
        <v>517</v>
      </c>
      <c r="Z22" s="28" t="n">
        <f aca="false">Y22/(VD_RA+Y22)*VD_VIN</f>
        <v>0.0248092518834877</v>
      </c>
    </row>
    <row r="23" customFormat="false" ht="18.75" hidden="false" customHeight="true" outlineLevel="0" collapsed="false">
      <c r="B23" s="4"/>
      <c r="C23" s="18"/>
      <c r="D23" s="18"/>
      <c r="E23" s="18"/>
      <c r="F23" s="18"/>
      <c r="G23" s="18"/>
      <c r="I23" s="35" t="s">
        <v>33</v>
      </c>
      <c r="J23" s="38" t="n">
        <f aca="false">IF(VTYPE="DC",VD_VEFF,VD_VEFF*SQRT(2))</f>
        <v>3</v>
      </c>
      <c r="K23" s="30" t="s">
        <v>18</v>
      </c>
      <c r="M23" s="51" t="s">
        <v>34</v>
      </c>
      <c r="N23" s="52" t="s">
        <v>35</v>
      </c>
      <c r="P23" s="18"/>
      <c r="Q23" s="50"/>
      <c r="R23" s="50"/>
      <c r="S23" s="50"/>
      <c r="T23" s="53"/>
      <c r="V23" s="28" t="n">
        <v>12</v>
      </c>
      <c r="W23" s="28" t="n">
        <f aca="false">RAMIN+(RAMAX-RAMIN)*V23/RESTEPS</f>
        <v>7440</v>
      </c>
      <c r="X23" s="28" t="n">
        <f aca="false">VD_RB/(W23+VD_RB)*VD_VIN</f>
        <v>1.16144975288303</v>
      </c>
      <c r="Y23" s="27" t="n">
        <f aca="false">RBMIN+(RBMAX-RBMIN)*V23/RESTEPS</f>
        <v>564</v>
      </c>
      <c r="Z23" s="28" t="n">
        <f aca="false">Y23/(VD_RA+Y23)*VD_VIN</f>
        <v>0.0270443066300109</v>
      </c>
    </row>
    <row r="24" customFormat="false" ht="18.7" hidden="false" customHeight="true" outlineLevel="0" collapsed="false">
      <c r="I24" s="10" t="s">
        <v>36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V24" s="28" t="n">
        <v>13</v>
      </c>
      <c r="W24" s="28" t="n">
        <f aca="false">RAMIN+(RAMAX-RAMIN)*V24/RESTEPS</f>
        <v>8060</v>
      </c>
      <c r="X24" s="28" t="n">
        <f aca="false">VD_RB/(W24+VD_RB)*VD_VIN</f>
        <v>1.10501567398119</v>
      </c>
      <c r="Y24" s="27" t="n">
        <f aca="false">RBMIN+(RBMAX-RBMIN)*V24/RESTEPS</f>
        <v>611</v>
      </c>
      <c r="Z24" s="28" t="n">
        <f aca="false">Y24/(VD_RA+Y24)*VD_VIN</f>
        <v>0.0292760058136749</v>
      </c>
    </row>
    <row r="25" customFormat="false" ht="13.8" hidden="false" customHeight="false" outlineLevel="0" collapsed="false">
      <c r="I25" s="35" t="s">
        <v>37</v>
      </c>
      <c r="J25" s="39" t="n">
        <f aca="false">(VD_RA+VD_RB)/VD_RB*VD_VREF</f>
        <v>8.51489361702128</v>
      </c>
      <c r="K25" s="10" t="s">
        <v>18</v>
      </c>
      <c r="M25" s="35" t="s">
        <v>37</v>
      </c>
      <c r="N25" s="39" t="n">
        <f aca="false">(VD_RA_P_TOLA+VD_RB_M_TOLB)/VD_RB_M_TOLB*VD_VREF</f>
        <v>8.67479045776918</v>
      </c>
      <c r="O25" s="10" t="s">
        <v>18</v>
      </c>
      <c r="Q25" s="35" t="s">
        <v>37</v>
      </c>
      <c r="R25" s="39" t="n">
        <f aca="false">(VD_RA_M_TOLA+VD_RB_P_TOLB)/VD_RB_P_TOLB*VD_VREF</f>
        <v>8.35816305034759</v>
      </c>
      <c r="S25" s="10" t="s">
        <v>18</v>
      </c>
      <c r="V25" s="28" t="n">
        <v>14</v>
      </c>
      <c r="W25" s="28" t="n">
        <f aca="false">RAMIN+(RAMAX-RAMIN)*V25/RESTEPS</f>
        <v>8680</v>
      </c>
      <c r="X25" s="28" t="n">
        <f aca="false">VD_RB/(W25+VD_RB)*VD_VIN</f>
        <v>1.05381165919283</v>
      </c>
      <c r="Y25" s="27" t="n">
        <f aca="false">RBMIN+(RBMAX-RBMIN)*V25/RESTEPS</f>
        <v>658</v>
      </c>
      <c r="Z25" s="28" t="n">
        <f aca="false">Y25/(VD_RA+Y25)*VD_VIN</f>
        <v>0.0315043569855406</v>
      </c>
    </row>
    <row r="26" customFormat="false" ht="15" hidden="false" customHeight="false" outlineLevel="0" collapsed="false">
      <c r="V26" s="28" t="n">
        <v>15</v>
      </c>
      <c r="W26" s="28" t="n">
        <f aca="false">RAMIN+(RAMAX-RAMIN)*V26/RESTEPS</f>
        <v>9300</v>
      </c>
      <c r="X26" s="28" t="n">
        <f aca="false">VD_RB/(W26+VD_RB)*VD_VIN</f>
        <v>1.00714285714286</v>
      </c>
      <c r="Y26" s="27" t="n">
        <f aca="false">RBMIN+(RBMAX-RBMIN)*V26/RESTEPS</f>
        <v>705</v>
      </c>
      <c r="Z26" s="28" t="n">
        <f aca="false">Y26/(VD_RA+Y26)*VD_VIN</f>
        <v>0.0337293676740292</v>
      </c>
    </row>
    <row r="27" customFormat="false" ht="15" hidden="false" customHeight="false" outlineLevel="0" collapsed="false">
      <c r="V27" s="28" t="n">
        <v>16</v>
      </c>
      <c r="W27" s="28" t="n">
        <f aca="false">RAMIN+(RAMAX-RAMIN)*V27/RESTEPS</f>
        <v>9920</v>
      </c>
      <c r="X27" s="28" t="n">
        <f aca="false">VD_RB/(W27+VD_RB)*VD_VIN</f>
        <v>0.964432284541724</v>
      </c>
      <c r="Y27" s="27" t="n">
        <f aca="false">RBMIN+(RBMAX-RBMIN)*V27/RESTEPS</f>
        <v>752</v>
      </c>
      <c r="Z27" s="28" t="n">
        <f aca="false">Y27/(VD_RA+Y27)*VD_VIN</f>
        <v>0.0359510453850077</v>
      </c>
    </row>
    <row r="28" customFormat="false" ht="15" hidden="false" customHeight="false" outlineLevel="0" collapsed="false">
      <c r="V28" s="28" t="n">
        <v>17</v>
      </c>
      <c r="W28" s="28" t="n">
        <f aca="false">RAMIN+(RAMAX-RAMIN)*V28/RESTEPS</f>
        <v>10540</v>
      </c>
      <c r="X28" s="28" t="n">
        <f aca="false">VD_RB/(W28+VD_RB)*VD_VIN</f>
        <v>0.925196850393701</v>
      </c>
      <c r="Y28" s="27" t="n">
        <f aca="false">RBMIN+(RBMAX-RBMIN)*V28/RESTEPS</f>
        <v>799</v>
      </c>
      <c r="Z28" s="28" t="n">
        <f aca="false">Y28/(VD_RA+Y28)*VD_VIN</f>
        <v>0.0381693976018726</v>
      </c>
    </row>
    <row r="29" customFormat="false" ht="15" hidden="false" customHeight="false" outlineLevel="0" collapsed="false">
      <c r="V29" s="28" t="n">
        <v>18</v>
      </c>
      <c r="W29" s="28" t="n">
        <f aca="false">RAMIN+(RAMAX-RAMIN)*V29/RESTEPS</f>
        <v>11160</v>
      </c>
      <c r="X29" s="28" t="n">
        <f aca="false">VD_RB/(W29+VD_RB)*VD_VIN</f>
        <v>0.889029003783102</v>
      </c>
      <c r="Y29" s="27" t="n">
        <f aca="false">RBMIN+(RBMAX-RBMIN)*V29/RESTEPS</f>
        <v>846</v>
      </c>
      <c r="Z29" s="28" t="n">
        <f aca="false">Y29/(VD_RA+Y29)*VD_VIN</f>
        <v>0.0403844317856347</v>
      </c>
    </row>
    <row r="30" customFormat="false" ht="15" hidden="false" customHeight="false" outlineLevel="0" collapsed="false">
      <c r="V30" s="28" t="n">
        <v>19</v>
      </c>
      <c r="W30" s="28" t="n">
        <f aca="false">RAMIN+(RAMAX-RAMIN)*V30/RESTEPS</f>
        <v>11780</v>
      </c>
      <c r="X30" s="28" t="n">
        <f aca="false">VD_RB/(W30+VD_RB)*VD_VIN</f>
        <v>0.855582524271845</v>
      </c>
      <c r="Y30" s="27" t="n">
        <f aca="false">RBMIN+(RBMAX-RBMIN)*V30/RESTEPS</f>
        <v>893</v>
      </c>
      <c r="Z30" s="28" t="n">
        <f aca="false">Y30/(VD_RA+Y30)*VD_VIN</f>
        <v>0.042596155375002</v>
      </c>
    </row>
    <row r="31" customFormat="false" ht="15" hidden="false" customHeight="false" outlineLevel="0" collapsed="false">
      <c r="V31" s="28" t="n">
        <v>20</v>
      </c>
      <c r="W31" s="28" t="n">
        <f aca="false">RAMIN+(RAMAX-RAMIN)*V31/RESTEPS</f>
        <v>12400</v>
      </c>
      <c r="X31" s="28" t="n">
        <f aca="false">VD_RB/(W31+VD_RB)*VD_VIN</f>
        <v>0.824561403508772</v>
      </c>
      <c r="Y31" s="27" t="n">
        <f aca="false">RBMIN+(RBMAX-RBMIN)*V31/RESTEPS</f>
        <v>940</v>
      </c>
      <c r="Z31" s="28" t="n">
        <f aca="false">Y31/(VD_RA+Y31)*VD_VIN</f>
        <v>0.0448045757864633</v>
      </c>
    </row>
    <row r="32" customFormat="false" ht="15" hidden="false" customHeight="false" outlineLevel="0" collapsed="false">
      <c r="V32" s="28" t="n">
        <v>21</v>
      </c>
      <c r="W32" s="28" t="n">
        <f aca="false">RAMIN+(RAMAX-RAMIN)*V32/RESTEPS</f>
        <v>13020</v>
      </c>
      <c r="X32" s="28" t="n">
        <f aca="false">VD_RB/(W32+VD_RB)*VD_VIN</f>
        <v>0.795711060948081</v>
      </c>
      <c r="Y32" s="27" t="n">
        <f aca="false">RBMIN+(RBMAX-RBMIN)*V32/RESTEPS</f>
        <v>987</v>
      </c>
      <c r="Z32" s="28" t="n">
        <f aca="false">Y32/(VD_RA+Y32)*VD_VIN</f>
        <v>0.0470097004143712</v>
      </c>
    </row>
    <row r="33" customFormat="false" ht="15" hidden="false" customHeight="false" outlineLevel="0" collapsed="false">
      <c r="V33" s="28" t="n">
        <v>22</v>
      </c>
      <c r="W33" s="28" t="n">
        <f aca="false">RAMIN+(RAMAX-RAMIN)*V33/RESTEPS</f>
        <v>13640</v>
      </c>
      <c r="X33" s="28" t="n">
        <f aca="false">VD_RB/(W33+VD_RB)*VD_VIN</f>
        <v>0.768811341330425</v>
      </c>
      <c r="Y33" s="27" t="n">
        <f aca="false">RBMIN+(RBMAX-RBMIN)*V33/RESTEPS</f>
        <v>1034</v>
      </c>
      <c r="Z33" s="28" t="n">
        <f aca="false">Y33/(VD_RA+Y33)*VD_VIN</f>
        <v>0.0492115366310245</v>
      </c>
    </row>
    <row r="34" customFormat="false" ht="15" hidden="false" customHeight="false" outlineLevel="0" collapsed="false">
      <c r="V34" s="28" t="n">
        <v>23</v>
      </c>
      <c r="W34" s="28" t="n">
        <f aca="false">RAMIN+(RAMAX-RAMIN)*V34/RESTEPS</f>
        <v>14260</v>
      </c>
      <c r="X34" s="28" t="n">
        <f aca="false">VD_RB/(W34+VD_RB)*VD_VIN</f>
        <v>0.743670886075949</v>
      </c>
      <c r="Y34" s="27" t="n">
        <f aca="false">RBMIN+(RBMAX-RBMIN)*V34/RESTEPS</f>
        <v>1081</v>
      </c>
      <c r="Z34" s="28" t="n">
        <f aca="false">Y34/(VD_RA+Y34)*VD_VIN</f>
        <v>0.0514100917867504</v>
      </c>
    </row>
    <row r="35" customFormat="false" ht="15" hidden="false" customHeight="false" outlineLevel="0" collapsed="false">
      <c r="V35" s="28" t="n">
        <v>24</v>
      </c>
      <c r="W35" s="28" t="n">
        <f aca="false">RAMIN+(RAMAX-RAMIN)*V35/RESTEPS</f>
        <v>14880</v>
      </c>
      <c r="X35" s="28" t="n">
        <f aca="false">VD_RB/(W35+VD_RB)*VD_VIN</f>
        <v>0.720122574055158</v>
      </c>
      <c r="Y35" s="27" t="n">
        <f aca="false">RBMIN+(RBMAX-RBMIN)*V35/RESTEPS</f>
        <v>1128</v>
      </c>
      <c r="Z35" s="28" t="n">
        <f aca="false">Y35/(VD_RA+Y35)*VD_VIN</f>
        <v>0.0536053732099861</v>
      </c>
    </row>
    <row r="36" customFormat="false" ht="15" hidden="false" customHeight="false" outlineLevel="0" collapsed="false">
      <c r="V36" s="28" t="n">
        <v>25</v>
      </c>
      <c r="W36" s="28" t="n">
        <f aca="false">RAMIN+(RAMAX-RAMIN)*V36/RESTEPS</f>
        <v>15500</v>
      </c>
      <c r="X36" s="28" t="n">
        <f aca="false">VD_RB/(W36+VD_RB)*VD_VIN</f>
        <v>0.698019801980198</v>
      </c>
      <c r="Y36" s="27" t="n">
        <f aca="false">RBMIN+(RBMAX-RBMIN)*V36/RESTEPS</f>
        <v>1175</v>
      </c>
      <c r="Z36" s="28" t="n">
        <f aca="false">Y36/(VD_RA+Y36)*VD_VIN</f>
        <v>0.0557973882073605</v>
      </c>
    </row>
    <row r="37" customFormat="false" ht="15" hidden="false" customHeight="false" outlineLevel="0" collapsed="false">
      <c r="V37" s="28" t="n">
        <v>26</v>
      </c>
      <c r="W37" s="28" t="n">
        <f aca="false">RAMIN+(RAMAX-RAMIN)*V37/RESTEPS</f>
        <v>16120</v>
      </c>
      <c r="X37" s="28" t="n">
        <f aca="false">VD_RB/(W37+VD_RB)*VD_VIN</f>
        <v>0.677233429394813</v>
      </c>
      <c r="Y37" s="27" t="n">
        <f aca="false">RBMIN+(RBMAX-RBMIN)*V37/RESTEPS</f>
        <v>1222</v>
      </c>
      <c r="Z37" s="28" t="n">
        <f aca="false">Y37/(VD_RA+Y37)*VD_VIN</f>
        <v>0.0579861440637753</v>
      </c>
    </row>
    <row r="38" customFormat="false" ht="15" hidden="false" customHeight="false" outlineLevel="0" collapsed="false">
      <c r="V38" s="28" t="n">
        <v>27</v>
      </c>
      <c r="W38" s="28" t="n">
        <f aca="false">RAMIN+(RAMAX-RAMIN)*V38/RESTEPS</f>
        <v>16740</v>
      </c>
      <c r="X38" s="28" t="n">
        <f aca="false">VD_RB/(W38+VD_RB)*VD_VIN</f>
        <v>0.657649253731343</v>
      </c>
      <c r="Y38" s="27" t="n">
        <f aca="false">RBMIN+(RBMAX-RBMIN)*V38/RESTEPS</f>
        <v>1269</v>
      </c>
      <c r="Z38" s="28" t="n">
        <f aca="false">Y38/(VD_RA+Y38)*VD_VIN</f>
        <v>0.0601716480424853</v>
      </c>
    </row>
    <row r="39" customFormat="false" ht="15" hidden="false" customHeight="false" outlineLevel="0" collapsed="false">
      <c r="V39" s="28" t="n">
        <v>28</v>
      </c>
      <c r="W39" s="28" t="n">
        <f aca="false">RAMIN+(RAMAX-RAMIN)*V39/RESTEPS</f>
        <v>17360</v>
      </c>
      <c r="X39" s="28" t="n">
        <f aca="false">VD_RB/(W39+VD_RB)*VD_VIN</f>
        <v>0.639165911151405</v>
      </c>
      <c r="Y39" s="27" t="n">
        <f aca="false">RBMIN+(RBMAX-RBMIN)*V39/RESTEPS</f>
        <v>1316</v>
      </c>
      <c r="Z39" s="28" t="n">
        <f aca="false">Y39/(VD_RA+Y39)*VD_VIN</f>
        <v>0.0623539073851791</v>
      </c>
    </row>
    <row r="40" customFormat="false" ht="15" hidden="false" customHeight="false" outlineLevel="0" collapsed="false">
      <c r="V40" s="28" t="n">
        <v>29</v>
      </c>
      <c r="W40" s="28" t="n">
        <f aca="false">RAMIN+(RAMAX-RAMIN)*V40/RESTEPS</f>
        <v>17980</v>
      </c>
      <c r="X40" s="28" t="n">
        <f aca="false">VD_RB/(W40+VD_RB)*VD_VIN</f>
        <v>0.621693121693122</v>
      </c>
      <c r="Y40" s="27" t="n">
        <f aca="false">RBMIN+(RBMAX-RBMIN)*V40/RESTEPS</f>
        <v>1363</v>
      </c>
      <c r="Z40" s="28" t="n">
        <f aca="false">Y40/(VD_RA+Y40)*VD_VIN</f>
        <v>0.0645329293120591</v>
      </c>
    </row>
    <row r="41" customFormat="false" ht="15" hidden="false" customHeight="false" outlineLevel="0" collapsed="false">
      <c r="V41" s="28" t="n">
        <v>30</v>
      </c>
      <c r="W41" s="28" t="n">
        <f aca="false">RAMIN+(RAMAX-RAMIN)*V41/RESTEPS</f>
        <v>18600</v>
      </c>
      <c r="X41" s="28" t="n">
        <f aca="false">VD_RB/(W41+VD_RB)*VD_VIN</f>
        <v>0.605150214592275</v>
      </c>
      <c r="Y41" s="27" t="n">
        <f aca="false">RBMIN+(RBMAX-RBMIN)*V41/RESTEPS</f>
        <v>1410</v>
      </c>
      <c r="Z41" s="28" t="n">
        <f aca="false">Y41/(VD_RA+Y41)*VD_VIN</f>
        <v>0.0667087210219208</v>
      </c>
    </row>
    <row r="42" customFormat="false" ht="15" hidden="false" customHeight="false" outlineLevel="0" collapsed="false">
      <c r="V42" s="28" t="n">
        <v>31</v>
      </c>
      <c r="W42" s="28" t="n">
        <f aca="false">RAMIN+(RAMAX-RAMIN)*V42/RESTEPS</f>
        <v>19220</v>
      </c>
      <c r="X42" s="28" t="n">
        <f aca="false">VD_RB/(W42+VD_RB)*VD_VIN</f>
        <v>0.589464882943144</v>
      </c>
      <c r="Y42" s="27" t="n">
        <f aca="false">RBMIN+(RBMAX-RBMIN)*V42/RESTEPS</f>
        <v>1457</v>
      </c>
      <c r="Z42" s="28" t="n">
        <f aca="false">Y42/(VD_RA+Y42)*VD_VIN</f>
        <v>0.0688812896922325</v>
      </c>
    </row>
    <row r="43" customFormat="false" ht="15" hidden="false" customHeight="false" outlineLevel="0" collapsed="false">
      <c r="V43" s="28" t="n">
        <v>32</v>
      </c>
      <c r="W43" s="28" t="n">
        <f aca="false">RAMIN+(RAMAX-RAMIN)*V43/RESTEPS</f>
        <v>19840</v>
      </c>
      <c r="X43" s="28" t="n">
        <f aca="false">VD_RB/(W43+VD_RB)*VD_VIN</f>
        <v>0.574572127139364</v>
      </c>
      <c r="Y43" s="27" t="n">
        <f aca="false">RBMIN+(RBMAX-RBMIN)*V43/RESTEPS</f>
        <v>1504</v>
      </c>
      <c r="Z43" s="28" t="n">
        <f aca="false">Y43/(VD_RA+Y43)*VD_VIN</f>
        <v>0.0710506424792139</v>
      </c>
    </row>
    <row r="44" customFormat="false" ht="15" hidden="false" customHeight="false" outlineLevel="0" collapsed="false">
      <c r="V44" s="28" t="n">
        <v>33</v>
      </c>
      <c r="W44" s="28" t="n">
        <f aca="false">RAMIN+(RAMAX-RAMIN)*V44/RESTEPS</f>
        <v>20460</v>
      </c>
      <c r="X44" s="28" t="n">
        <f aca="false">VD_RB/(W44+VD_RB)*VD_VIN</f>
        <v>0.560413354531002</v>
      </c>
      <c r="Y44" s="27" t="n">
        <f aca="false">RBMIN+(RBMAX-RBMIN)*V44/RESTEPS</f>
        <v>1551</v>
      </c>
      <c r="Z44" s="28" t="n">
        <f aca="false">Y44/(VD_RA+Y44)*VD_VIN</f>
        <v>0.0732167865179147</v>
      </c>
    </row>
    <row r="45" customFormat="false" ht="15" hidden="false" customHeight="false" outlineLevel="0" collapsed="false">
      <c r="V45" s="28" t="n">
        <v>34</v>
      </c>
      <c r="W45" s="28" t="n">
        <f aca="false">RAMIN+(RAMAX-RAMIN)*V45/RESTEPS</f>
        <v>21080</v>
      </c>
      <c r="X45" s="28" t="n">
        <f aca="false">VD_RB/(W45+VD_RB)*VD_VIN</f>
        <v>0.546935608999224</v>
      </c>
      <c r="Y45" s="27" t="n">
        <f aca="false">RBMIN+(RBMAX-RBMIN)*V45/RESTEPS</f>
        <v>1598</v>
      </c>
      <c r="Z45" s="28" t="n">
        <f aca="false">Y45/(VD_RA+Y45)*VD_VIN</f>
        <v>0.0753797289222932</v>
      </c>
    </row>
    <row r="46" customFormat="false" ht="15" hidden="false" customHeight="false" outlineLevel="0" collapsed="false">
      <c r="V46" s="28" t="n">
        <v>35</v>
      </c>
      <c r="W46" s="28" t="n">
        <f aca="false">RAMIN+(RAMAX-RAMIN)*V46/RESTEPS</f>
        <v>21700</v>
      </c>
      <c r="X46" s="28" t="n">
        <f aca="false">VD_RB/(W46+VD_RB)*VD_VIN</f>
        <v>0.534090909090909</v>
      </c>
      <c r="Y46" s="27" t="n">
        <f aca="false">RBMIN+(RBMAX-RBMIN)*V46/RESTEPS</f>
        <v>1645</v>
      </c>
      <c r="Z46" s="28" t="n">
        <f aca="false">Y46/(VD_RA+Y46)*VD_VIN</f>
        <v>0.0775394767852934</v>
      </c>
    </row>
    <row r="47" customFormat="false" ht="15" hidden="false" customHeight="false" outlineLevel="0" collapsed="false">
      <c r="V47" s="28" t="n">
        <v>36</v>
      </c>
      <c r="W47" s="28" t="n">
        <f aca="false">RAMIN+(RAMAX-RAMIN)*V47/RESTEPS</f>
        <v>22320</v>
      </c>
      <c r="X47" s="28" t="n">
        <f aca="false">VD_RB/(W47+VD_RB)*VD_VIN</f>
        <v>0.521835677276092</v>
      </c>
      <c r="Y47" s="27" t="n">
        <f aca="false">RBMIN+(RBMAX-RBMIN)*V47/RESTEPS</f>
        <v>1692</v>
      </c>
      <c r="Z47" s="28" t="n">
        <f aca="false">Y47/(VD_RA+Y47)*VD_VIN</f>
        <v>0.0796960371789236</v>
      </c>
    </row>
    <row r="48" customFormat="false" ht="15" hidden="false" customHeight="false" outlineLevel="0" collapsed="false">
      <c r="V48" s="28" t="n">
        <v>37</v>
      </c>
      <c r="W48" s="28" t="n">
        <f aca="false">RAMIN+(RAMAX-RAMIN)*V48/RESTEPS</f>
        <v>22940</v>
      </c>
      <c r="X48" s="28" t="n">
        <f aca="false">VD_RB/(W48+VD_RB)*VD_VIN</f>
        <v>0.510130246020261</v>
      </c>
      <c r="Y48" s="27" t="n">
        <f aca="false">RBMIN+(RBMAX-RBMIN)*V48/RESTEPS</f>
        <v>1739</v>
      </c>
      <c r="Z48" s="28" t="n">
        <f aca="false">Y48/(VD_RA+Y48)*VD_VIN</f>
        <v>0.0818494171543325</v>
      </c>
    </row>
    <row r="49" customFormat="false" ht="15" hidden="false" customHeight="false" outlineLevel="0" collapsed="false">
      <c r="V49" s="28" t="n">
        <v>38</v>
      </c>
      <c r="W49" s="28" t="n">
        <f aca="false">RAMIN+(RAMAX-RAMIN)*V49/RESTEPS</f>
        <v>23560</v>
      </c>
      <c r="X49" s="28" t="n">
        <f aca="false">VD_RB/(W49+VD_RB)*VD_VIN</f>
        <v>0.498938428874735</v>
      </c>
      <c r="Y49" s="27" t="n">
        <f aca="false">RBMIN+(RBMAX-RBMIN)*V49/RESTEPS</f>
        <v>1786</v>
      </c>
      <c r="Z49" s="28" t="n">
        <f aca="false">Y49/(VD_RA+Y49)*VD_VIN</f>
        <v>0.0839996237418869</v>
      </c>
    </row>
    <row r="50" customFormat="false" ht="15" hidden="false" customHeight="false" outlineLevel="0" collapsed="false">
      <c r="V50" s="28" t="n">
        <v>39</v>
      </c>
      <c r="W50" s="28" t="n">
        <f aca="false">RAMIN+(RAMAX-RAMIN)*V50/RESTEPS</f>
        <v>24180</v>
      </c>
      <c r="X50" s="28" t="n">
        <f aca="false">VD_RB/(W50+VD_RB)*VD_VIN</f>
        <v>0.488227146814404</v>
      </c>
      <c r="Y50" s="27" t="n">
        <f aca="false">RBMIN+(RBMAX-RBMIN)*V50/RESTEPS</f>
        <v>1833</v>
      </c>
      <c r="Z50" s="28" t="n">
        <f aca="false">Y50/(VD_RA+Y50)*VD_VIN</f>
        <v>0.0861466639512478</v>
      </c>
    </row>
    <row r="51" customFormat="false" ht="15" hidden="false" customHeight="false" outlineLevel="0" collapsed="false">
      <c r="V51" s="28" t="n">
        <v>40</v>
      </c>
      <c r="W51" s="28" t="n">
        <f aca="false">RAMIN+(RAMAX-RAMIN)*V51/RESTEPS</f>
        <v>24800</v>
      </c>
      <c r="X51" s="28" t="n">
        <f aca="false">VD_RB/(W51+VD_RB)*VD_VIN</f>
        <v>0.477966101694915</v>
      </c>
      <c r="Y51" s="27" t="n">
        <f aca="false">RBMIN+(RBMAX-RBMIN)*V51/RESTEPS</f>
        <v>1880</v>
      </c>
      <c r="Z51" s="28" t="n">
        <f aca="false">Y51/(VD_RA+Y51)*VD_VIN</f>
        <v>0.0882905447714465</v>
      </c>
    </row>
    <row r="52" customFormat="false" ht="15" hidden="false" customHeight="false" outlineLevel="0" collapsed="false">
      <c r="V52" s="28" t="n">
        <v>41</v>
      </c>
      <c r="W52" s="28" t="n">
        <f aca="false">RAMIN+(RAMAX-RAMIN)*V52/RESTEPS</f>
        <v>25420</v>
      </c>
      <c r="X52" s="28" t="n">
        <f aca="false">VD_RB/(W52+VD_RB)*VD_VIN</f>
        <v>0.468127490039841</v>
      </c>
      <c r="Y52" s="27" t="n">
        <f aca="false">RBMIN+(RBMAX-RBMIN)*V52/RESTEPS</f>
        <v>1927</v>
      </c>
      <c r="Z52" s="28" t="n">
        <f aca="false">Y52/(VD_RA+Y52)*VD_VIN</f>
        <v>0.0904312731709606</v>
      </c>
    </row>
    <row r="53" customFormat="false" ht="15" hidden="false" customHeight="false" outlineLevel="0" collapsed="false">
      <c r="V53" s="28" t="n">
        <v>42</v>
      </c>
      <c r="W53" s="28" t="n">
        <f aca="false">RAMIN+(RAMAX-RAMIN)*V53/RESTEPS</f>
        <v>26040</v>
      </c>
      <c r="X53" s="28" t="n">
        <f aca="false">VD_RB/(W53+VD_RB)*VD_VIN</f>
        <v>0.458685751463891</v>
      </c>
      <c r="Y53" s="27" t="n">
        <f aca="false">RBMIN+(RBMAX-RBMIN)*V53/RESTEPS</f>
        <v>1974</v>
      </c>
      <c r="Z53" s="28" t="n">
        <f aca="false">Y53/(VD_RA+Y53)*VD_VIN</f>
        <v>0.0925688560977897</v>
      </c>
    </row>
    <row r="54" customFormat="false" ht="15" hidden="false" customHeight="false" outlineLevel="0" collapsed="false">
      <c r="V54" s="28" t="n">
        <v>43</v>
      </c>
      <c r="W54" s="28" t="n">
        <f aca="false">RAMIN+(RAMAX-RAMIN)*V54/RESTEPS</f>
        <v>26660</v>
      </c>
      <c r="X54" s="28" t="n">
        <f aca="false">VD_RB/(W54+VD_RB)*VD_VIN</f>
        <v>0.449617346938776</v>
      </c>
      <c r="Y54" s="27" t="n">
        <f aca="false">RBMIN+(RBMAX-RBMIN)*V54/RESTEPS</f>
        <v>2021</v>
      </c>
      <c r="Z54" s="28" t="n">
        <f aca="false">Y54/(VD_RA+Y54)*VD_VIN</f>
        <v>0.0947033004795302</v>
      </c>
    </row>
    <row r="55" customFormat="false" ht="15" hidden="false" customHeight="false" outlineLevel="0" collapsed="false">
      <c r="V55" s="28" t="n">
        <v>44</v>
      </c>
      <c r="W55" s="28" t="n">
        <f aca="false">RAMIN+(RAMAX-RAMIN)*V55/RESTEPS</f>
        <v>27280</v>
      </c>
      <c r="X55" s="28" t="n">
        <f aca="false">VD_RB/(W55+VD_RB)*VD_VIN</f>
        <v>0.440900562851782</v>
      </c>
      <c r="Y55" s="27" t="n">
        <f aca="false">RBMIN+(RBMAX-RBMIN)*V55/RESTEPS</f>
        <v>2068</v>
      </c>
      <c r="Z55" s="28" t="n">
        <f aca="false">Y55/(VD_RA+Y55)*VD_VIN</f>
        <v>0.0968346132234501</v>
      </c>
    </row>
    <row r="56" customFormat="false" ht="15" hidden="false" customHeight="false" outlineLevel="0" collapsed="false">
      <c r="V56" s="28" t="n">
        <v>45</v>
      </c>
      <c r="W56" s="28" t="n">
        <f aca="false">RAMIN+(RAMAX-RAMIN)*V56/RESTEPS</f>
        <v>27900</v>
      </c>
      <c r="X56" s="28" t="n">
        <f aca="false">VD_RB/(W56+VD_RB)*VD_VIN</f>
        <v>0.432515337423313</v>
      </c>
      <c r="Y56" s="27" t="n">
        <f aca="false">RBMIN+(RBMAX-RBMIN)*V56/RESTEPS</f>
        <v>2115</v>
      </c>
      <c r="Z56" s="28" t="n">
        <f aca="false">Y56/(VD_RA+Y56)*VD_VIN</f>
        <v>0.098962801216564</v>
      </c>
    </row>
    <row r="57" customFormat="false" ht="15" hidden="false" customHeight="false" outlineLevel="0" collapsed="false">
      <c r="V57" s="28" t="n">
        <v>46</v>
      </c>
      <c r="W57" s="28" t="n">
        <f aca="false">RAMIN+(RAMAX-RAMIN)*V57/RESTEPS</f>
        <v>28520</v>
      </c>
      <c r="X57" s="28" t="n">
        <f aca="false">VD_RB/(W57+VD_RB)*VD_VIN</f>
        <v>0.424443106562312</v>
      </c>
      <c r="Y57" s="27" t="n">
        <f aca="false">RBMIN+(RBMAX-RBMIN)*V57/RESTEPS</f>
        <v>2162</v>
      </c>
      <c r="Z57" s="28" t="n">
        <f aca="false">Y57/(VD_RA+Y57)*VD_VIN</f>
        <v>0.101087871325707</v>
      </c>
    </row>
    <row r="58" customFormat="false" ht="15" hidden="false" customHeight="false" outlineLevel="0" collapsed="false">
      <c r="V58" s="28" t="n">
        <v>47</v>
      </c>
      <c r="W58" s="28" t="n">
        <f aca="false">RAMIN+(RAMAX-RAMIN)*V58/RESTEPS</f>
        <v>29140</v>
      </c>
      <c r="X58" s="28" t="n">
        <f aca="false">VD_RB/(W58+VD_RB)*VD_VIN</f>
        <v>0.416666666666667</v>
      </c>
      <c r="Y58" s="27" t="n">
        <f aca="false">RBMIN+(RBMAX-RBMIN)*V58/RESTEPS</f>
        <v>2209</v>
      </c>
      <c r="Z58" s="28" t="n">
        <f aca="false">Y58/(VD_RA+Y58)*VD_VIN</f>
        <v>0.103209830397608</v>
      </c>
    </row>
    <row r="59" customFormat="false" ht="15" hidden="false" customHeight="false" outlineLevel="0" collapsed="false">
      <c r="V59" s="28" t="n">
        <v>48</v>
      </c>
      <c r="W59" s="28" t="n">
        <f aca="false">RAMIN+(RAMAX-RAMIN)*V59/RESTEPS</f>
        <v>29760</v>
      </c>
      <c r="X59" s="28" t="n">
        <f aca="false">VD_RB/(W59+VD_RB)*VD_VIN</f>
        <v>0.409170052234475</v>
      </c>
      <c r="Y59" s="27" t="n">
        <f aca="false">RBMIN+(RBMAX-RBMIN)*V59/RESTEPS</f>
        <v>2256</v>
      </c>
      <c r="Z59" s="28" t="n">
        <f aca="false">Y59/(VD_RA+Y59)*VD_VIN</f>
        <v>0.105328685258964</v>
      </c>
    </row>
    <row r="60" customFormat="false" ht="15" hidden="false" customHeight="false" outlineLevel="0" collapsed="false">
      <c r="V60" s="28" t="n">
        <v>49</v>
      </c>
      <c r="W60" s="28" t="n">
        <f aca="false">RAMIN+(RAMAX-RAMIN)*V60/RESTEPS</f>
        <v>30380</v>
      </c>
      <c r="X60" s="28" t="n">
        <f aca="false">VD_RB/(W60+VD_RB)*VD_VIN</f>
        <v>0.40193842645382</v>
      </c>
      <c r="Y60" s="27" t="n">
        <f aca="false">RBMIN+(RBMAX-RBMIN)*V60/RESTEPS</f>
        <v>2303</v>
      </c>
      <c r="Z60" s="28" t="n">
        <f aca="false">Y60/(VD_RA+Y60)*VD_VIN</f>
        <v>0.107444442716514</v>
      </c>
    </row>
    <row r="61" customFormat="false" ht="15" hidden="false" customHeight="false" outlineLevel="0" collapsed="false">
      <c r="V61" s="28" t="n">
        <v>50</v>
      </c>
      <c r="W61" s="28" t="n">
        <f aca="false">RAMIN+(RAMAX-RAMIN)*V61/RESTEPS</f>
        <v>31000</v>
      </c>
      <c r="X61" s="28" t="n">
        <f aca="false">VD_RB/(W61+VD_RB)*VD_VIN</f>
        <v>0.394957983193277</v>
      </c>
      <c r="Y61" s="27" t="n">
        <f aca="false">RBMIN+(RBMAX-RBMIN)*V61/RESTEPS</f>
        <v>2350</v>
      </c>
      <c r="Z61" s="28" t="n">
        <f aca="false">Y61/(VD_RA+Y61)*VD_VIN</f>
        <v>0.10955710955711</v>
      </c>
    </row>
    <row r="62" customFormat="false" ht="15" hidden="false" customHeight="false" outlineLevel="0" collapsed="false">
      <c r="V62" s="28" t="n">
        <v>51</v>
      </c>
      <c r="W62" s="28" t="n">
        <f aca="false">RAMIN+(RAMAX-RAMIN)*V62/RESTEPS</f>
        <v>31620</v>
      </c>
      <c r="X62" s="28" t="n">
        <f aca="false">VD_RB/(W62+VD_RB)*VD_VIN</f>
        <v>0.388215859030837</v>
      </c>
      <c r="Y62" s="27" t="n">
        <f aca="false">RBMIN+(RBMAX-RBMIN)*V62/RESTEPS</f>
        <v>2397</v>
      </c>
      <c r="Z62" s="28" t="n">
        <f aca="false">Y62/(VD_RA+Y62)*VD_VIN</f>
        <v>0.111666692547789</v>
      </c>
    </row>
    <row r="63" customFormat="false" ht="15" hidden="false" customHeight="false" outlineLevel="0" collapsed="false">
      <c r="V63" s="28" t="n">
        <v>52</v>
      </c>
      <c r="W63" s="28" t="n">
        <f aca="false">RAMIN+(RAMAX-RAMIN)*V63/RESTEPS</f>
        <v>32240</v>
      </c>
      <c r="X63" s="28" t="n">
        <f aca="false">VD_RB/(W63+VD_RB)*VD_VIN</f>
        <v>0.381700054141852</v>
      </c>
      <c r="Y63" s="27" t="n">
        <f aca="false">RBMIN+(RBMAX-RBMIN)*V63/RESTEPS</f>
        <v>2444</v>
      </c>
      <c r="Z63" s="28" t="n">
        <f aca="false">Y63/(VD_RA+Y63)*VD_VIN</f>
        <v>0.113773198435851</v>
      </c>
    </row>
    <row r="64" customFormat="false" ht="15" hidden="false" customHeight="false" outlineLevel="0" collapsed="false">
      <c r="V64" s="28" t="n">
        <v>53</v>
      </c>
      <c r="W64" s="28" t="n">
        <f aca="false">RAMIN+(RAMAX-RAMIN)*V64/RESTEPS</f>
        <v>32860</v>
      </c>
      <c r="X64" s="28" t="n">
        <f aca="false">VD_RB/(W64+VD_RB)*VD_VIN</f>
        <v>0.375399361022364</v>
      </c>
      <c r="Y64" s="27" t="n">
        <f aca="false">RBMIN+(RBMAX-RBMIN)*V64/RESTEPS</f>
        <v>2491</v>
      </c>
      <c r="Z64" s="28" t="n">
        <f aca="false">Y64/(VD_RA+Y64)*VD_VIN</f>
        <v>0.115876633948923</v>
      </c>
    </row>
    <row r="65" customFormat="false" ht="15" hidden="false" customHeight="false" outlineLevel="0" collapsed="false">
      <c r="V65" s="28" t="n">
        <v>54</v>
      </c>
      <c r="W65" s="28" t="n">
        <f aca="false">RAMIN+(RAMAX-RAMIN)*V65/RESTEPS</f>
        <v>33480</v>
      </c>
      <c r="X65" s="28" t="n">
        <f aca="false">VD_RB/(W65+VD_RB)*VD_VIN</f>
        <v>0.36930330015715</v>
      </c>
      <c r="Y65" s="27" t="n">
        <f aca="false">RBMIN+(RBMAX-RBMIN)*V65/RESTEPS</f>
        <v>2538</v>
      </c>
      <c r="Z65" s="28" t="n">
        <f aca="false">Y65/(VD_RA+Y65)*VD_VIN</f>
        <v>0.117977005795035</v>
      </c>
    </row>
    <row r="66" customFormat="false" ht="15" hidden="false" customHeight="false" outlineLevel="0" collapsed="false">
      <c r="V66" s="28" t="n">
        <v>55</v>
      </c>
      <c r="W66" s="28" t="n">
        <f aca="false">RAMIN+(RAMAX-RAMIN)*V66/RESTEPS</f>
        <v>34100</v>
      </c>
      <c r="X66" s="28" t="n">
        <f aca="false">VD_RB/(W66+VD_RB)*VD_VIN</f>
        <v>0.36340206185567</v>
      </c>
      <c r="Y66" s="27" t="n">
        <f aca="false">RBMIN+(RBMAX-RBMIN)*V66/RESTEPS</f>
        <v>2585</v>
      </c>
      <c r="Z66" s="28" t="n">
        <f aca="false">Y66/(VD_RA+Y66)*VD_VIN</f>
        <v>0.120074320662693</v>
      </c>
    </row>
    <row r="67" customFormat="false" ht="15" hidden="false" customHeight="false" outlineLevel="0" collapsed="false">
      <c r="V67" s="28" t="n">
        <v>56</v>
      </c>
      <c r="W67" s="28" t="n">
        <f aca="false">RAMIN+(RAMAX-RAMIN)*V67/RESTEPS</f>
        <v>34720</v>
      </c>
      <c r="X67" s="28" t="n">
        <f aca="false">VD_RB/(W67+VD_RB)*VD_VIN</f>
        <v>0.357686453576865</v>
      </c>
      <c r="Y67" s="27" t="n">
        <f aca="false">RBMIN+(RBMAX-RBMIN)*V67/RESTEPS</f>
        <v>2632</v>
      </c>
      <c r="Z67" s="28" t="n">
        <f aca="false">Y67/(VD_RA+Y67)*VD_VIN</f>
        <v>0.122168585220943</v>
      </c>
    </row>
    <row r="68" customFormat="false" ht="15" hidden="false" customHeight="false" outlineLevel="0" collapsed="false">
      <c r="V68" s="28" t="n">
        <v>57</v>
      </c>
      <c r="W68" s="28" t="n">
        <f aca="false">RAMIN+(RAMAX-RAMIN)*V68/RESTEPS</f>
        <v>35340</v>
      </c>
      <c r="X68" s="28" t="n">
        <f aca="false">VD_RB/(W68+VD_RB)*VD_VIN</f>
        <v>0.352147852147852</v>
      </c>
      <c r="Y68" s="27" t="n">
        <f aca="false">RBMIN+(RBMAX-RBMIN)*V68/RESTEPS</f>
        <v>2679</v>
      </c>
      <c r="Z68" s="28" t="n">
        <f aca="false">Y68/(VD_RA+Y68)*VD_VIN</f>
        <v>0.124259806119451</v>
      </c>
    </row>
    <row r="69" customFormat="false" ht="15" hidden="false" customHeight="false" outlineLevel="0" collapsed="false">
      <c r="V69" s="28" t="n">
        <v>58</v>
      </c>
      <c r="W69" s="28" t="n">
        <f aca="false">RAMIN+(RAMAX-RAMIN)*V69/RESTEPS</f>
        <v>35960</v>
      </c>
      <c r="X69" s="28" t="n">
        <f aca="false">VD_RB/(W69+VD_RB)*VD_VIN</f>
        <v>0.346778160354156</v>
      </c>
      <c r="Y69" s="27" t="n">
        <f aca="false">RBMIN+(RBMAX-RBMIN)*V69/RESTEPS</f>
        <v>2726</v>
      </c>
      <c r="Z69" s="28" t="n">
        <f aca="false">Y69/(VD_RA+Y69)*VD_VIN</f>
        <v>0.126347989988567</v>
      </c>
    </row>
    <row r="70" customFormat="false" ht="15" hidden="false" customHeight="false" outlineLevel="0" collapsed="false">
      <c r="V70" s="28" t="n">
        <v>59</v>
      </c>
      <c r="W70" s="28" t="n">
        <f aca="false">RAMIN+(RAMAX-RAMIN)*V70/RESTEPS</f>
        <v>36580</v>
      </c>
      <c r="X70" s="28" t="n">
        <f aca="false">VD_RB/(W70+VD_RB)*VD_VIN</f>
        <v>0.34156976744186</v>
      </c>
      <c r="Y70" s="27" t="n">
        <f aca="false">RBMIN+(RBMAX-RBMIN)*V70/RESTEPS</f>
        <v>2773</v>
      </c>
      <c r="Z70" s="28" t="n">
        <f aca="false">Y70/(VD_RA+Y70)*VD_VIN</f>
        <v>0.128433143439396</v>
      </c>
    </row>
    <row r="71" customFormat="false" ht="15" hidden="false" customHeight="false" outlineLevel="0" collapsed="false">
      <c r="V71" s="28" t="n">
        <v>60</v>
      </c>
      <c r="W71" s="28" t="n">
        <f aca="false">RAMIN+(RAMAX-RAMIN)*V71/RESTEPS</f>
        <v>37200</v>
      </c>
      <c r="X71" s="28" t="n">
        <f aca="false">VD_RB/(W71+VD_RB)*VD_VIN</f>
        <v>0.336515513126492</v>
      </c>
      <c r="Y71" s="27" t="n">
        <f aca="false">RBMIN+(RBMAX-RBMIN)*V71/RESTEPS</f>
        <v>2820</v>
      </c>
      <c r="Z71" s="28" t="n">
        <f aca="false">Y71/(VD_RA+Y71)*VD_VIN</f>
        <v>0.130515273063869</v>
      </c>
    </row>
    <row r="72" customFormat="false" ht="15" hidden="false" customHeight="false" outlineLevel="0" collapsed="false">
      <c r="V72" s="28" t="n">
        <v>61</v>
      </c>
      <c r="W72" s="28" t="n">
        <f aca="false">RAMIN+(RAMAX-RAMIN)*V72/RESTEPS</f>
        <v>37820</v>
      </c>
      <c r="X72" s="28" t="n">
        <f aca="false">VD_RB/(W72+VD_RB)*VD_VIN</f>
        <v>0.331608654750706</v>
      </c>
      <c r="Y72" s="27" t="n">
        <f aca="false">RBMIN+(RBMAX-RBMIN)*V72/RESTEPS</f>
        <v>2867</v>
      </c>
      <c r="Z72" s="28" t="n">
        <f aca="false">Y72/(VD_RA+Y72)*VD_VIN</f>
        <v>0.132594385434813</v>
      </c>
    </row>
    <row r="73" customFormat="false" ht="15" hidden="false" customHeight="false" outlineLevel="0" collapsed="false">
      <c r="V73" s="28" t="n">
        <v>62</v>
      </c>
      <c r="W73" s="28" t="n">
        <f aca="false">RAMIN+(RAMAX-RAMIN)*V73/RESTEPS</f>
        <v>38440</v>
      </c>
      <c r="X73" s="28" t="n">
        <f aca="false">VD_RB/(W73+VD_RB)*VD_VIN</f>
        <v>0.326842837273992</v>
      </c>
      <c r="Y73" s="27" t="n">
        <f aca="false">RBMIN+(RBMAX-RBMIN)*V73/RESTEPS</f>
        <v>2914</v>
      </c>
      <c r="Z73" s="28" t="n">
        <f aca="false">Y73/(VD_RA+Y73)*VD_VIN</f>
        <v>0.134670487106017</v>
      </c>
    </row>
    <row r="74" customFormat="false" ht="15" hidden="false" customHeight="false" outlineLevel="0" collapsed="false">
      <c r="V74" s="28" t="n">
        <v>63</v>
      </c>
      <c r="W74" s="28" t="n">
        <f aca="false">RAMIN+(RAMAX-RAMIN)*V74/RESTEPS</f>
        <v>39060</v>
      </c>
      <c r="X74" s="28" t="n">
        <f aca="false">VD_RB/(W74+VD_RB)*VD_VIN</f>
        <v>0.322212065813528</v>
      </c>
      <c r="Y74" s="27" t="n">
        <f aca="false">RBMIN+(RBMAX-RBMIN)*V74/RESTEPS</f>
        <v>2961</v>
      </c>
      <c r="Z74" s="28" t="n">
        <f aca="false">Y74/(VD_RA+Y74)*VD_VIN</f>
        <v>0.136743584612306</v>
      </c>
    </row>
    <row r="75" customFormat="false" ht="15" hidden="false" customHeight="false" outlineLevel="0" collapsed="false">
      <c r="V75" s="28" t="n">
        <v>64</v>
      </c>
      <c r="W75" s="28" t="n">
        <f aca="false">RAMIN+(RAMAX-RAMIN)*V75/RESTEPS</f>
        <v>39680</v>
      </c>
      <c r="X75" s="28" t="n">
        <f aca="false">VD_RB/(W75+VD_RB)*VD_VIN</f>
        <v>0.317710680486706</v>
      </c>
      <c r="Y75" s="27" t="n">
        <f aca="false">RBMIN+(RBMAX-RBMIN)*V75/RESTEPS</f>
        <v>3008</v>
      </c>
      <c r="Z75" s="28" t="n">
        <f aca="false">Y75/(VD_RA+Y75)*VD_VIN</f>
        <v>0.138813684469604</v>
      </c>
    </row>
    <row r="76" customFormat="false" ht="15" hidden="false" customHeight="false" outlineLevel="0" collapsed="false">
      <c r="V76" s="28" t="n">
        <v>65</v>
      </c>
      <c r="W76" s="28" t="n">
        <f aca="false">RAMIN+(RAMAX-RAMIN)*V76/RESTEPS</f>
        <v>40300</v>
      </c>
      <c r="X76" s="28" t="n">
        <f aca="false">VD_RB/(W76+VD_RB)*VD_VIN</f>
        <v>0.313333333333333</v>
      </c>
      <c r="Y76" s="27" t="n">
        <f aca="false">RBMIN+(RBMAX-RBMIN)*V76/RESTEPS</f>
        <v>3055</v>
      </c>
      <c r="Z76" s="28" t="n">
        <f aca="false">Y76/(VD_RA+Y76)*VD_VIN</f>
        <v>0.140880793175006</v>
      </c>
    </row>
    <row r="77" customFormat="false" ht="15" hidden="false" customHeight="false" outlineLevel="0" collapsed="false">
      <c r="V77" s="28" t="n">
        <v>66</v>
      </c>
      <c r="W77" s="28" t="n">
        <f aca="false">RAMIN+(RAMAX-RAMIN)*V77/RESTEPS</f>
        <v>40920</v>
      </c>
      <c r="X77" s="28" t="n">
        <f aca="false">VD_RB/(W77+VD_RB)*VD_VIN</f>
        <v>0.309074967119684</v>
      </c>
      <c r="Y77" s="27" t="n">
        <f aca="false">RBMIN+(RBMAX-RBMIN)*V77/RESTEPS</f>
        <v>3102</v>
      </c>
      <c r="Z77" s="28" t="n">
        <f aca="false">Y77/(VD_RA+Y77)*VD_VIN</f>
        <v>0.142944917206845</v>
      </c>
    </row>
    <row r="78" customFormat="false" ht="15" hidden="false" customHeight="false" outlineLevel="0" collapsed="false">
      <c r="V78" s="28" t="n">
        <v>67</v>
      </c>
      <c r="W78" s="28" t="n">
        <f aca="false">RAMIN+(RAMAX-RAMIN)*V78/RESTEPS</f>
        <v>41540</v>
      </c>
      <c r="X78" s="28" t="n">
        <f aca="false">VD_RB/(W78+VD_RB)*VD_VIN</f>
        <v>0.304930795847751</v>
      </c>
      <c r="Y78" s="27" t="n">
        <f aca="false">RBMIN+(RBMAX-RBMIN)*V78/RESTEPS</f>
        <v>3149</v>
      </c>
      <c r="Z78" s="28" t="n">
        <f aca="false">Y78/(VD_RA+Y78)*VD_VIN</f>
        <v>0.145006063024759</v>
      </c>
    </row>
    <row r="79" customFormat="false" ht="15" hidden="false" customHeight="false" outlineLevel="0" collapsed="false">
      <c r="V79" s="28" t="n">
        <v>68</v>
      </c>
      <c r="W79" s="28" t="n">
        <f aca="false">RAMIN+(RAMAX-RAMIN)*V79/RESTEPS</f>
        <v>42160</v>
      </c>
      <c r="X79" s="28" t="n">
        <f aca="false">VD_RB/(W79+VD_RB)*VD_VIN</f>
        <v>0.30089628681178</v>
      </c>
      <c r="Y79" s="27" t="n">
        <f aca="false">RBMIN+(RBMAX-RBMIN)*V79/RESTEPS</f>
        <v>3196</v>
      </c>
      <c r="Z79" s="28" t="n">
        <f aca="false">Y79/(VD_RA+Y79)*VD_VIN</f>
        <v>0.147064237069759</v>
      </c>
    </row>
    <row r="80" customFormat="false" ht="15" hidden="false" customHeight="false" outlineLevel="0" collapsed="false">
      <c r="V80" s="28" t="n">
        <v>69</v>
      </c>
      <c r="W80" s="28" t="n">
        <f aca="false">RAMIN+(RAMAX-RAMIN)*V80/RESTEPS</f>
        <v>42780</v>
      </c>
      <c r="X80" s="28" t="n">
        <f aca="false">VD_RB/(W80+VD_RB)*VD_VIN</f>
        <v>0.296967144060657</v>
      </c>
      <c r="Y80" s="27" t="n">
        <f aca="false">RBMIN+(RBMAX-RBMIN)*V80/RESTEPS</f>
        <v>3243</v>
      </c>
      <c r="Z80" s="28" t="n">
        <f aca="false">Y80/(VD_RA+Y80)*VD_VIN</f>
        <v>0.149119445764297</v>
      </c>
    </row>
    <row r="81" customFormat="false" ht="15" hidden="false" customHeight="false" outlineLevel="0" collapsed="false">
      <c r="V81" s="28" t="n">
        <v>70</v>
      </c>
      <c r="W81" s="28" t="n">
        <f aca="false">RAMIN+(RAMAX-RAMIN)*V81/RESTEPS</f>
        <v>43400</v>
      </c>
      <c r="X81" s="28" t="n">
        <f aca="false">VD_RB/(W81+VD_RB)*VD_VIN</f>
        <v>0.293139293139293</v>
      </c>
      <c r="Y81" s="27" t="n">
        <f aca="false">RBMIN+(RBMAX-RBMIN)*V81/RESTEPS</f>
        <v>3290</v>
      </c>
      <c r="Z81" s="28" t="n">
        <f aca="false">Y81/(VD_RA+Y81)*VD_VIN</f>
        <v>0.15117169551233</v>
      </c>
    </row>
    <row r="82" customFormat="false" ht="15" hidden="false" customHeight="false" outlineLevel="0" collapsed="false">
      <c r="V82" s="28" t="n">
        <v>71</v>
      </c>
      <c r="W82" s="28" t="n">
        <f aca="false">RAMIN+(RAMAX-RAMIN)*V82/RESTEPS</f>
        <v>44020</v>
      </c>
      <c r="X82" s="28" t="n">
        <f aca="false">VD_RB/(W82+VD_RB)*VD_VIN</f>
        <v>0.289408866995074</v>
      </c>
      <c r="Y82" s="27" t="n">
        <f aca="false">RBMIN+(RBMAX-RBMIN)*V82/RESTEPS</f>
        <v>3337</v>
      </c>
      <c r="Z82" s="28" t="n">
        <f aca="false">Y82/(VD_RA+Y82)*VD_VIN</f>
        <v>0.153220992699389</v>
      </c>
    </row>
    <row r="83" customFormat="false" ht="15" hidden="false" customHeight="false" outlineLevel="0" collapsed="false">
      <c r="V83" s="28" t="n">
        <v>72</v>
      </c>
      <c r="W83" s="28" t="n">
        <f aca="false">RAMIN+(RAMAX-RAMIN)*V83/RESTEPS</f>
        <v>44640</v>
      </c>
      <c r="X83" s="28" t="n">
        <f aca="false">VD_RB/(W83+VD_RB)*VD_VIN</f>
        <v>0.285772192946899</v>
      </c>
      <c r="Y83" s="27" t="n">
        <f aca="false">RBMIN+(RBMAX-RBMIN)*V83/RESTEPS</f>
        <v>3384</v>
      </c>
      <c r="Z83" s="28" t="n">
        <f aca="false">Y83/(VD_RA+Y83)*VD_VIN</f>
        <v>0.155267343692647</v>
      </c>
    </row>
    <row r="84" customFormat="false" ht="15" hidden="false" customHeight="false" outlineLevel="0" collapsed="false">
      <c r="V84" s="28" t="n">
        <v>73</v>
      </c>
      <c r="W84" s="28" t="n">
        <f aca="false">RAMIN+(RAMAX-RAMIN)*V84/RESTEPS</f>
        <v>45260</v>
      </c>
      <c r="X84" s="28" t="n">
        <f aca="false">VD_RB/(W84+VD_RB)*VD_VIN</f>
        <v>0.2822257806245</v>
      </c>
      <c r="Y84" s="27" t="n">
        <f aca="false">RBMIN+(RBMAX-RBMIN)*V84/RESTEPS</f>
        <v>3431</v>
      </c>
      <c r="Z84" s="28" t="n">
        <f aca="false">Y84/(VD_RA+Y84)*VD_VIN</f>
        <v>0.157310754840978</v>
      </c>
    </row>
    <row r="85" customFormat="false" ht="15" hidden="false" customHeight="false" outlineLevel="0" collapsed="false">
      <c r="V85" s="28" t="n">
        <v>74</v>
      </c>
      <c r="W85" s="28" t="n">
        <f aca="false">RAMIN+(RAMAX-RAMIN)*V85/RESTEPS</f>
        <v>45880</v>
      </c>
      <c r="X85" s="28" t="n">
        <f aca="false">VD_RB/(W85+VD_RB)*VD_VIN</f>
        <v>0.278766310794781</v>
      </c>
      <c r="Y85" s="27" t="n">
        <f aca="false">RBMIN+(RBMAX-RBMIN)*V85/RESTEPS</f>
        <v>3478</v>
      </c>
      <c r="Z85" s="28" t="n">
        <f aca="false">Y85/(VD_RA+Y85)*VD_VIN</f>
        <v>0.15935123247503</v>
      </c>
    </row>
    <row r="86" customFormat="false" ht="15" hidden="false" customHeight="false" outlineLevel="0" collapsed="false">
      <c r="V86" s="28" t="n">
        <v>75</v>
      </c>
      <c r="W86" s="28" t="n">
        <f aca="false">RAMIN+(RAMAX-RAMIN)*V86/RESTEPS</f>
        <v>46500</v>
      </c>
      <c r="X86" s="28" t="n">
        <f aca="false">VD_RB/(W86+VD_RB)*VD_VIN</f>
        <v>0.275390625</v>
      </c>
      <c r="Y86" s="27" t="n">
        <f aca="false">RBMIN+(RBMAX-RBMIN)*V86/RESTEPS</f>
        <v>3525</v>
      </c>
      <c r="Z86" s="28" t="n">
        <f aca="false">Y86/(VD_RA+Y86)*VD_VIN</f>
        <v>0.161388782907287</v>
      </c>
    </row>
    <row r="87" customFormat="false" ht="15" hidden="false" customHeight="false" outlineLevel="0" collapsed="false">
      <c r="V87" s="28" t="n">
        <v>76</v>
      </c>
      <c r="W87" s="28" t="n">
        <f aca="false">RAMIN+(RAMAX-RAMIN)*V87/RESTEPS</f>
        <v>47120</v>
      </c>
      <c r="X87" s="28" t="n">
        <f aca="false">VD_RB/(W87+VD_RB)*VD_VIN</f>
        <v>0.272095715939792</v>
      </c>
      <c r="Y87" s="27" t="n">
        <f aca="false">RBMIN+(RBMAX-RBMIN)*V87/RESTEPS</f>
        <v>3572</v>
      </c>
      <c r="Z87" s="28" t="n">
        <f aca="false">Y87/(VD_RA+Y87)*VD_VIN</f>
        <v>0.163423412432136</v>
      </c>
    </row>
    <row r="88" customFormat="false" ht="15" hidden="false" customHeight="false" outlineLevel="0" collapsed="false">
      <c r="V88" s="28" t="n">
        <v>77</v>
      </c>
      <c r="W88" s="28" t="n">
        <f aca="false">RAMIN+(RAMAX-RAMIN)*V88/RESTEPS</f>
        <v>47740</v>
      </c>
      <c r="X88" s="28" t="n">
        <f aca="false">VD_RB/(W88+VD_RB)*VD_VIN</f>
        <v>0.268878718535469</v>
      </c>
      <c r="Y88" s="27" t="n">
        <f aca="false">RBMIN+(RBMAX-RBMIN)*V88/RESTEPS</f>
        <v>3619</v>
      </c>
      <c r="Z88" s="28" t="n">
        <f aca="false">Y88/(VD_RA+Y88)*VD_VIN</f>
        <v>0.165455127325927</v>
      </c>
    </row>
    <row r="89" customFormat="false" ht="15" hidden="false" customHeight="false" outlineLevel="0" collapsed="false">
      <c r="V89" s="28" t="n">
        <v>78</v>
      </c>
      <c r="W89" s="28" t="n">
        <f aca="false">RAMIN+(RAMAX-RAMIN)*V89/RESTEPS</f>
        <v>48360</v>
      </c>
      <c r="X89" s="28" t="n">
        <f aca="false">VD_RB/(W89+VD_RB)*VD_VIN</f>
        <v>0.265736901620807</v>
      </c>
      <c r="Y89" s="27" t="n">
        <f aca="false">RBMIN+(RBMAX-RBMIN)*V89/RESTEPS</f>
        <v>3666</v>
      </c>
      <c r="Z89" s="28" t="n">
        <f aca="false">Y89/(VD_RA+Y89)*VD_VIN</f>
        <v>0.167483933847044</v>
      </c>
    </row>
    <row r="90" customFormat="false" ht="15" hidden="false" customHeight="false" outlineLevel="0" collapsed="false">
      <c r="V90" s="28" t="n">
        <v>79</v>
      </c>
      <c r="W90" s="28" t="n">
        <f aca="false">RAMIN+(RAMAX-RAMIN)*V90/RESTEPS</f>
        <v>48980</v>
      </c>
      <c r="X90" s="28" t="n">
        <f aca="false">VD_RB/(W90+VD_RB)*VD_VIN</f>
        <v>0.262667660208644</v>
      </c>
      <c r="Y90" s="27" t="n">
        <f aca="false">RBMIN+(RBMAX-RBMIN)*V90/RESTEPS</f>
        <v>3713</v>
      </c>
      <c r="Z90" s="28" t="n">
        <f aca="false">Y90/(VD_RA+Y90)*VD_VIN</f>
        <v>0.169509838235966</v>
      </c>
    </row>
    <row r="91" customFormat="false" ht="15" hidden="false" customHeight="false" outlineLevel="0" collapsed="false">
      <c r="V91" s="28" t="n">
        <v>80</v>
      </c>
      <c r="W91" s="28" t="n">
        <f aca="false">RAMIN+(RAMAX-RAMIN)*V91/RESTEPS</f>
        <v>49600</v>
      </c>
      <c r="X91" s="28" t="n">
        <f aca="false">VD_RB/(W91+VD_RB)*VD_VIN</f>
        <v>0.259668508287293</v>
      </c>
      <c r="Y91" s="27" t="n">
        <f aca="false">RBMIN+(RBMAX-RBMIN)*V91/RESTEPS</f>
        <v>3760</v>
      </c>
      <c r="Z91" s="28" t="n">
        <f aca="false">Y91/(VD_RA+Y91)*VD_VIN</f>
        <v>0.171532846715328</v>
      </c>
    </row>
    <row r="92" customFormat="false" ht="15" hidden="false" customHeight="false" outlineLevel="0" collapsed="false">
      <c r="V92" s="28" t="n">
        <v>81</v>
      </c>
      <c r="W92" s="28" t="n">
        <f aca="false">RAMIN+(RAMAX-RAMIN)*V92/RESTEPS</f>
        <v>50220</v>
      </c>
      <c r="X92" s="28" t="n">
        <f aca="false">VD_RB/(W92+VD_RB)*VD_VIN</f>
        <v>0.25673707210488</v>
      </c>
      <c r="Y92" s="27" t="n">
        <f aca="false">RBMIN+(RBMAX-RBMIN)*V92/RESTEPS</f>
        <v>3807</v>
      </c>
      <c r="Z92" s="28" t="n">
        <f aca="false">Y92/(VD_RA+Y92)*VD_VIN</f>
        <v>0.173552965489993</v>
      </c>
    </row>
    <row r="93" customFormat="false" ht="15" hidden="false" customHeight="false" outlineLevel="0" collapsed="false">
      <c r="V93" s="28" t="n">
        <v>82</v>
      </c>
      <c r="W93" s="28" t="n">
        <f aca="false">RAMIN+(RAMAX-RAMIN)*V93/RESTEPS</f>
        <v>50840</v>
      </c>
      <c r="X93" s="28" t="n">
        <f aca="false">VD_RB/(W93+VD_RB)*VD_VIN</f>
        <v>0.253871083903493</v>
      </c>
      <c r="Y93" s="27" t="n">
        <f aca="false">RBMIN+(RBMAX-RBMIN)*V93/RESTEPS</f>
        <v>3854</v>
      </c>
      <c r="Z93" s="28" t="n">
        <f aca="false">Y93/(VD_RA+Y93)*VD_VIN</f>
        <v>0.175570200747107</v>
      </c>
    </row>
    <row r="94" customFormat="false" ht="15" hidden="false" customHeight="false" outlineLevel="0" collapsed="false">
      <c r="V94" s="28" t="n">
        <v>83</v>
      </c>
      <c r="W94" s="28" t="n">
        <f aca="false">RAMIN+(RAMAX-RAMIN)*V94/RESTEPS</f>
        <v>51460</v>
      </c>
      <c r="X94" s="28" t="n">
        <f aca="false">VD_RB/(W94+VD_RB)*VD_VIN</f>
        <v>0.251068376068376</v>
      </c>
      <c r="Y94" s="27" t="n">
        <f aca="false">RBMIN+(RBMAX-RBMIN)*V94/RESTEPS</f>
        <v>3901</v>
      </c>
      <c r="Z94" s="28" t="n">
        <f aca="false">Y94/(VD_RA+Y94)*VD_VIN</f>
        <v>0.177584558656166</v>
      </c>
    </row>
    <row r="95" customFormat="false" ht="15" hidden="false" customHeight="false" outlineLevel="0" collapsed="false">
      <c r="V95" s="28" t="n">
        <v>84</v>
      </c>
      <c r="W95" s="28" t="n">
        <f aca="false">RAMIN+(RAMAX-RAMIN)*V95/RESTEPS</f>
        <v>52080</v>
      </c>
      <c r="X95" s="28" t="n">
        <f aca="false">VD_RB/(W95+VD_RB)*VD_VIN</f>
        <v>0.248326875660444</v>
      </c>
      <c r="Y95" s="27" t="n">
        <f aca="false">RBMIN+(RBMAX-RBMIN)*V95/RESTEPS</f>
        <v>3948</v>
      </c>
      <c r="Z95" s="28" t="n">
        <f aca="false">Y95/(VD_RA+Y95)*VD_VIN</f>
        <v>0.179596045369079</v>
      </c>
    </row>
    <row r="96" customFormat="false" ht="15" hidden="false" customHeight="false" outlineLevel="0" collapsed="false">
      <c r="V96" s="28" t="n">
        <v>85</v>
      </c>
      <c r="W96" s="28" t="n">
        <f aca="false">RAMIN+(RAMAX-RAMIN)*V96/RESTEPS</f>
        <v>52700</v>
      </c>
      <c r="X96" s="28" t="n">
        <f aca="false">VD_RB/(W96+VD_RB)*VD_VIN</f>
        <v>0.245644599303136</v>
      </c>
      <c r="Y96" s="27" t="n">
        <f aca="false">RBMIN+(RBMAX-RBMIN)*V96/RESTEPS</f>
        <v>3995</v>
      </c>
      <c r="Z96" s="28" t="n">
        <f aca="false">Y96/(VD_RA+Y96)*VD_VIN</f>
        <v>0.181604667020229</v>
      </c>
    </row>
    <row r="97" customFormat="false" ht="15" hidden="false" customHeight="false" outlineLevel="0" collapsed="false">
      <c r="V97" s="28" t="n">
        <v>86</v>
      </c>
      <c r="W97" s="28" t="n">
        <f aca="false">RAMIN+(RAMAX-RAMIN)*V97/RESTEPS</f>
        <v>53320</v>
      </c>
      <c r="X97" s="28" t="n">
        <f aca="false">VD_RB/(W97+VD_RB)*VD_VIN</f>
        <v>0.243019648397104</v>
      </c>
      <c r="Y97" s="27" t="n">
        <f aca="false">RBMIN+(RBMAX-RBMIN)*V97/RESTEPS</f>
        <v>4042</v>
      </c>
      <c r="Z97" s="28" t="n">
        <f aca="false">Y97/(VD_RA+Y97)*VD_VIN</f>
        <v>0.183610429726538</v>
      </c>
    </row>
    <row r="98" customFormat="false" ht="15" hidden="false" customHeight="false" outlineLevel="0" collapsed="false">
      <c r="V98" s="28" t="n">
        <v>87</v>
      </c>
      <c r="W98" s="28" t="n">
        <f aca="false">RAMIN+(RAMAX-RAMIN)*V98/RESTEPS</f>
        <v>53940</v>
      </c>
      <c r="X98" s="28" t="n">
        <f aca="false">VD_RB/(W98+VD_RB)*VD_VIN</f>
        <v>0.240450204638472</v>
      </c>
      <c r="Y98" s="27" t="n">
        <f aca="false">RBMIN+(RBMAX-RBMIN)*V98/RESTEPS</f>
        <v>4089</v>
      </c>
      <c r="Z98" s="28" t="n">
        <f aca="false">Y98/(VD_RA+Y98)*VD_VIN</f>
        <v>0.185613339587526</v>
      </c>
    </row>
    <row r="99" customFormat="false" ht="15" hidden="false" customHeight="false" outlineLevel="0" collapsed="false">
      <c r="V99" s="28" t="n">
        <v>88</v>
      </c>
      <c r="W99" s="28" t="n">
        <f aca="false">RAMIN+(RAMAX-RAMIN)*V99/RESTEPS</f>
        <v>54560</v>
      </c>
      <c r="X99" s="28" t="n">
        <f aca="false">VD_RB/(W99+VD_RB)*VD_VIN</f>
        <v>0.237934525818427</v>
      </c>
      <c r="Y99" s="27" t="n">
        <f aca="false">RBMIN+(RBMAX-RBMIN)*V99/RESTEPS</f>
        <v>4136</v>
      </c>
      <c r="Z99" s="28" t="n">
        <f aca="false">Y99/(VD_RA+Y99)*VD_VIN</f>
        <v>0.187613402685376</v>
      </c>
    </row>
    <row r="100" customFormat="false" ht="15" hidden="false" customHeight="false" outlineLevel="0" collapsed="false">
      <c r="V100" s="28" t="n">
        <v>89</v>
      </c>
      <c r="W100" s="28" t="n">
        <f aca="false">RAMIN+(RAMAX-RAMIN)*V100/RESTEPS</f>
        <v>55180</v>
      </c>
      <c r="X100" s="28" t="n">
        <f aca="false">VD_RB/(W100+VD_RB)*VD_VIN</f>
        <v>0.235470941883768</v>
      </c>
      <c r="Y100" s="27" t="n">
        <f aca="false">RBMIN+(RBMAX-RBMIN)*V100/RESTEPS</f>
        <v>4183</v>
      </c>
      <c r="Z100" s="28" t="n">
        <f aca="false">Y100/(VD_RA+Y100)*VD_VIN</f>
        <v>0.189610625084992</v>
      </c>
    </row>
    <row r="101" customFormat="false" ht="15" hidden="false" customHeight="false" outlineLevel="0" collapsed="false">
      <c r="V101" s="28" t="n">
        <v>90</v>
      </c>
      <c r="W101" s="28" t="n">
        <f aca="false">RAMIN+(RAMAX-RAMIN)*V101/RESTEPS</f>
        <v>55800</v>
      </c>
      <c r="X101" s="28" t="n">
        <f aca="false">VD_RB/(W101+VD_RB)*VD_VIN</f>
        <v>0.233057851239669</v>
      </c>
      <c r="Y101" s="27" t="n">
        <f aca="false">RBMIN+(RBMAX-RBMIN)*V101/RESTEPS</f>
        <v>4230</v>
      </c>
      <c r="Z101" s="28" t="n">
        <f aca="false">Y101/(VD_RA+Y101)*VD_VIN</f>
        <v>0.191605012834063</v>
      </c>
    </row>
    <row r="102" customFormat="false" ht="15" hidden="false" customHeight="false" outlineLevel="0" collapsed="false">
      <c r="V102" s="28" t="n">
        <v>91</v>
      </c>
      <c r="W102" s="28" t="n">
        <f aca="false">RAMIN+(RAMAX-RAMIN)*V102/RESTEPS</f>
        <v>56420</v>
      </c>
      <c r="X102" s="28" t="n">
        <f aca="false">VD_RB/(W102+VD_RB)*VD_VIN</f>
        <v>0.230693717277487</v>
      </c>
      <c r="Y102" s="27" t="n">
        <f aca="false">RBMIN+(RBMAX-RBMIN)*V102/RESTEPS</f>
        <v>4277</v>
      </c>
      <c r="Z102" s="28" t="n">
        <f aca="false">Y102/(VD_RA+Y102)*VD_VIN</f>
        <v>0.193596571963124</v>
      </c>
    </row>
    <row r="103" customFormat="false" ht="15" hidden="false" customHeight="false" outlineLevel="0" collapsed="false">
      <c r="V103" s="28" t="n">
        <v>92</v>
      </c>
      <c r="W103" s="28" t="n">
        <f aca="false">RAMIN+(RAMAX-RAMIN)*V103/RESTEPS</f>
        <v>57040</v>
      </c>
      <c r="X103" s="28" t="n">
        <f aca="false">VD_RB/(W103+VD_RB)*VD_VIN</f>
        <v>0.228377065111759</v>
      </c>
      <c r="Y103" s="27" t="n">
        <f aca="false">RBMIN+(RBMAX-RBMIN)*V103/RESTEPS</f>
        <v>4324</v>
      </c>
      <c r="Z103" s="28" t="n">
        <f aca="false">Y103/(VD_RA+Y103)*VD_VIN</f>
        <v>0.195585308485616</v>
      </c>
    </row>
    <row r="104" customFormat="false" ht="15" hidden="false" customHeight="false" outlineLevel="0" collapsed="false">
      <c r="V104" s="28" t="n">
        <v>93</v>
      </c>
      <c r="W104" s="28" t="n">
        <f aca="false">RAMIN+(RAMAX-RAMIN)*V104/RESTEPS</f>
        <v>57660</v>
      </c>
      <c r="X104" s="28" t="n">
        <f aca="false">VD_RB/(W104+VD_RB)*VD_VIN</f>
        <v>0.226106478511867</v>
      </c>
      <c r="Y104" s="27" t="n">
        <f aca="false">RBMIN+(RBMAX-RBMIN)*V104/RESTEPS</f>
        <v>4371</v>
      </c>
      <c r="Z104" s="28" t="n">
        <f aca="false">Y104/(VD_RA+Y104)*VD_VIN</f>
        <v>0.197571228397945</v>
      </c>
    </row>
    <row r="105" customFormat="false" ht="15" hidden="false" customHeight="false" outlineLevel="0" collapsed="false">
      <c r="V105" s="28" t="n">
        <v>94</v>
      </c>
      <c r="W105" s="28" t="n">
        <f aca="false">RAMIN+(RAMAX-RAMIN)*V105/RESTEPS</f>
        <v>58280</v>
      </c>
      <c r="X105" s="28" t="n">
        <f aca="false">VD_RB/(W105+VD_RB)*VD_VIN</f>
        <v>0.223880597014925</v>
      </c>
      <c r="Y105" s="27" t="n">
        <f aca="false">RBMIN+(RBMAX-RBMIN)*V105/RESTEPS</f>
        <v>4418</v>
      </c>
      <c r="Z105" s="28" t="n">
        <f aca="false">Y105/(VD_RA+Y105)*VD_VIN</f>
        <v>0.199554337679545</v>
      </c>
    </row>
    <row r="106" customFormat="false" ht="15" hidden="false" customHeight="false" outlineLevel="0" collapsed="false">
      <c r="V106" s="28" t="n">
        <v>95</v>
      </c>
      <c r="W106" s="28" t="n">
        <f aca="false">RAMIN+(RAMAX-RAMIN)*V106/RESTEPS</f>
        <v>58900</v>
      </c>
      <c r="X106" s="28" t="n">
        <f aca="false">VD_RB/(W106+VD_RB)*VD_VIN</f>
        <v>0.221698113207547</v>
      </c>
      <c r="Y106" s="27" t="n">
        <f aca="false">RBMIN+(RBMAX-RBMIN)*V106/RESTEPS</f>
        <v>4465</v>
      </c>
      <c r="Z106" s="28" t="n">
        <f aca="false">Y106/(VD_RA+Y106)*VD_VIN</f>
        <v>0.201534642292936</v>
      </c>
    </row>
    <row r="107" customFormat="false" ht="15" hidden="false" customHeight="false" outlineLevel="0" collapsed="false">
      <c r="V107" s="28" t="n">
        <v>96</v>
      </c>
      <c r="W107" s="28" t="n">
        <f aca="false">RAMIN+(RAMAX-RAMIN)*V107/RESTEPS</f>
        <v>59520</v>
      </c>
      <c r="X107" s="28" t="n">
        <f aca="false">VD_RB/(W107+VD_RB)*VD_VIN</f>
        <v>0.219557770165058</v>
      </c>
      <c r="Y107" s="27" t="n">
        <f aca="false">RBMIN+(RBMAX-RBMIN)*V107/RESTEPS</f>
        <v>4512</v>
      </c>
      <c r="Z107" s="28" t="n">
        <f aca="false">Y107/(VD_RA+Y107)*VD_VIN</f>
        <v>0.203512148183786</v>
      </c>
    </row>
    <row r="108" customFormat="false" ht="15" hidden="false" customHeight="false" outlineLevel="0" collapsed="false">
      <c r="V108" s="28" t="n">
        <v>97</v>
      </c>
      <c r="W108" s="28" t="n">
        <f aca="false">RAMIN+(RAMAX-RAMIN)*V108/RESTEPS</f>
        <v>60140</v>
      </c>
      <c r="X108" s="28" t="n">
        <f aca="false">VD_RB/(W108+VD_RB)*VD_VIN</f>
        <v>0.217458359037631</v>
      </c>
      <c r="Y108" s="27" t="n">
        <f aca="false">RBMIN+(RBMAX-RBMIN)*V108/RESTEPS</f>
        <v>4559</v>
      </c>
      <c r="Z108" s="28" t="n">
        <f aca="false">Y108/(VD_RA+Y108)*VD_VIN</f>
        <v>0.205486861280969</v>
      </c>
    </row>
    <row r="109" customFormat="false" ht="15" hidden="false" customHeight="false" outlineLevel="0" collapsed="false">
      <c r="V109" s="28" t="n">
        <v>98</v>
      </c>
      <c r="W109" s="28" t="n">
        <f aca="false">RAMIN+(RAMAX-RAMIN)*V109/RESTEPS</f>
        <v>60760</v>
      </c>
      <c r="X109" s="28" t="n">
        <f aca="false">VD_RB/(W109+VD_RB)*VD_VIN</f>
        <v>0.215398716773602</v>
      </c>
      <c r="Y109" s="27" t="n">
        <f aca="false">RBMIN+(RBMAX-RBMIN)*V109/RESTEPS</f>
        <v>4606</v>
      </c>
      <c r="Z109" s="28" t="n">
        <f aca="false">Y109/(VD_RA+Y109)*VD_VIN</f>
        <v>0.207458787496622</v>
      </c>
    </row>
    <row r="110" customFormat="false" ht="15" hidden="false" customHeight="false" outlineLevel="0" collapsed="false">
      <c r="V110" s="28" t="n">
        <v>99</v>
      </c>
      <c r="W110" s="28" t="n">
        <f aca="false">RAMIN+(RAMAX-RAMIN)*V110/RESTEPS</f>
        <v>61380</v>
      </c>
      <c r="X110" s="28" t="n">
        <f aca="false">VD_RB/(W110+VD_RB)*VD_VIN</f>
        <v>0.213377723970944</v>
      </c>
      <c r="Y110" s="27" t="n">
        <f aca="false">RBMIN+(RBMAX-RBMIN)*V110/RESTEPS</f>
        <v>4653</v>
      </c>
      <c r="Z110" s="28" t="n">
        <f aca="false">Y110/(VD_RA+Y110)*VD_VIN</f>
        <v>0.209427932726209</v>
      </c>
    </row>
    <row r="111" customFormat="false" ht="15" hidden="false" customHeight="false" outlineLevel="0" collapsed="false">
      <c r="V111" s="28" t="n">
        <v>100</v>
      </c>
      <c r="W111" s="28" t="n">
        <f aca="false">RAMIN+(RAMAX-RAMIN)*V111/RESTEPS</f>
        <v>62000</v>
      </c>
      <c r="X111" s="28" t="n">
        <f aca="false">VD_RB/(W111+VD_RB)*VD_VIN</f>
        <v>0.211394302848576</v>
      </c>
      <c r="Y111" s="27" t="n">
        <f aca="false">RBMIN+(RBMAX-RBMIN)*V111/RESTEPS</f>
        <v>4700</v>
      </c>
      <c r="Z111" s="28" t="n">
        <f aca="false">Y111/(VD_RA+Y111)*VD_VIN</f>
        <v>0.211394302848576</v>
      </c>
    </row>
    <row r="1048576" customFormat="false" ht="12.8" hidden="false" customHeight="false" outlineLevel="0" collapsed="false"/>
  </sheetData>
  <mergeCells count="17">
    <mergeCell ref="M2:T2"/>
    <mergeCell ref="C3:C4"/>
    <mergeCell ref="D3:E4"/>
    <mergeCell ref="C5:C6"/>
    <mergeCell ref="I5:I6"/>
    <mergeCell ref="C7:C8"/>
    <mergeCell ref="D7:E8"/>
    <mergeCell ref="M8:T8"/>
    <mergeCell ref="W8:Z8"/>
    <mergeCell ref="I11:K11"/>
    <mergeCell ref="M11:O11"/>
    <mergeCell ref="Q11:S11"/>
    <mergeCell ref="C19:F20"/>
    <mergeCell ref="G19:G20"/>
    <mergeCell ref="M22:N22"/>
    <mergeCell ref="Q22:S23"/>
    <mergeCell ref="I24:S24"/>
  </mergeCells>
  <conditionalFormatting sqref="J19">
    <cfRule type="cellIs" priority="2" operator="greaterThan" aboveAverage="0" equalAverage="0" bottom="0" percent="0" rank="0" text="" dxfId="0">
      <formula>1023</formula>
    </cfRule>
  </conditionalFormatting>
  <conditionalFormatting sqref="N19 R19">
    <cfRule type="cellIs" priority="3" operator="greaterThan" aboveAverage="0" equalAverage="0" bottom="0" percent="0" rank="0" text="" dxfId="0">
      <formula>1023</formula>
    </cfRule>
  </conditionalFormatting>
  <conditionalFormatting sqref="J20 N20 R20">
    <cfRule type="cellIs" priority="4" operator="greaterThan" aboveAverage="0" equalAverage="0" bottom="0" percent="0" rank="0" text="" dxfId="0">
      <formula>255</formula>
    </cfRule>
  </conditionalFormatting>
  <conditionalFormatting sqref="J21 N21 R21">
    <cfRule type="cellIs" priority="5" operator="greaterThan" aboveAverage="0" equalAverage="0" bottom="0" percent="0" rank="0" text="" dxfId="0">
      <formula>4095</formula>
    </cfRule>
  </conditionalFormatting>
  <dataValidations count="1">
    <dataValidation allowBlank="true" error="Wrong voltage type selected" errorStyle="stop" errorTitle="Error" operator="between" prompt="Select type of voltage: DC or SINE (AC)" showDropDown="false" showErrorMessage="true" showInputMessage="true" sqref="N23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V29" activeCellId="0" sqref="V29"/>
    </sheetView>
  </sheetViews>
  <sheetFormatPr defaultColWidth="7.89453125" defaultRowHeight="15" zeroHeight="false" outlineLevelRow="0" outlineLevelCol="0"/>
  <cols>
    <col collapsed="false" customWidth="true" hidden="false" outlineLevel="0" max="4" min="3" style="1" width="2.99"/>
    <col collapsed="false" customWidth="true" hidden="false" outlineLevel="0" max="5" min="5" style="1" width="5.07"/>
    <col collapsed="false" customWidth="true" hidden="false" outlineLevel="0" max="6" min="6" style="1" width="10.92"/>
    <col collapsed="false" customWidth="true" hidden="false" outlineLevel="0" max="7" min="7" style="1" width="2.99"/>
    <col collapsed="false" customWidth="true" hidden="false" outlineLevel="0" max="8" min="8" style="1" width="1.69"/>
    <col collapsed="false" customWidth="true" hidden="false" outlineLevel="0" max="9" min="9" style="1" width="5.07"/>
    <col collapsed="false" customWidth="true" hidden="false" outlineLevel="0" max="10" min="10" style="1" width="10.92"/>
    <col collapsed="false" customWidth="true" hidden="false" outlineLevel="0" max="11" min="11" style="1" width="2.99"/>
    <col collapsed="false" customWidth="true" hidden="false" outlineLevel="0" max="12" min="12" style="1" width="1.95"/>
  </cols>
  <sheetData>
    <row r="1" customFormat="false" ht="15" hidden="false" customHeight="false" outlineLevel="0" collapsed="false">
      <c r="A1" s="142" t="s">
        <v>114</v>
      </c>
      <c r="E1" s="142" t="s">
        <v>115</v>
      </c>
    </row>
    <row r="2" customFormat="false" ht="15" hidden="false" customHeight="false" outlineLevel="0" collapsed="false">
      <c r="E2" s="147" t="s">
        <v>116</v>
      </c>
    </row>
    <row r="3" customFormat="false" ht="18" hidden="false" customHeight="false" outlineLevel="0" collapsed="false">
      <c r="A3" s="148" t="s">
        <v>117</v>
      </c>
      <c r="B3" s="149" t="n">
        <v>129</v>
      </c>
      <c r="C3" s="10" t="s">
        <v>118</v>
      </c>
    </row>
    <row r="4" customFormat="false" ht="18" hidden="false" customHeight="false" outlineLevel="0" collapsed="false">
      <c r="A4" s="148" t="s">
        <v>119</v>
      </c>
      <c r="B4" s="149" t="n">
        <v>34</v>
      </c>
      <c r="C4" s="10" t="s">
        <v>118</v>
      </c>
    </row>
    <row r="5" customFormat="false" ht="18" hidden="false" customHeight="false" outlineLevel="0" collapsed="false">
      <c r="A5" s="148" t="s">
        <v>120</v>
      </c>
      <c r="B5" s="149" t="n">
        <v>40</v>
      </c>
      <c r="C5" s="10" t="s">
        <v>118</v>
      </c>
      <c r="E5" s="15" t="s">
        <v>121</v>
      </c>
      <c r="F5" s="15"/>
      <c r="G5" s="15"/>
      <c r="H5" s="15"/>
      <c r="I5" s="15"/>
      <c r="J5" s="15"/>
      <c r="K5" s="15"/>
    </row>
    <row r="6" customFormat="false" ht="18" hidden="false" customHeight="false" outlineLevel="0" collapsed="false">
      <c r="A6" s="148" t="s">
        <v>122</v>
      </c>
      <c r="B6" s="149" t="n">
        <v>6419</v>
      </c>
      <c r="C6" s="10" t="s">
        <v>123</v>
      </c>
      <c r="E6" s="35" t="s">
        <v>124</v>
      </c>
      <c r="F6" s="150" t="n">
        <f aca="false">MF_RG*MF_CISS*0.000000000001*LN(1/(1-MF_VGSTH/MF_VGS))</f>
        <v>4.43191493536316E-009</v>
      </c>
      <c r="G6" s="10" t="s">
        <v>65</v>
      </c>
      <c r="I6" s="35" t="s">
        <v>125</v>
      </c>
      <c r="J6" s="150" t="n">
        <f aca="false">MF_RG*MF_CISS*0.000000000001*LN((MF_VGS-MF_VGSTH)/(MF_VGS-MF_VGP))</f>
        <v>2.80877297534495E-009</v>
      </c>
      <c r="K6" s="10" t="s">
        <v>65</v>
      </c>
    </row>
    <row r="7" customFormat="false" ht="18" hidden="false" customHeight="false" outlineLevel="0" collapsed="false">
      <c r="A7" s="148" t="s">
        <v>126</v>
      </c>
      <c r="B7" s="149" t="n">
        <v>952</v>
      </c>
      <c r="C7" s="10" t="s">
        <v>123</v>
      </c>
      <c r="E7" s="35" t="s">
        <v>127</v>
      </c>
      <c r="F7" s="150" t="n">
        <f aca="false">MF_RG*MF_CISS*0.000000000001*LN(1/(1-MF_VGP/MF_VGS))</f>
        <v>7.2406879107081E-009</v>
      </c>
      <c r="G7" s="10" t="s">
        <v>65</v>
      </c>
      <c r="I7" s="35" t="s">
        <v>128</v>
      </c>
      <c r="J7" s="150" t="n">
        <f aca="false">MF_RG*MF_QGD*0.000000001/MF_VDS_D*MF_VDS/(MF_VGS-MF_VGP)</f>
        <v>1.28E-008</v>
      </c>
      <c r="K7" s="10" t="s">
        <v>65</v>
      </c>
    </row>
    <row r="8" customFormat="false" ht="18" hidden="false" customHeight="false" outlineLevel="0" collapsed="false">
      <c r="A8" s="148" t="s">
        <v>129</v>
      </c>
      <c r="B8" s="149" t="n">
        <v>2.4</v>
      </c>
      <c r="C8" s="10" t="s">
        <v>58</v>
      </c>
      <c r="D8" s="151"/>
      <c r="E8" s="35" t="s">
        <v>130</v>
      </c>
      <c r="F8" s="150" t="n">
        <f aca="false">MF_RG*MF_COSS*0.000000000001*MF_VDS/(MF_VGS-MF_VGP)</f>
        <v>6.0928E-009</v>
      </c>
      <c r="G8" s="10" t="s">
        <v>65</v>
      </c>
    </row>
    <row r="9" customFormat="false" ht="15" hidden="false" customHeight="false" outlineLevel="0" collapsed="false">
      <c r="A9" s="152"/>
      <c r="B9" s="153"/>
      <c r="C9" s="154"/>
      <c r="D9" s="151"/>
      <c r="E9" s="5"/>
      <c r="F9" s="155"/>
      <c r="G9" s="11"/>
    </row>
    <row r="10" customFormat="false" ht="18" hidden="false" customHeight="false" outlineLevel="0" collapsed="false">
      <c r="A10" s="148" t="s">
        <v>131</v>
      </c>
      <c r="B10" s="149" t="n">
        <v>3</v>
      </c>
      <c r="C10" s="10" t="s">
        <v>18</v>
      </c>
      <c r="D10" s="151"/>
      <c r="E10" s="15" t="s">
        <v>132</v>
      </c>
      <c r="F10" s="15"/>
      <c r="G10" s="15"/>
      <c r="H10" s="15"/>
      <c r="I10" s="15"/>
      <c r="J10" s="15"/>
      <c r="K10" s="15"/>
    </row>
    <row r="11" customFormat="false" ht="18" hidden="false" customHeight="false" outlineLevel="0" collapsed="false">
      <c r="A11" s="148" t="s">
        <v>133</v>
      </c>
      <c r="B11" s="149" t="n">
        <v>4.5</v>
      </c>
      <c r="C11" s="10" t="s">
        <v>18</v>
      </c>
      <c r="D11" s="151"/>
      <c r="E11" s="35" t="s">
        <v>134</v>
      </c>
      <c r="F11" s="150" t="n">
        <f aca="false">MF_RG*MF_CISS*0.000000000001*LN(MF_VGS/MF_VGP)</f>
        <v>1.51102631401974E-008</v>
      </c>
      <c r="G11" s="10" t="s">
        <v>65</v>
      </c>
      <c r="I11" s="35" t="s">
        <v>135</v>
      </c>
      <c r="J11" s="150" t="n">
        <f aca="false">MF_VGSTH*MF_CISS*0.000000000001*LN(MF_VGP/MF_VGSTH)</f>
        <v>7.80804158683892E-009</v>
      </c>
      <c r="K11" s="10" t="s">
        <v>65</v>
      </c>
    </row>
    <row r="12" customFormat="false" ht="18" hidden="false" customHeight="false" outlineLevel="0" collapsed="false">
      <c r="A12" s="28"/>
      <c r="B12" s="28"/>
      <c r="C12" s="28"/>
      <c r="E12" s="35" t="s">
        <v>136</v>
      </c>
      <c r="F12" s="150" t="n">
        <f aca="false">MF_RG*MF_COSS*0.000000000001*MF_VDS/MF_VGP</f>
        <v>1.01546666666667E-008</v>
      </c>
      <c r="G12" s="10" t="s">
        <v>65</v>
      </c>
      <c r="I12" s="35" t="s">
        <v>137</v>
      </c>
      <c r="J12" s="150" t="n">
        <f aca="false">MF_RG*MF_QGD*0.000000001/MF_VDS*MF_VDS/MF_VGP</f>
        <v>2.13333333333333E-008</v>
      </c>
      <c r="K12" s="10" t="s">
        <v>65</v>
      </c>
    </row>
    <row r="13" customFormat="false" ht="18" hidden="false" customHeight="false" outlineLevel="0" collapsed="false">
      <c r="A13" s="148" t="s">
        <v>138</v>
      </c>
      <c r="B13" s="149" t="n">
        <v>12</v>
      </c>
      <c r="C13" s="10" t="s">
        <v>18</v>
      </c>
      <c r="E13" s="35" t="s">
        <v>139</v>
      </c>
      <c r="F13" s="150" t="n">
        <f aca="false">MF_RG*MF_CISS*0.000000000001*LN(MF_VGP/MF_VGSTH)</f>
        <v>6.24643326947114E-009</v>
      </c>
      <c r="G13" s="10" t="s">
        <v>65</v>
      </c>
    </row>
    <row r="14" customFormat="false" ht="18" hidden="false" customHeight="false" outlineLevel="0" collapsed="false">
      <c r="A14" s="148" t="s">
        <v>140</v>
      </c>
      <c r="B14" s="149" t="n">
        <v>20</v>
      </c>
      <c r="C14" s="10" t="s">
        <v>18</v>
      </c>
    </row>
    <row r="15" customFormat="false" ht="18" hidden="false" customHeight="false" outlineLevel="0" collapsed="false">
      <c r="A15" s="148" t="s">
        <v>140</v>
      </c>
      <c r="B15" s="149" t="n">
        <v>20</v>
      </c>
      <c r="C15" s="10" t="s">
        <v>18</v>
      </c>
    </row>
    <row r="17" customFormat="false" ht="15" hidden="false" customHeight="false" outlineLevel="0" collapsed="false">
      <c r="A17" s="156" t="s">
        <v>141</v>
      </c>
      <c r="C17" s="157" t="s">
        <v>142</v>
      </c>
    </row>
    <row r="18" customFormat="false" ht="9" hidden="false" customHeight="true" outlineLevel="0" collapsed="false">
      <c r="A18" s="158"/>
      <c r="B18" s="159"/>
      <c r="C18" s="160"/>
      <c r="D18" s="159"/>
      <c r="E18" s="159"/>
      <c r="F18" s="159"/>
      <c r="G18" s="159"/>
      <c r="H18" s="159"/>
      <c r="I18" s="159"/>
      <c r="J18" s="159"/>
      <c r="K18" s="159"/>
    </row>
    <row r="19" customFormat="false" ht="15.75" hidden="false" customHeight="false" outlineLevel="0" collapsed="false"/>
    <row r="20" customFormat="false" ht="18" hidden="false" customHeight="false" outlineLevel="0" collapsed="false">
      <c r="A20" s="148" t="s">
        <v>143</v>
      </c>
      <c r="B20" s="149" t="n">
        <v>2</v>
      </c>
      <c r="C20" s="10" t="s">
        <v>20</v>
      </c>
      <c r="E20" s="35" t="s">
        <v>144</v>
      </c>
      <c r="F20" s="150" t="n">
        <f aca="false">MF_QG*0.000000001/MF_IPEAKSOURCE</f>
        <v>6.45E-008</v>
      </c>
      <c r="G20" s="10" t="s">
        <v>65</v>
      </c>
    </row>
    <row r="21" customFormat="false" ht="18" hidden="false" customHeight="false" outlineLevel="0" collapsed="false">
      <c r="A21" s="148" t="s">
        <v>145</v>
      </c>
      <c r="B21" s="149" t="n">
        <v>3</v>
      </c>
      <c r="C21" s="10" t="s">
        <v>20</v>
      </c>
      <c r="E21" s="35" t="s">
        <v>146</v>
      </c>
      <c r="F21" s="150" t="n">
        <f aca="false">MF_QG*0.000000001/MF_IPEAKSINK</f>
        <v>4.3E-008</v>
      </c>
      <c r="G21" s="10" t="s">
        <v>65</v>
      </c>
    </row>
    <row r="22" customFormat="false" ht="18" hidden="false" customHeight="false" outlineLevel="0" collapsed="false">
      <c r="A22" s="148" t="s">
        <v>147</v>
      </c>
      <c r="B22" s="149" t="n">
        <f aca="false">MF_IPEAKSOURCE/2</f>
        <v>1</v>
      </c>
      <c r="C22" s="10" t="s">
        <v>20</v>
      </c>
      <c r="E22" s="35" t="s">
        <v>148</v>
      </c>
      <c r="F22" s="150" t="n">
        <f aca="false">MF_QG*0.000000001/MF_IMEANSOURCE</f>
        <v>1.29E-007</v>
      </c>
      <c r="G22" s="10" t="s">
        <v>65</v>
      </c>
    </row>
    <row r="23" customFormat="false" ht="18" hidden="false" customHeight="false" outlineLevel="0" collapsed="false">
      <c r="A23" s="148" t="s">
        <v>149</v>
      </c>
      <c r="B23" s="149" t="n">
        <f aca="false">MF_IPEAKSINK/2</f>
        <v>1.5</v>
      </c>
      <c r="C23" s="10" t="s">
        <v>20</v>
      </c>
      <c r="E23" s="35" t="s">
        <v>150</v>
      </c>
      <c r="F23" s="150" t="n">
        <f aca="false">MF_QG*0.000000001/MF_IMEANSINK</f>
        <v>8.6E-008</v>
      </c>
      <c r="G23" s="10" t="s">
        <v>65</v>
      </c>
    </row>
    <row r="24" customFormat="false" ht="14.25" hidden="false" customHeight="true" outlineLevel="0" collapsed="false"/>
    <row r="25" customFormat="false" ht="15" hidden="false" customHeight="false" outlineLevel="0" collapsed="false">
      <c r="A25" s="142" t="s">
        <v>141</v>
      </c>
      <c r="C25" s="147" t="s">
        <v>151</v>
      </c>
    </row>
    <row r="26" customFormat="false" ht="9" hidden="false" customHeight="true" outlineLevel="0" collapsed="false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159"/>
    </row>
    <row r="27" customFormat="false" ht="15.75" hidden="false" customHeight="false" outlineLevel="0" collapsed="false"/>
  </sheetData>
  <mergeCells count="2">
    <mergeCell ref="E5:K5"/>
    <mergeCell ref="E10:K10"/>
  </mergeCells>
  <hyperlinks>
    <hyperlink ref="C17" r:id="rId1" display="http://www.vishay.com/docs/73217/an608a.pdf"/>
    <hyperlink ref="C25" r:id="rId2" display="http://www.microchip.com/wwwAppNotes/AppNotes.aspx?appnote=en01213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35.56"/>
    <col collapsed="false" customWidth="true" hidden="false" outlineLevel="0" max="3" min="3" style="1" width="15.69"/>
    <col collapsed="false" customWidth="true" hidden="false" outlineLevel="0" max="4" min="4" style="1" width="3.54"/>
  </cols>
  <sheetData>
    <row r="1" customFormat="false" ht="13.8" hidden="false" customHeight="false" outlineLevel="0" collapsed="false">
      <c r="A1" s="161" t="s">
        <v>152</v>
      </c>
    </row>
    <row r="2" customFormat="false" ht="13.8" hidden="false" customHeight="false" outlineLevel="0" collapsed="false">
      <c r="A2" s="162" t="s">
        <v>153</v>
      </c>
    </row>
    <row r="4" customFormat="false" ht="13.8" hidden="false" customHeight="false" outlineLevel="0" collapsed="false">
      <c r="A4" s="163" t="s">
        <v>154</v>
      </c>
      <c r="B4" s="163" t="s">
        <v>155</v>
      </c>
      <c r="C4" s="164" t="n">
        <v>3</v>
      </c>
      <c r="D4" s="10" t="s">
        <v>18</v>
      </c>
    </row>
    <row r="5" customFormat="false" ht="13.8" hidden="false" customHeight="false" outlineLevel="0" collapsed="false">
      <c r="A5" s="163" t="s">
        <v>156</v>
      </c>
      <c r="B5" s="163" t="s">
        <v>157</v>
      </c>
      <c r="C5" s="164" t="n">
        <v>50.5</v>
      </c>
      <c r="D5" s="10" t="s">
        <v>18</v>
      </c>
    </row>
    <row r="6" customFormat="false" ht="13.8" hidden="false" customHeight="false" outlineLevel="0" collapsed="false">
      <c r="A6" s="163" t="s">
        <v>158</v>
      </c>
      <c r="B6" s="163" t="s">
        <v>159</v>
      </c>
      <c r="C6" s="164" t="n">
        <v>52</v>
      </c>
      <c r="D6" s="10" t="s">
        <v>18</v>
      </c>
    </row>
    <row r="7" customFormat="false" ht="13.8" hidden="false" customHeight="false" outlineLevel="0" collapsed="false">
      <c r="A7" s="163" t="s">
        <v>160</v>
      </c>
      <c r="B7" s="163" t="s">
        <v>161</v>
      </c>
      <c r="C7" s="164" t="n">
        <v>38</v>
      </c>
      <c r="D7" s="10" t="s">
        <v>18</v>
      </c>
    </row>
    <row r="8" customFormat="false" ht="13.8" hidden="false" customHeight="false" outlineLevel="0" collapsed="false">
      <c r="A8" s="163" t="s">
        <v>162</v>
      </c>
      <c r="B8" s="163" t="s">
        <v>163</v>
      </c>
      <c r="C8" s="164" t="n">
        <v>0.45</v>
      </c>
      <c r="D8" s="10" t="s">
        <v>20</v>
      </c>
    </row>
    <row r="9" customFormat="false" ht="13.8" hidden="false" customHeight="false" outlineLevel="0" collapsed="false">
      <c r="A9" s="163" t="s">
        <v>164</v>
      </c>
      <c r="B9" s="163" t="s">
        <v>165</v>
      </c>
      <c r="C9" s="164" t="n">
        <v>12</v>
      </c>
      <c r="D9" s="10" t="s">
        <v>20</v>
      </c>
    </row>
    <row r="10" customFormat="false" ht="13.8" hidden="false" customHeight="false" outlineLevel="0" collapsed="false">
      <c r="A10" s="163" t="s">
        <v>166</v>
      </c>
      <c r="B10" s="163" t="s">
        <v>167</v>
      </c>
      <c r="C10" s="165" t="n">
        <v>163.84</v>
      </c>
      <c r="D10" s="10" t="s">
        <v>168</v>
      </c>
    </row>
    <row r="11" customFormat="false" ht="13.8" hidden="false" customHeight="false" outlineLevel="0" collapsed="false">
      <c r="A11" s="163" t="s">
        <v>169</v>
      </c>
      <c r="B11" s="163" t="s">
        <v>170</v>
      </c>
      <c r="C11" s="165" t="n">
        <v>25</v>
      </c>
      <c r="D11" s="10" t="s">
        <v>171</v>
      </c>
    </row>
    <row r="12" customFormat="false" ht="13.8" hidden="false" customHeight="false" outlineLevel="0" collapsed="false">
      <c r="A12" s="163" t="s">
        <v>172</v>
      </c>
      <c r="B12" s="163" t="s">
        <v>173</v>
      </c>
      <c r="C12" s="148" t="n">
        <v>3.125</v>
      </c>
      <c r="D12" s="10" t="s">
        <v>168</v>
      </c>
      <c r="I12" s="1" t="n">
        <v>1</v>
      </c>
    </row>
    <row r="13" customFormat="false" ht="13.8" hidden="false" customHeight="false" outlineLevel="0" collapsed="false">
      <c r="D13" s="166"/>
      <c r="I13" s="1" t="n">
        <f aca="false">IF(I12=1,4,1)</f>
        <v>4</v>
      </c>
    </row>
    <row r="14" customFormat="false" ht="15.65" hidden="false" customHeight="false" outlineLevel="0" collapsed="false">
      <c r="A14" s="163" t="s">
        <v>174</v>
      </c>
      <c r="B14" s="163"/>
      <c r="C14" s="167" t="n">
        <f aca="false">INA238_VSENSEMAX/INA238_IOVR</f>
        <v>13.6533333333333</v>
      </c>
      <c r="D14" s="10" t="s">
        <v>175</v>
      </c>
    </row>
    <row r="15" customFormat="false" ht="15.65" hidden="false" customHeight="false" outlineLevel="0" collapsed="false">
      <c r="A15" s="163" t="s">
        <v>176</v>
      </c>
      <c r="B15" s="163" t="s">
        <v>177</v>
      </c>
      <c r="C15" s="168" t="n">
        <v>1</v>
      </c>
      <c r="D15" s="10" t="s">
        <v>175</v>
      </c>
    </row>
    <row r="16" customFormat="false" ht="13.8" hidden="false" customHeight="false" outlineLevel="0" collapsed="false">
      <c r="A16" s="163" t="s">
        <v>178</v>
      </c>
      <c r="B16" s="163"/>
      <c r="C16" s="167" t="n">
        <f aca="false">INA238_IAVG*INA238_IAVG*INA238_RSHUNT/1000</f>
        <v>0.0002025</v>
      </c>
      <c r="D16" s="10" t="s">
        <v>22</v>
      </c>
    </row>
    <row r="17" customFormat="false" ht="13.8" hidden="false" customHeight="false" outlineLevel="0" collapsed="false">
      <c r="A17" s="163" t="s">
        <v>179</v>
      </c>
      <c r="B17" s="163"/>
      <c r="C17" s="167" t="n">
        <f aca="false">INA238_IAVG*INA238_IOVR*INA238_RSHUNT/1000</f>
        <v>0.0054</v>
      </c>
      <c r="D17" s="10" t="s">
        <v>22</v>
      </c>
      <c r="E17" s="166"/>
    </row>
    <row r="18" customFormat="false" ht="13.8" hidden="false" customHeight="false" outlineLevel="0" collapsed="false">
      <c r="D18" s="2"/>
    </row>
    <row r="19" customFormat="false" ht="13.8" hidden="false" customHeight="false" outlineLevel="0" collapsed="false">
      <c r="A19" s="163" t="s">
        <v>180</v>
      </c>
      <c r="B19" s="163" t="s">
        <v>181</v>
      </c>
      <c r="C19" s="165" t="n">
        <v>1000</v>
      </c>
      <c r="D19" s="10" t="s">
        <v>24</v>
      </c>
    </row>
    <row r="20" customFormat="false" ht="13.8" hidden="false" customHeight="false" outlineLevel="0" collapsed="false">
      <c r="A20" s="163" t="s">
        <v>181</v>
      </c>
      <c r="B20" s="163" t="s">
        <v>182</v>
      </c>
      <c r="C20" s="167" t="n">
        <f aca="false">INA238_VBUS*INA238_VBUS_VOLTAGE_LIMIT_LSB/1000</f>
        <v>3.125</v>
      </c>
      <c r="D20" s="10" t="s">
        <v>18</v>
      </c>
    </row>
    <row r="21" customFormat="false" ht="13.8" hidden="false" customHeight="false" outlineLevel="0" collapsed="false">
      <c r="D21" s="5"/>
    </row>
    <row r="22" customFormat="false" ht="13.8" hidden="false" customHeight="false" outlineLevel="0" collapsed="false">
      <c r="A22" s="163" t="s">
        <v>183</v>
      </c>
      <c r="B22" s="28"/>
      <c r="C22" s="169" t="n">
        <f aca="false">INA238_IOVR/(2^15)</f>
        <v>0.0003662109375</v>
      </c>
      <c r="D22" s="10" t="s">
        <v>24</v>
      </c>
      <c r="G22" s="170"/>
    </row>
    <row r="23" customFormat="false" ht="13.8" hidden="false" customHeight="false" outlineLevel="0" collapsed="false">
      <c r="D23" s="166"/>
    </row>
    <row r="24" customFormat="false" ht="13.8" hidden="false" customHeight="false" outlineLevel="0" collapsed="false">
      <c r="A24" s="163" t="s">
        <v>184</v>
      </c>
      <c r="B24" s="171" t="s">
        <v>185</v>
      </c>
      <c r="C24" s="172" t="n">
        <f aca="false">819200000*INA238_CURRENT_LSB*INA238_RSHUNT/1000*IF(INA238_VSENSEMAX=40.96,4,1)</f>
        <v>300</v>
      </c>
      <c r="D24" s="10" t="s">
        <v>24</v>
      </c>
      <c r="E24" s="172" t="str">
        <f aca="false">DEC2HEX(INA238_SHUNT_CAL,4)</f>
        <v>012C</v>
      </c>
    </row>
    <row r="26" customFormat="false" ht="13.8" hidden="false" customHeight="false" outlineLevel="0" collapsed="false">
      <c r="A26" s="163" t="s">
        <v>186</v>
      </c>
      <c r="B26" s="163" t="s">
        <v>187</v>
      </c>
      <c r="C26" s="172" t="n">
        <f aca="false">INA238_RSHUNT/(INA238_RSHUNT_MAX/2^15)</f>
        <v>2400</v>
      </c>
      <c r="D26" s="28"/>
      <c r="E26" s="172" t="str">
        <f aca="false">DEC2HEX(C26)</f>
        <v>960</v>
      </c>
    </row>
    <row r="27" customFormat="false" ht="13.8" hidden="false" customHeight="false" outlineLevel="0" collapsed="false">
      <c r="A27" s="163" t="s">
        <v>188</v>
      </c>
      <c r="B27" s="163" t="s">
        <v>189</v>
      </c>
      <c r="C27" s="172" t="n">
        <v>-32768</v>
      </c>
      <c r="D27" s="28"/>
      <c r="E27" s="172" t="str">
        <f aca="false">DEC2HEX(C27)</f>
        <v>FFFFFF8000</v>
      </c>
    </row>
    <row r="28" customFormat="false" ht="13.8" hidden="false" customHeight="false" outlineLevel="0" collapsed="false">
      <c r="A28" s="163" t="s">
        <v>190</v>
      </c>
      <c r="B28" s="163" t="s">
        <v>191</v>
      </c>
      <c r="C28" s="172" t="n">
        <f aca="false">VINA238_VCMOVR/(INA238_VBUS_VOLTAGE_LIMIT_LSB/1000)</f>
        <v>16640</v>
      </c>
      <c r="D28" s="28"/>
      <c r="E28" s="172" t="str">
        <f aca="false">DEC2HEX(INA238_BOVL,4)</f>
        <v>4100</v>
      </c>
    </row>
    <row r="29" customFormat="false" ht="13.8" hidden="false" customHeight="false" outlineLevel="0" collapsed="false">
      <c r="A29" s="163" t="s">
        <v>192</v>
      </c>
      <c r="B29" s="163" t="s">
        <v>193</v>
      </c>
      <c r="C29" s="172" t="n">
        <f aca="false">VINA238_VCMUVL/(C12/1000)</f>
        <v>12160</v>
      </c>
      <c r="D29" s="28"/>
      <c r="E29" s="172" t="str">
        <f aca="false">DEC2HEX(INA238_BUVL,4)</f>
        <v>2F80</v>
      </c>
    </row>
    <row r="32" customFormat="false" ht="13.8" hidden="false" customHeight="false" outlineLevel="0" collapsed="false">
      <c r="A32" s="1" t="s">
        <v>194</v>
      </c>
    </row>
    <row r="33" customFormat="false" ht="13.8" hidden="false" customHeight="false" outlineLevel="0" collapsed="false">
      <c r="A33" s="1" t="s">
        <v>195</v>
      </c>
    </row>
  </sheetData>
  <dataValidations count="1">
    <dataValidation allowBlank="true" errorStyle="stop" operator="equal" showDropDown="false" showErrorMessage="true" showInputMessage="false" sqref="C10" type="list">
      <formula1>"40.96,163.84"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23.17"/>
    <col collapsed="false" customWidth="true" hidden="false" outlineLevel="0" max="4" min="4" style="1" width="8.73"/>
  </cols>
  <sheetData>
    <row r="2" customFormat="false" ht="13.8" hidden="false" customHeight="false" outlineLevel="0" collapsed="false">
      <c r="A2" s="72" t="s">
        <v>196</v>
      </c>
      <c r="B2" s="72"/>
      <c r="C2" s="72"/>
      <c r="F2" s="173" t="s">
        <v>197</v>
      </c>
      <c r="G2" s="173"/>
      <c r="H2" s="173"/>
      <c r="I2" s="173"/>
    </row>
    <row r="3" customFormat="false" ht="13.8" hidden="false" customHeight="false" outlineLevel="0" collapsed="false">
      <c r="A3" s="1" t="s">
        <v>198</v>
      </c>
      <c r="B3" s="1" t="n">
        <v>5</v>
      </c>
      <c r="C3" s="1" t="s">
        <v>18</v>
      </c>
      <c r="G3" s="1" t="n">
        <v>3</v>
      </c>
      <c r="H3" s="1" t="s">
        <v>18</v>
      </c>
    </row>
    <row r="4" customFormat="false" ht="13.8" hidden="false" customHeight="false" outlineLevel="0" collapsed="false">
      <c r="A4" s="1" t="s">
        <v>181</v>
      </c>
      <c r="B4" s="1" t="n">
        <v>48</v>
      </c>
      <c r="C4" s="1" t="s">
        <v>18</v>
      </c>
      <c r="G4" s="1" t="n">
        <v>48</v>
      </c>
      <c r="H4" s="1" t="s">
        <v>18</v>
      </c>
    </row>
    <row r="5" customFormat="false" ht="13.8" hidden="false" customHeight="false" outlineLevel="0" collapsed="false">
      <c r="A5" s="1" t="s">
        <v>199</v>
      </c>
      <c r="B5" s="1" t="n">
        <v>52</v>
      </c>
      <c r="C5" s="1" t="s">
        <v>18</v>
      </c>
      <c r="G5" s="1" t="n">
        <v>52</v>
      </c>
      <c r="H5" s="1" t="s">
        <v>18</v>
      </c>
    </row>
    <row r="6" customFormat="false" ht="13.8" hidden="false" customHeight="false" outlineLevel="0" collapsed="false">
      <c r="A6" s="1" t="s">
        <v>200</v>
      </c>
      <c r="B6" s="1" t="n">
        <v>6</v>
      </c>
      <c r="C6" s="1" t="s">
        <v>20</v>
      </c>
      <c r="G6" s="1" t="n">
        <v>8</v>
      </c>
      <c r="H6" s="1" t="s">
        <v>20</v>
      </c>
    </row>
    <row r="7" customFormat="false" ht="13.8" hidden="false" customHeight="false" outlineLevel="0" collapsed="false">
      <c r="A7" s="1" t="s">
        <v>201</v>
      </c>
      <c r="B7" s="1" t="n">
        <v>10</v>
      </c>
      <c r="C7" s="1" t="s">
        <v>20</v>
      </c>
      <c r="G7" s="1" t="n">
        <v>12</v>
      </c>
      <c r="H7" s="1" t="s">
        <v>20</v>
      </c>
    </row>
    <row r="8" customFormat="false" ht="13.8" hidden="false" customHeight="false" outlineLevel="0" collapsed="false">
      <c r="A8" s="1" t="s">
        <v>202</v>
      </c>
      <c r="B8" s="1" t="n">
        <v>163.84</v>
      </c>
      <c r="C8" s="1" t="s">
        <v>168</v>
      </c>
      <c r="G8" s="1" t="n">
        <v>163.84</v>
      </c>
      <c r="H8" s="1" t="s">
        <v>168</v>
      </c>
    </row>
    <row r="9" customFormat="false" ht="13.8" hidden="false" customHeight="false" outlineLevel="0" collapsed="false">
      <c r="A9" s="1" t="s">
        <v>203</v>
      </c>
      <c r="B9" s="1" t="n">
        <f aca="false">IF(B8=40.96,1.25,5)</f>
        <v>5</v>
      </c>
      <c r="C9" s="1" t="s">
        <v>204</v>
      </c>
      <c r="G9" s="1" t="n">
        <f aca="false">IF(G8=40.96,1.25,5)</f>
        <v>5</v>
      </c>
      <c r="H9" s="1" t="s">
        <v>204</v>
      </c>
    </row>
    <row r="10" customFormat="false" ht="13.8" hidden="false" customHeight="false" outlineLevel="0" collapsed="false">
      <c r="B10" s="1" t="n">
        <v>25</v>
      </c>
      <c r="C10" s="1" t="s">
        <v>205</v>
      </c>
      <c r="G10" s="1" t="n">
        <v>25</v>
      </c>
      <c r="H10" s="1" t="s">
        <v>205</v>
      </c>
    </row>
    <row r="13" customFormat="false" ht="13.8" hidden="false" customHeight="false" outlineLevel="0" collapsed="false">
      <c r="A13" s="1" t="s">
        <v>206</v>
      </c>
      <c r="B13" s="1" t="n">
        <f aca="false">B8/B7</f>
        <v>16.384</v>
      </c>
      <c r="C13" s="1" t="s">
        <v>207</v>
      </c>
      <c r="G13" s="1" t="n">
        <f aca="false">G8/G7</f>
        <v>13.6533333333333</v>
      </c>
      <c r="H13" s="1" t="s">
        <v>207</v>
      </c>
    </row>
    <row r="14" customFormat="false" ht="13.8" hidden="false" customHeight="false" outlineLevel="0" collapsed="false">
      <c r="A14" s="1" t="s">
        <v>208</v>
      </c>
      <c r="B14" s="1" t="n">
        <v>16.2</v>
      </c>
      <c r="C14" s="1" t="s">
        <v>207</v>
      </c>
      <c r="G14" s="1" t="n">
        <v>1</v>
      </c>
      <c r="H14" s="1" t="s">
        <v>207</v>
      </c>
    </row>
    <row r="15" customFormat="false" ht="13.8" hidden="false" customHeight="false" outlineLevel="0" collapsed="false">
      <c r="A15" s="1" t="s">
        <v>209</v>
      </c>
      <c r="B15" s="1" t="n">
        <f aca="false">10/2^15</f>
        <v>0.00030517578125</v>
      </c>
      <c r="C15" s="1" t="s">
        <v>20</v>
      </c>
      <c r="G15" s="1" t="n">
        <f aca="false">12/2^15</f>
        <v>0.0003662109375</v>
      </c>
      <c r="H15" s="1" t="s">
        <v>20</v>
      </c>
    </row>
    <row r="16" customFormat="false" ht="13.8" hidden="false" customHeight="false" outlineLevel="0" collapsed="false">
      <c r="A16" s="1" t="s">
        <v>209</v>
      </c>
      <c r="B16" s="1" t="n">
        <f aca="false">B15*1000000</f>
        <v>305.17578125</v>
      </c>
      <c r="C16" s="1" t="s">
        <v>210</v>
      </c>
      <c r="G16" s="1" t="n">
        <f aca="false">G15*1000000</f>
        <v>366.2109375</v>
      </c>
      <c r="H16" s="1" t="s">
        <v>210</v>
      </c>
    </row>
    <row r="17" customFormat="false" ht="13.8" hidden="false" customHeight="false" outlineLevel="0" collapsed="false">
      <c r="A17" s="1" t="s">
        <v>185</v>
      </c>
      <c r="B17" s="1" t="n">
        <f aca="false">819200000*B15*B14/1000</f>
        <v>4050</v>
      </c>
      <c r="C17" s="1" t="s">
        <v>211</v>
      </c>
      <c r="G17" s="1" t="n">
        <f aca="false">819200000*G15*G14/1000*IF(G8=40.96,4,1)</f>
        <v>300</v>
      </c>
      <c r="H17" s="1" t="s">
        <v>211</v>
      </c>
    </row>
    <row r="18" customFormat="false" ht="13.8" hidden="false" customHeight="false" outlineLevel="0" collapsed="false">
      <c r="A18" s="1" t="s">
        <v>185</v>
      </c>
      <c r="B18" s="1" t="str">
        <f aca="false">DEC2HEX(B17)</f>
        <v>FD2</v>
      </c>
      <c r="C18" s="1" t="s">
        <v>212</v>
      </c>
      <c r="G18" s="1" t="str">
        <f aca="false">DEC2HEX(G17)</f>
        <v>12C</v>
      </c>
      <c r="H18" s="1" t="s">
        <v>212</v>
      </c>
    </row>
    <row r="20" customFormat="false" ht="13.8" hidden="false" customHeight="false" outlineLevel="0" collapsed="false">
      <c r="A20" s="72" t="s">
        <v>213</v>
      </c>
      <c r="B20" s="72"/>
      <c r="C20" s="72"/>
      <c r="F20" s="72" t="s">
        <v>213</v>
      </c>
      <c r="G20" s="72"/>
      <c r="H20" s="72"/>
    </row>
    <row r="22" customFormat="false" ht="13.8" hidden="false" customHeight="false" outlineLevel="0" collapsed="false">
      <c r="A22" s="1" t="s">
        <v>214</v>
      </c>
      <c r="B22" s="1" t="n">
        <v>19440</v>
      </c>
      <c r="C22" s="1" t="n">
        <f aca="false">B22*B9/1000000</f>
        <v>0.0972</v>
      </c>
      <c r="D22" s="1" t="n">
        <f aca="false">C22/(B14*0.001)</f>
        <v>6</v>
      </c>
    </row>
    <row r="23" customFormat="false" ht="13.8" hidden="false" customHeight="false" outlineLevel="0" collapsed="false">
      <c r="A23" s="1" t="s">
        <v>113</v>
      </c>
      <c r="B23" s="1" t="n">
        <v>19660</v>
      </c>
    </row>
  </sheetData>
  <mergeCells count="4">
    <mergeCell ref="A2:C2"/>
    <mergeCell ref="F2:I2"/>
    <mergeCell ref="A20:C20"/>
    <mergeCell ref="F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0.4921875" defaultRowHeight="12.8" zeroHeight="false" outlineLevelRow="0" outlineLevelCol="0"/>
  <cols>
    <col collapsed="false" customWidth="true" hidden="false" outlineLevel="0" max="1" min="1" style="1" width="31.76"/>
    <col collapsed="false" customWidth="true" hidden="false" outlineLevel="0" max="2" min="2" style="1" width="15.43"/>
    <col collapsed="false" customWidth="true" hidden="false" outlineLevel="0" max="3" min="3" style="1" width="1.26"/>
    <col collapsed="false" customWidth="true" hidden="false" outlineLevel="0" max="4" min="4" style="1" width="30.74"/>
    <col collapsed="false" customWidth="true" hidden="false" outlineLevel="0" max="5" min="5" style="1" width="16.95"/>
    <col collapsed="false" customWidth="true" hidden="false" outlineLevel="0" max="8" min="8" style="1" width="19.23"/>
  </cols>
  <sheetData>
    <row r="1" customFormat="false" ht="13.8" hidden="false" customHeight="false" outlineLevel="0" collapsed="false">
      <c r="A1" s="174" t="s">
        <v>215</v>
      </c>
      <c r="B1" s="174"/>
      <c r="C1" s="174"/>
      <c r="D1" s="174"/>
      <c r="E1" s="174"/>
    </row>
    <row r="2" customFormat="false" ht="13.8" hidden="false" customHeight="false" outlineLevel="0" collapsed="false"/>
    <row r="3" customFormat="false" ht="13.8" hidden="false" customHeight="false" outlineLevel="0" collapsed="false">
      <c r="A3" s="174" t="s">
        <v>216</v>
      </c>
      <c r="B3" s="174"/>
      <c r="C3" s="174"/>
      <c r="D3" s="174"/>
      <c r="E3" s="174"/>
    </row>
    <row r="4" customFormat="false" ht="13.8" hidden="false" customHeight="false" outlineLevel="0" collapsed="false">
      <c r="A4" s="174" t="s">
        <v>217</v>
      </c>
      <c r="B4" s="174"/>
      <c r="C4" s="174"/>
      <c r="D4" s="174"/>
      <c r="E4" s="174"/>
    </row>
    <row r="6" customFormat="false" ht="13.8" hidden="false" customHeight="false" outlineLevel="0" collapsed="false">
      <c r="A6" s="175" t="s">
        <v>218</v>
      </c>
      <c r="B6" s="176" t="n">
        <v>10</v>
      </c>
      <c r="C6" s="163"/>
      <c r="D6" s="175" t="s">
        <v>219</v>
      </c>
      <c r="E6" s="176" t="n">
        <v>0</v>
      </c>
    </row>
    <row r="7" customFormat="false" ht="13.8" hidden="false" customHeight="false" outlineLevel="0" collapsed="false">
      <c r="A7" s="175" t="s">
        <v>220</v>
      </c>
      <c r="B7" s="176" t="n">
        <v>90</v>
      </c>
      <c r="C7" s="163"/>
      <c r="D7" s="175" t="s">
        <v>221</v>
      </c>
      <c r="E7" s="176" t="n">
        <v>4095</v>
      </c>
    </row>
    <row r="8" customFormat="false" ht="8.5" hidden="false" customHeight="true" outlineLevel="0" collapsed="false">
      <c r="A8" s="177"/>
      <c r="B8" s="178"/>
      <c r="C8" s="177"/>
      <c r="D8" s="177"/>
      <c r="E8" s="178"/>
    </row>
    <row r="9" customFormat="false" ht="13.8" hidden="false" customHeight="false" outlineLevel="0" collapsed="false">
      <c r="A9" s="175" t="s">
        <v>222</v>
      </c>
      <c r="B9" s="179" t="n">
        <f aca="false">INP_MIN_INPUT_VALUE_UNIT1+X_UNIT2*(INP_MAX_INPUT_VALUE_UNIT1-INP_MIN_INPUT_VALUE_UNIT1)/(INP_MAX_INPUT_VALUE_UNIT2-INP_MIN_INPUT_VALUE_UNIT2)</f>
        <v>49.990231990232</v>
      </c>
      <c r="C9" s="163"/>
      <c r="D9" s="175" t="s">
        <v>223</v>
      </c>
      <c r="E9" s="180" t="n">
        <v>2047</v>
      </c>
    </row>
    <row r="10" customFormat="false" ht="13.8" hidden="false" customHeight="false" outlineLevel="0" collapsed="false"/>
    <row r="11" customFormat="false" ht="19.85" hidden="false" customHeight="true" outlineLevel="0" collapsed="false">
      <c r="A11" s="181" t="s">
        <v>224</v>
      </c>
    </row>
    <row r="12" customFormat="false" ht="42.5" hidden="false" customHeight="true" outlineLevel="0" collapsed="false">
      <c r="A12" s="182" t="s">
        <v>225</v>
      </c>
      <c r="B12" s="182"/>
      <c r="C12" s="182"/>
      <c r="D12" s="182"/>
      <c r="E12" s="182"/>
      <c r="F12" s="182"/>
      <c r="G12" s="182"/>
      <c r="H12" s="182"/>
    </row>
    <row r="13" customFormat="false" ht="19.85" hidden="false" customHeight="true" outlineLevel="0" collapsed="false">
      <c r="A13" s="181" t="s">
        <v>226</v>
      </c>
    </row>
    <row r="14" customFormat="false" ht="13.8" hidden="false" customHeight="false" outlineLevel="0" collapsed="false"/>
  </sheetData>
  <mergeCells count="4">
    <mergeCell ref="A1:E1"/>
    <mergeCell ref="A3:E3"/>
    <mergeCell ref="A4:E4"/>
    <mergeCell ref="A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7.89453125" defaultRowHeight="15" zeroHeight="false" outlineLevelRow="0" outlineLevelCol="0"/>
  <cols>
    <col collapsed="false" customWidth="true" hidden="false" outlineLevel="0" max="2" min="2" style="1" width="11.7"/>
  </cols>
  <sheetData>
    <row r="2" customFormat="false" ht="15" hidden="false" customHeight="false" outlineLevel="0" collapsed="false">
      <c r="A2" s="142" t="s">
        <v>35</v>
      </c>
      <c r="B2" s="142" t="s">
        <v>227</v>
      </c>
    </row>
    <row r="3" customFormat="false" ht="15" hidden="false" customHeight="false" outlineLevel="0" collapsed="false">
      <c r="A3" s="142" t="s">
        <v>228</v>
      </c>
      <c r="B3" s="142" t="s">
        <v>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O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7.89453125" defaultRowHeight="15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.04"/>
    <col collapsed="false" customWidth="true" hidden="false" outlineLevel="0" max="3" min="3" style="1" width="8.97"/>
    <col collapsed="false" customWidth="true" hidden="false" outlineLevel="0" max="6" min="4" style="1" width="1.04"/>
    <col collapsed="false" customWidth="true" hidden="false" outlineLevel="0" max="7" min="7" style="1" width="11.18"/>
    <col collapsed="false" customWidth="true" hidden="false" outlineLevel="0" max="8" min="8" style="1" width="2.2"/>
    <col collapsed="false" customWidth="true" hidden="false" outlineLevel="0" max="9" min="9" style="1" width="1.04"/>
    <col collapsed="false" customWidth="true" hidden="false" outlineLevel="0" max="11" min="10" style="1" width="4.55"/>
    <col collapsed="false" customWidth="true" hidden="false" outlineLevel="0" max="12" min="12" style="1" width="3.77"/>
    <col collapsed="false" customWidth="true" hidden="false" outlineLevel="0" max="13" min="13" style="1" width="8.19"/>
    <col collapsed="false" customWidth="true" hidden="false" outlineLevel="0" max="15" min="14" style="1" width="2.2"/>
  </cols>
  <sheetData>
    <row r="2" customFormat="false" ht="18.75" hidden="false" customHeight="true" outlineLevel="0" collapsed="false">
      <c r="C2" s="54" t="s">
        <v>38</v>
      </c>
      <c r="D2" s="3"/>
    </row>
    <row r="3" customFormat="false" ht="18.75" hidden="false" customHeight="true" outlineLevel="0" collapsed="false">
      <c r="C3" s="7" t="s">
        <v>1</v>
      </c>
      <c r="D3" s="8"/>
      <c r="E3" s="8"/>
      <c r="G3" s="10" t="s">
        <v>39</v>
      </c>
      <c r="H3" s="11"/>
    </row>
    <row r="4" customFormat="false" ht="18.75" hidden="false" customHeight="true" outlineLevel="0" collapsed="false">
      <c r="C4" s="7"/>
      <c r="D4" s="8"/>
      <c r="E4" s="8"/>
      <c r="G4" s="55"/>
      <c r="H4" s="5"/>
    </row>
    <row r="5" customFormat="false" ht="7.5" hidden="false" customHeight="true" outlineLevel="0" collapsed="false">
      <c r="D5" s="56"/>
      <c r="J5" s="57"/>
      <c r="K5" s="57"/>
      <c r="L5" s="57"/>
    </row>
    <row r="6" customFormat="false" ht="7.5" hidden="false" customHeight="true" outlineLevel="0" collapsed="false">
      <c r="D6" s="53"/>
      <c r="E6" s="2"/>
      <c r="F6" s="2"/>
      <c r="G6" s="2"/>
      <c r="H6" s="2"/>
      <c r="I6" s="2"/>
      <c r="J6" s="58"/>
      <c r="K6" s="59"/>
      <c r="L6" s="58"/>
      <c r="M6" s="2"/>
      <c r="N6" s="56"/>
    </row>
    <row r="7" customFormat="false" ht="18.75" hidden="false" customHeight="true" outlineLevel="0" collapsed="false">
      <c r="C7" s="7" t="s">
        <v>5</v>
      </c>
      <c r="D7" s="60"/>
      <c r="E7" s="60"/>
      <c r="G7" s="10" t="s">
        <v>6</v>
      </c>
      <c r="H7" s="11"/>
      <c r="K7" s="12"/>
      <c r="N7" s="12"/>
    </row>
    <row r="8" customFormat="false" ht="18.75" hidden="false" customHeight="true" outlineLevel="0" collapsed="false">
      <c r="C8" s="7"/>
      <c r="D8" s="60"/>
      <c r="E8" s="60"/>
      <c r="G8" s="55"/>
      <c r="H8" s="5"/>
      <c r="K8" s="61" t="s">
        <v>6</v>
      </c>
      <c r="L8" s="61"/>
      <c r="N8" s="61" t="s">
        <v>4</v>
      </c>
      <c r="O8" s="61"/>
    </row>
    <row r="9" customFormat="false" ht="7.5" hidden="false" customHeight="true" outlineLevel="0" collapsed="false">
      <c r="D9" s="56"/>
      <c r="K9" s="53"/>
    </row>
    <row r="10" customFormat="false" ht="7.5" hidden="false" customHeight="true" outlineLevel="0" collapsed="false">
      <c r="C10" s="2"/>
      <c r="D10" s="3"/>
      <c r="E10" s="26"/>
      <c r="F10" s="2"/>
      <c r="G10" s="2"/>
      <c r="H10" s="2"/>
      <c r="I10" s="2"/>
      <c r="J10" s="2"/>
      <c r="K10" s="5"/>
      <c r="N10" s="12"/>
    </row>
    <row r="11" customFormat="false" ht="18.75" hidden="false" customHeight="true" outlineLevel="0" collapsed="false">
      <c r="C11" s="62" t="s">
        <v>40</v>
      </c>
      <c r="D11" s="8"/>
      <c r="E11" s="8"/>
      <c r="G11" s="10" t="s">
        <v>41</v>
      </c>
      <c r="H11" s="11"/>
      <c r="J11" s="63"/>
      <c r="K11" s="63"/>
      <c r="L11" s="63"/>
      <c r="M11" s="63"/>
      <c r="N11" s="64"/>
    </row>
    <row r="12" customFormat="false" ht="18.75" hidden="false" customHeight="true" outlineLevel="0" collapsed="false">
      <c r="C12" s="62"/>
      <c r="D12" s="8"/>
      <c r="E12" s="8"/>
      <c r="G12" s="55"/>
      <c r="H12" s="5"/>
      <c r="J12" s="65"/>
      <c r="K12" s="65"/>
      <c r="L12" s="65"/>
      <c r="M12" s="66"/>
      <c r="N12" s="67"/>
    </row>
    <row r="13" customFormat="false" ht="18.75" hidden="false" customHeight="true" outlineLevel="0" collapsed="false">
      <c r="C13" s="68" t="s">
        <v>42</v>
      </c>
      <c r="D13" s="3"/>
      <c r="E13" s="4"/>
      <c r="F13" s="18"/>
      <c r="G13" s="18"/>
      <c r="H13" s="18"/>
      <c r="I13" s="18"/>
      <c r="J13" s="69"/>
      <c r="K13" s="69"/>
      <c r="L13" s="69"/>
      <c r="M13" s="70"/>
      <c r="N13" s="71"/>
    </row>
    <row r="14" customFormat="false" ht="18.75" hidden="false" customHeight="true" outlineLevel="0" collapsed="false">
      <c r="J14" s="65"/>
      <c r="K14" s="65"/>
      <c r="L14" s="65"/>
      <c r="M14" s="5"/>
      <c r="N14" s="72"/>
    </row>
    <row r="15" customFormat="false" ht="18.75" hidden="false" customHeight="true" outlineLevel="0" collapsed="false">
      <c r="C15" s="51" t="s">
        <v>43</v>
      </c>
      <c r="D15" s="51"/>
      <c r="E15" s="51"/>
      <c r="F15" s="51"/>
      <c r="G15" s="73" t="n">
        <v>3</v>
      </c>
      <c r="H15" s="34" t="s">
        <v>20</v>
      </c>
      <c r="J15" s="74" t="s">
        <v>12</v>
      </c>
      <c r="K15" s="74"/>
      <c r="L15" s="74"/>
      <c r="M15" s="74"/>
      <c r="N15" s="74"/>
    </row>
    <row r="16" customFormat="false" ht="18.75" hidden="false" customHeight="true" outlineLevel="0" collapsed="false">
      <c r="C16" s="51" t="s">
        <v>44</v>
      </c>
      <c r="D16" s="51"/>
      <c r="E16" s="51"/>
      <c r="F16" s="51"/>
      <c r="G16" s="73" t="n">
        <v>0.05</v>
      </c>
      <c r="H16" s="75" t="s">
        <v>15</v>
      </c>
      <c r="J16" s="10" t="s">
        <v>1</v>
      </c>
      <c r="K16" s="10"/>
      <c r="L16" s="76" t="n">
        <v>10000</v>
      </c>
      <c r="M16" s="76"/>
      <c r="N16" s="77" t="s">
        <v>15</v>
      </c>
    </row>
    <row r="17" customFormat="false" ht="18.75" hidden="false" customHeight="true" outlineLevel="0" collapsed="false">
      <c r="C17" s="51" t="s">
        <v>7</v>
      </c>
      <c r="D17" s="51"/>
      <c r="E17" s="51"/>
      <c r="F17" s="51"/>
      <c r="G17" s="78" t="n">
        <v>0.01</v>
      </c>
      <c r="H17" s="34" t="s">
        <v>24</v>
      </c>
      <c r="J17" s="10" t="s">
        <v>5</v>
      </c>
      <c r="K17" s="10"/>
      <c r="L17" s="79" t="n">
        <v>10000</v>
      </c>
      <c r="M17" s="79"/>
      <c r="N17" s="10" t="s">
        <v>15</v>
      </c>
    </row>
    <row r="18" customFormat="false" ht="18.75" hidden="false" customHeight="true" outlineLevel="0" collapsed="false">
      <c r="C18" s="51" t="s">
        <v>9</v>
      </c>
      <c r="D18" s="51"/>
      <c r="E18" s="51"/>
      <c r="F18" s="51"/>
      <c r="G18" s="78" t="n">
        <v>0.01</v>
      </c>
      <c r="H18" s="34" t="s">
        <v>24</v>
      </c>
      <c r="J18" s="10" t="s">
        <v>3</v>
      </c>
      <c r="K18" s="10"/>
      <c r="L18" s="80"/>
      <c r="M18" s="80"/>
      <c r="N18" s="10" t="s">
        <v>18</v>
      </c>
    </row>
    <row r="19" customFormat="false" ht="18.75" hidden="false" customHeight="true" outlineLevel="0" collapsed="false">
      <c r="C19" s="51" t="s">
        <v>30</v>
      </c>
      <c r="D19" s="51"/>
      <c r="E19" s="51"/>
      <c r="F19" s="51"/>
      <c r="G19" s="81" t="n">
        <v>5</v>
      </c>
      <c r="H19" s="34" t="s">
        <v>18</v>
      </c>
      <c r="J19" s="10" t="s">
        <v>4</v>
      </c>
      <c r="K19" s="10"/>
      <c r="L19" s="82"/>
      <c r="M19" s="82"/>
      <c r="N19" s="10" t="s">
        <v>18</v>
      </c>
    </row>
    <row r="20" customFormat="false" ht="18.75" hidden="false" customHeight="true" outlineLevel="0" collapsed="false">
      <c r="C20" s="51" t="s">
        <v>33</v>
      </c>
      <c r="D20" s="51"/>
      <c r="E20" s="51"/>
      <c r="F20" s="51"/>
      <c r="G20" s="83" t="n">
        <f aca="false">IF(VDC_VTYPE="DC",VDC_VEFF,VDC_VEFF*SQRT(2))</f>
        <v>5</v>
      </c>
      <c r="H20" s="10" t="s">
        <v>18</v>
      </c>
      <c r="J20" s="10" t="s">
        <v>19</v>
      </c>
      <c r="K20" s="10"/>
      <c r="L20" s="82"/>
      <c r="M20" s="82"/>
      <c r="N20" s="10" t="s">
        <v>20</v>
      </c>
    </row>
    <row r="21" customFormat="false" ht="18.75" hidden="false" customHeight="true" outlineLevel="0" collapsed="false">
      <c r="C21" s="41" t="s">
        <v>31</v>
      </c>
      <c r="D21" s="41"/>
      <c r="E21" s="41"/>
      <c r="F21" s="41"/>
      <c r="G21" s="41"/>
      <c r="H21" s="11"/>
      <c r="J21" s="10" t="s">
        <v>21</v>
      </c>
      <c r="K21" s="10"/>
      <c r="L21" s="82"/>
      <c r="M21" s="82"/>
      <c r="N21" s="10" t="s">
        <v>22</v>
      </c>
    </row>
    <row r="22" customFormat="false" ht="18.75" hidden="false" customHeight="true" outlineLevel="0" collapsed="false">
      <c r="C22" s="45" t="s">
        <v>34</v>
      </c>
      <c r="D22" s="45"/>
      <c r="E22" s="45"/>
      <c r="F22" s="45"/>
      <c r="G22" s="73" t="s">
        <v>35</v>
      </c>
      <c r="H22" s="84"/>
      <c r="J22" s="10" t="s">
        <v>45</v>
      </c>
      <c r="K22" s="10"/>
      <c r="L22" s="82"/>
      <c r="M22" s="82"/>
      <c r="N22" s="10" t="s">
        <v>22</v>
      </c>
    </row>
    <row r="23" customFormat="false" ht="18.75" hidden="false" customHeight="true" outlineLevel="0" collapsed="false"/>
    <row r="24" customFormat="false" ht="18.75" hidden="false" customHeight="true" outlineLevel="0" collapsed="false"/>
    <row r="25" customFormat="false" ht="18.75" hidden="false" customHeight="true" outlineLevel="0" collapsed="false"/>
    <row r="26" customFormat="false" ht="18.75" hidden="false" customHeight="true" outlineLevel="0" collapsed="false"/>
    <row r="27" customFormat="false" ht="18.75" hidden="false" customHeight="true" outlineLevel="0" collapsed="false"/>
    <row r="28" customFormat="false" ht="18.75" hidden="false" customHeight="true" outlineLevel="0" collapsed="false"/>
    <row r="29" customFormat="false" ht="18.7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/>
    <row r="32" customFormat="false" ht="18.75" hidden="false" customHeight="true" outlineLevel="0" collapsed="false"/>
    <row r="33" customFormat="false" ht="18.75" hidden="false" customHeight="true" outlineLevel="0" collapsed="false"/>
    <row r="34" customFormat="false" ht="18.75" hidden="false" customHeight="true" outlineLevel="0" collapsed="false"/>
    <row r="35" customFormat="false" ht="18.75" hidden="false" customHeight="true" outlineLevel="0" collapsed="false"/>
    <row r="36" customFormat="false" ht="18.75" hidden="false" customHeight="true" outlineLevel="0" collapsed="false"/>
    <row r="37" customFormat="false" ht="18.75" hidden="false" customHeight="true" outlineLevel="0" collapsed="false"/>
    <row r="38" customFormat="false" ht="18.75" hidden="false" customHeight="true" outlineLevel="0" collapsed="false"/>
    <row r="39" customFormat="false" ht="18.75" hidden="false" customHeight="true" outlineLevel="0" collapsed="false"/>
  </sheetData>
  <mergeCells count="31">
    <mergeCell ref="C3:C4"/>
    <mergeCell ref="D3:E4"/>
    <mergeCell ref="C7:C8"/>
    <mergeCell ref="D7:E8"/>
    <mergeCell ref="K8:L8"/>
    <mergeCell ref="N8:O8"/>
    <mergeCell ref="C11:C12"/>
    <mergeCell ref="D11:E12"/>
    <mergeCell ref="C15:F15"/>
    <mergeCell ref="J15:N15"/>
    <mergeCell ref="C16:F16"/>
    <mergeCell ref="J16:K16"/>
    <mergeCell ref="L16:M16"/>
    <mergeCell ref="C17:F17"/>
    <mergeCell ref="J17:K17"/>
    <mergeCell ref="L17:M17"/>
    <mergeCell ref="C18:F18"/>
    <mergeCell ref="J18:K18"/>
    <mergeCell ref="L18:M18"/>
    <mergeCell ref="C19:F19"/>
    <mergeCell ref="J19:K19"/>
    <mergeCell ref="L19:M19"/>
    <mergeCell ref="C20:F20"/>
    <mergeCell ref="J20:K20"/>
    <mergeCell ref="L20:M20"/>
    <mergeCell ref="C21:G21"/>
    <mergeCell ref="J21:K21"/>
    <mergeCell ref="L21:M21"/>
    <mergeCell ref="C22:F22"/>
    <mergeCell ref="J22:K22"/>
    <mergeCell ref="L22:M22"/>
  </mergeCells>
  <dataValidations count="1">
    <dataValidation allowBlank="true" error="Wrong voltage type selected." errorStyle="stop" errorTitle="Error" operator="between" prompt="Select type of voltage: DC or SINE (AC)" showDropDown="false" showErrorMessage="true" showInputMessage="true" sqref="G22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V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3" activeCellId="0" sqref="T13"/>
    </sheetView>
  </sheetViews>
  <sheetFormatPr defaultColWidth="8.3203125" defaultRowHeight="12.75" zeroHeight="false" outlineLevelRow="0" outlineLevelCol="0"/>
  <cols>
    <col collapsed="false" customWidth="true" hidden="false" outlineLevel="0" max="1" min="1" style="85" width="3.11"/>
    <col collapsed="false" customWidth="true" hidden="false" outlineLevel="0" max="2" min="2" style="85" width="1.04"/>
    <col collapsed="false" customWidth="true" hidden="false" outlineLevel="0" max="3" min="3" style="85" width="8.97"/>
    <col collapsed="false" customWidth="true" hidden="false" outlineLevel="0" max="6" min="4" style="85" width="1.04"/>
    <col collapsed="false" customWidth="true" hidden="false" outlineLevel="0" max="7" min="7" style="85" width="11.18"/>
    <col collapsed="false" customWidth="true" hidden="false" outlineLevel="0" max="8" min="8" style="85" width="2.2"/>
    <col collapsed="false" customWidth="true" hidden="false" outlineLevel="0" max="9" min="9" style="85" width="3.64"/>
    <col collapsed="false" customWidth="true" hidden="false" outlineLevel="0" max="10" min="10" style="85" width="10.79"/>
    <col collapsed="false" customWidth="true" hidden="false" outlineLevel="0" max="11" min="11" style="85" width="10.75"/>
    <col collapsed="false" customWidth="true" hidden="false" outlineLevel="0" max="12" min="12" style="85" width="2.2"/>
    <col collapsed="false" customWidth="false" hidden="false" outlineLevel="0" max="13" min="13" style="85" width="8.32"/>
    <col collapsed="false" customWidth="true" hidden="false" outlineLevel="0" max="14" min="14" style="85" width="9.36"/>
    <col collapsed="false" customWidth="false" hidden="false" outlineLevel="0" max="16" min="15" style="85" width="8.32"/>
    <col collapsed="false" customWidth="true" hidden="false" outlineLevel="0" max="17" min="17" style="85" width="1.04"/>
    <col collapsed="false" customWidth="false" hidden="false" outlineLevel="0" max="21" min="18" style="85" width="8.32"/>
    <col collapsed="false" customWidth="true" hidden="false" outlineLevel="0" max="22" min="22" style="85" width="10.01"/>
    <col collapsed="false" customWidth="false" hidden="false" outlineLevel="0" max="16384" min="23" style="85" width="8.32"/>
  </cols>
  <sheetData>
    <row r="2" customFormat="false" ht="18.75" hidden="false" customHeight="true" outlineLevel="0" collapsed="false">
      <c r="C2" s="86" t="s">
        <v>46</v>
      </c>
      <c r="D2" s="87"/>
      <c r="G2" s="88"/>
      <c r="H2" s="88"/>
      <c r="I2" s="88"/>
      <c r="J2" s="89" t="s">
        <v>47</v>
      </c>
      <c r="K2" s="88"/>
      <c r="L2" s="88"/>
      <c r="M2" s="88"/>
      <c r="N2" s="88"/>
      <c r="O2" s="88"/>
      <c r="P2" s="88"/>
      <c r="Q2" s="87"/>
    </row>
    <row r="3" customFormat="false" ht="18.75" hidden="false" customHeight="true" outlineLevel="0" collapsed="false">
      <c r="C3" s="90" t="s">
        <v>48</v>
      </c>
      <c r="D3" s="91"/>
      <c r="E3" s="87"/>
      <c r="G3" s="92" t="s">
        <v>49</v>
      </c>
      <c r="J3" s="93" t="s">
        <v>50</v>
      </c>
      <c r="Q3" s="94"/>
    </row>
    <row r="4" customFormat="false" ht="18.75" hidden="false" customHeight="true" outlineLevel="0" collapsed="false">
      <c r="C4" s="90"/>
      <c r="D4" s="95"/>
      <c r="E4" s="96"/>
      <c r="G4" s="97" t="n">
        <f aca="false">VDR_VEFF-VDR_VB</f>
        <v>3.9</v>
      </c>
      <c r="Q4" s="94"/>
    </row>
    <row r="5" customFormat="false" ht="7.5" hidden="false" customHeight="true" outlineLevel="0" collapsed="false">
      <c r="D5" s="87"/>
      <c r="I5" s="98" t="s">
        <v>51</v>
      </c>
      <c r="Q5" s="94"/>
    </row>
    <row r="6" customFormat="false" ht="7.5" hidden="false" customHeight="true" outlineLevel="0" collapsed="false">
      <c r="D6" s="94"/>
      <c r="E6" s="91"/>
      <c r="F6" s="88"/>
      <c r="G6" s="88"/>
      <c r="I6" s="98"/>
      <c r="Q6" s="94"/>
    </row>
    <row r="7" customFormat="false" ht="18.75" hidden="false" customHeight="true" outlineLevel="0" collapsed="false">
      <c r="C7" s="90" t="s">
        <v>52</v>
      </c>
      <c r="D7" s="91"/>
      <c r="E7" s="87"/>
      <c r="G7" s="92" t="s">
        <v>53</v>
      </c>
      <c r="Q7" s="94"/>
    </row>
    <row r="8" customFormat="false" ht="18.75" hidden="false" customHeight="true" outlineLevel="0" collapsed="false">
      <c r="C8" s="90"/>
      <c r="D8" s="95"/>
      <c r="E8" s="96"/>
      <c r="G8" s="97" t="n">
        <f aca="false">VDR_VOUT</f>
        <v>0.6</v>
      </c>
      <c r="Q8" s="94"/>
    </row>
    <row r="9" customFormat="false" ht="18.75" hidden="false" customHeight="true" outlineLevel="0" collapsed="false">
      <c r="B9" s="99"/>
      <c r="C9" s="99"/>
      <c r="D9" s="100"/>
      <c r="J9" s="101" t="s">
        <v>54</v>
      </c>
      <c r="K9" s="101"/>
      <c r="L9" s="101"/>
      <c r="M9" s="101"/>
      <c r="N9" s="101"/>
      <c r="O9" s="102"/>
      <c r="Q9" s="94"/>
    </row>
    <row r="10" customFormat="false" ht="18.75" hidden="false" customHeight="true" outlineLevel="0" collapsed="false">
      <c r="Q10" s="94"/>
      <c r="V10" s="103"/>
    </row>
    <row r="11" customFormat="false" ht="18" hidden="false" customHeight="true" outlineLevel="0" collapsed="false">
      <c r="C11" s="92" t="s">
        <v>55</v>
      </c>
      <c r="D11" s="92"/>
      <c r="E11" s="92"/>
      <c r="F11" s="92"/>
      <c r="G11" s="104" t="n">
        <v>0.6</v>
      </c>
      <c r="H11" s="105" t="s">
        <v>18</v>
      </c>
      <c r="J11" s="92" t="s">
        <v>51</v>
      </c>
      <c r="K11" s="106" t="n">
        <f aca="false">VDR_VREF*VDR_ADCVAL/IF(VDR_ADCTYPE="ADC 10 bits",1023,256)</f>
        <v>0.6</v>
      </c>
      <c r="L11" s="92" t="s">
        <v>18</v>
      </c>
      <c r="Q11" s="94"/>
    </row>
    <row r="12" customFormat="false" ht="18" hidden="false" customHeight="true" outlineLevel="0" collapsed="false">
      <c r="C12" s="92" t="s">
        <v>56</v>
      </c>
      <c r="D12" s="92"/>
      <c r="E12" s="92"/>
      <c r="F12" s="92"/>
      <c r="G12" s="107" t="s">
        <v>57</v>
      </c>
      <c r="H12" s="108"/>
      <c r="J12" s="92" t="s">
        <v>52</v>
      </c>
      <c r="K12" s="106" t="n">
        <f aca="false">VDR_VOUT*VDR_RA/(VDR_VEFF-VDR_VOUT)</f>
        <v>7230.76923076923</v>
      </c>
      <c r="L12" s="109" t="s">
        <v>58</v>
      </c>
      <c r="Q12" s="94"/>
    </row>
    <row r="13" customFormat="false" ht="18" hidden="false" customHeight="true" outlineLevel="0" collapsed="false">
      <c r="C13" s="92" t="s">
        <v>59</v>
      </c>
      <c r="D13" s="92"/>
      <c r="E13" s="92"/>
      <c r="F13" s="92"/>
      <c r="G13" s="104" t="n">
        <v>1023</v>
      </c>
      <c r="H13" s="105" t="s">
        <v>24</v>
      </c>
      <c r="Q13" s="94"/>
    </row>
    <row r="14" customFormat="false" ht="18" hidden="false" customHeight="true" outlineLevel="0" collapsed="false">
      <c r="C14" s="92" t="s">
        <v>46</v>
      </c>
      <c r="D14" s="92"/>
      <c r="E14" s="92"/>
      <c r="F14" s="92"/>
      <c r="G14" s="110" t="n">
        <v>4.5</v>
      </c>
      <c r="H14" s="92" t="s">
        <v>18</v>
      </c>
      <c r="Q14" s="94"/>
    </row>
    <row r="15" customFormat="false" ht="18" hidden="false" customHeight="true" outlineLevel="0" collapsed="false">
      <c r="C15" s="92" t="s">
        <v>60</v>
      </c>
      <c r="D15" s="92"/>
      <c r="E15" s="92"/>
      <c r="F15" s="92"/>
      <c r="G15" s="97" t="n">
        <f aca="false">IF(VTYPE="DC",VDR_VEFF,VDR_VEFF*SQRT(2))</f>
        <v>4.5</v>
      </c>
      <c r="H15" s="109" t="s">
        <v>18</v>
      </c>
      <c r="Q15" s="94"/>
    </row>
    <row r="16" customFormat="false" ht="18" hidden="false" customHeight="true" outlineLevel="0" collapsed="false">
      <c r="C16" s="92" t="s">
        <v>31</v>
      </c>
      <c r="D16" s="92"/>
      <c r="E16" s="92"/>
      <c r="F16" s="92"/>
      <c r="G16" s="92"/>
      <c r="H16" s="92"/>
      <c r="Q16" s="94"/>
    </row>
    <row r="17" customFormat="false" ht="18" hidden="false" customHeight="true" outlineLevel="0" collapsed="false">
      <c r="C17" s="111" t="s">
        <v>61</v>
      </c>
      <c r="D17" s="111"/>
      <c r="E17" s="111"/>
      <c r="F17" s="111"/>
      <c r="G17" s="112" t="s">
        <v>35</v>
      </c>
      <c r="H17" s="113"/>
      <c r="I17" s="114" t="s">
        <v>62</v>
      </c>
      <c r="J17" s="115"/>
      <c r="K17" s="115"/>
      <c r="L17" s="115"/>
      <c r="M17" s="115"/>
      <c r="N17" s="115"/>
      <c r="O17" s="115"/>
      <c r="P17" s="115"/>
      <c r="Q17" s="94"/>
      <c r="U17" s="116"/>
    </row>
    <row r="18" customFormat="false" ht="18" hidden="false" customHeight="true" outlineLevel="0" collapsed="false">
      <c r="C18" s="111" t="s">
        <v>48</v>
      </c>
      <c r="D18" s="111"/>
      <c r="E18" s="111"/>
      <c r="F18" s="111"/>
      <c r="G18" s="110" t="n">
        <v>47000</v>
      </c>
      <c r="H18" s="109" t="s">
        <v>58</v>
      </c>
      <c r="J18" s="99"/>
      <c r="K18" s="99"/>
      <c r="L18" s="99"/>
      <c r="M18" s="99"/>
      <c r="N18" s="99"/>
      <c r="O18" s="99"/>
      <c r="P18" s="99"/>
      <c r="Q18" s="96"/>
    </row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</sheetData>
  <mergeCells count="12">
    <mergeCell ref="C3:C4"/>
    <mergeCell ref="I5:I6"/>
    <mergeCell ref="C7:C8"/>
    <mergeCell ref="J9:N9"/>
    <mergeCell ref="C11:F11"/>
    <mergeCell ref="C12:F12"/>
    <mergeCell ref="C13:F13"/>
    <mergeCell ref="C14:F14"/>
    <mergeCell ref="C15:F15"/>
    <mergeCell ref="C16:H16"/>
    <mergeCell ref="C17:F17"/>
    <mergeCell ref="C18:F18"/>
  </mergeCells>
  <dataValidations count="2">
    <dataValidation allowBlank="true" error="Wrong voltage type selected" errorStyle="stop" operator="between" prompt="Select type of voltage: DC or SINE (AC)" showDropDown="false" showErrorMessage="true" showInputMessage="true" sqref="G17" type="list">
      <formula1>VoltageType</formula1>
      <formula2>0</formula2>
    </dataValidation>
    <dataValidation allowBlank="true" error="Wrong ADC type selected" errorStyle="stop" operator="between" prompt="Select ADC resolution" showDropDown="false" showErrorMessage="true" showInputMessage="true" sqref="G12" type="list">
      <formula1>ADC_BITS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O6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7.89453125" defaultRowHeight="15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.04"/>
    <col collapsed="false" customWidth="true" hidden="false" outlineLevel="0" max="3" min="3" style="1" width="8.97"/>
    <col collapsed="false" customWidth="true" hidden="false" outlineLevel="0" max="5" min="4" style="1" width="1.04"/>
    <col collapsed="false" customWidth="true" hidden="false" outlineLevel="0" max="6" min="6" style="1" width="5.2"/>
    <col collapsed="false" customWidth="true" hidden="false" outlineLevel="0" max="8" min="7" style="1" width="2.47"/>
    <col collapsed="false" customWidth="true" hidden="false" outlineLevel="0" max="10" min="10" style="1" width="11.76"/>
    <col collapsed="false" customWidth="true" hidden="false" outlineLevel="0" max="12" min="11" style="1" width="2.2"/>
    <col collapsed="false" customWidth="true" hidden="false" outlineLevel="0" max="14" min="14" style="1" width="12.48"/>
    <col collapsed="false" customWidth="true" hidden="false" outlineLevel="0" max="15" min="15" style="1" width="2.6"/>
    <col collapsed="false" customWidth="true" hidden="false" outlineLevel="0" max="16" min="16" style="1" width="1.04"/>
  </cols>
  <sheetData>
    <row r="2" customFormat="false" ht="15" hidden="false" customHeight="false" outlineLevel="0" collapsed="false">
      <c r="B2" s="2"/>
      <c r="C2" s="2"/>
      <c r="D2" s="3"/>
      <c r="E2" s="4"/>
    </row>
    <row r="3" customFormat="false" ht="15" hidden="false" customHeight="false" outlineLevel="0" collapsed="false">
      <c r="C3" s="7" t="s">
        <v>1</v>
      </c>
      <c r="D3" s="8"/>
      <c r="E3" s="8"/>
    </row>
    <row r="4" customFormat="false" ht="15" hidden="false" customHeight="false" outlineLevel="0" collapsed="false">
      <c r="C4" s="7"/>
      <c r="D4" s="8"/>
      <c r="E4" s="8"/>
    </row>
    <row r="5" customFormat="false" ht="7.5" hidden="false" customHeight="true" outlineLevel="0" collapsed="false">
      <c r="C5" s="15" t="s">
        <v>3</v>
      </c>
      <c r="D5" s="9"/>
      <c r="E5" s="16"/>
      <c r="I5" s="19" t="s">
        <v>4</v>
      </c>
    </row>
    <row r="6" customFormat="false" ht="7.5" hidden="false" customHeight="true" outlineLevel="0" collapsed="false">
      <c r="C6" s="15"/>
      <c r="D6" s="5"/>
      <c r="E6" s="5"/>
      <c r="F6" s="2"/>
      <c r="G6" s="56"/>
      <c r="H6" s="26"/>
      <c r="I6" s="19"/>
    </row>
    <row r="7" customFormat="false" ht="12.75" hidden="false" customHeight="true" outlineLevel="0" collapsed="false">
      <c r="C7" s="117"/>
      <c r="D7" s="9"/>
      <c r="E7" s="9"/>
      <c r="F7" s="118" t="s">
        <v>63</v>
      </c>
      <c r="G7" s="12"/>
    </row>
    <row r="8" customFormat="false" ht="3.75" hidden="false" customHeight="true" outlineLevel="0" collapsed="false">
      <c r="C8" s="117"/>
      <c r="D8" s="9"/>
      <c r="E8" s="9"/>
      <c r="F8" s="118"/>
      <c r="G8" s="119"/>
      <c r="H8" s="119"/>
    </row>
    <row r="9" customFormat="false" ht="1.5" hidden="false" customHeight="true" outlineLevel="0" collapsed="false">
      <c r="C9" s="117"/>
      <c r="D9" s="9"/>
      <c r="E9" s="9"/>
      <c r="F9" s="118"/>
    </row>
    <row r="10" customFormat="false" ht="3.75" hidden="false" customHeight="true" outlineLevel="0" collapsed="false">
      <c r="C10" s="117"/>
      <c r="D10" s="9"/>
      <c r="E10" s="9"/>
      <c r="F10" s="118"/>
      <c r="G10" s="119"/>
      <c r="H10" s="119"/>
    </row>
    <row r="11" customFormat="false" ht="12.75" hidden="false" customHeight="true" outlineLevel="0" collapsed="false">
      <c r="C11" s="117"/>
      <c r="D11" s="9"/>
      <c r="E11" s="9"/>
      <c r="F11" s="118"/>
      <c r="G11" s="12"/>
    </row>
    <row r="12" customFormat="false" ht="15" hidden="false" customHeight="false" outlineLevel="0" collapsed="false">
      <c r="B12" s="18"/>
      <c r="C12" s="18"/>
      <c r="D12" s="18"/>
      <c r="E12" s="18"/>
      <c r="F12" s="18"/>
      <c r="G12" s="53"/>
    </row>
    <row r="13" customFormat="false" ht="15.75" hidden="false" customHeight="false" outlineLevel="0" collapsed="false"/>
    <row r="14" customFormat="false" ht="18.75" hidden="false" customHeight="false" outlineLevel="0" collapsed="false">
      <c r="I14" s="22" t="s">
        <v>3</v>
      </c>
      <c r="J14" s="73" t="n">
        <v>3.3</v>
      </c>
      <c r="K14" s="34" t="s">
        <v>18</v>
      </c>
      <c r="M14" s="35" t="s">
        <v>4</v>
      </c>
      <c r="N14" s="120" t="n">
        <f aca="false">RC_VIN</f>
        <v>3.3</v>
      </c>
      <c r="O14" s="34" t="s">
        <v>18</v>
      </c>
    </row>
    <row r="15" customFormat="false" ht="18.75" hidden="false" customHeight="false" outlineLevel="0" collapsed="false">
      <c r="I15" s="121" t="s">
        <v>1</v>
      </c>
      <c r="J15" s="122" t="n">
        <v>3300000</v>
      </c>
      <c r="K15" s="75" t="s">
        <v>15</v>
      </c>
      <c r="M15" s="35" t="s">
        <v>64</v>
      </c>
      <c r="N15" s="123" t="n">
        <f aca="false">RC_RA*RC_C/1000000</f>
        <v>0.726</v>
      </c>
      <c r="O15" s="10" t="s">
        <v>65</v>
      </c>
    </row>
    <row r="16" customFormat="false" ht="18.75" hidden="false" customHeight="false" outlineLevel="0" collapsed="false">
      <c r="I16" s="22"/>
      <c r="J16" s="73"/>
      <c r="K16" s="34"/>
      <c r="M16" s="35" t="s">
        <v>66</v>
      </c>
      <c r="N16" s="55" t="n">
        <f aca="false">1/(2*PI()*RT_TAU)</f>
        <v>0.21922168469958</v>
      </c>
      <c r="O16" s="35" t="s">
        <v>67</v>
      </c>
    </row>
    <row r="17" customFormat="false" ht="15.75" hidden="false" customHeight="false" outlineLevel="0" collapsed="false">
      <c r="I17" s="22" t="s">
        <v>63</v>
      </c>
      <c r="J17" s="124" t="n">
        <v>0.22</v>
      </c>
      <c r="K17" s="125" t="s">
        <v>68</v>
      </c>
    </row>
    <row r="18" customFormat="false" ht="18.75" hidden="false" customHeight="false" outlineLevel="0" collapsed="false">
      <c r="I18" s="126" t="s">
        <v>69</v>
      </c>
      <c r="J18" s="124" t="n">
        <v>0.0002</v>
      </c>
      <c r="K18" s="125" t="s">
        <v>65</v>
      </c>
      <c r="M18" s="35" t="s">
        <v>70</v>
      </c>
      <c r="N18" s="39" t="n">
        <f aca="false">RC_VOUT*(1-EXP(-RC_t/RT_TAU))</f>
        <v>0.000908965701455222</v>
      </c>
      <c r="O18" s="10" t="s">
        <v>18</v>
      </c>
    </row>
    <row r="22" customFormat="false" ht="15" hidden="false" customHeight="false" outlineLevel="0" collapsed="false">
      <c r="I22" s="28" t="n">
        <v>0</v>
      </c>
      <c r="J22" s="28" t="n">
        <f aca="false">RC_VOUT*(1-EXP(-I22/RT_TAU))</f>
        <v>0</v>
      </c>
      <c r="L22" s="127" t="n">
        <f aca="false">RC_VOUT*(EXP(-I22/RT_TAU))</f>
        <v>3.3</v>
      </c>
      <c r="M22" s="127"/>
    </row>
    <row r="23" customFormat="false" ht="15" hidden="false" customHeight="false" outlineLevel="0" collapsed="false">
      <c r="I23" s="28" t="n">
        <v>0.01</v>
      </c>
      <c r="J23" s="28" t="n">
        <f aca="false">RC_VOUT*(1-EXP(-I23/RT_TAU))</f>
        <v>0.0451429300028757</v>
      </c>
      <c r="L23" s="127" t="n">
        <f aca="false">RC_VOUT*(EXP(-I23/RT_TAU))</f>
        <v>3.25485706999712</v>
      </c>
      <c r="M23" s="127"/>
    </row>
    <row r="24" customFormat="false" ht="15" hidden="false" customHeight="false" outlineLevel="0" collapsed="false">
      <c r="I24" s="28" t="n">
        <v>0.02</v>
      </c>
      <c r="J24" s="28" t="n">
        <f aca="false">RC_VOUT*(1-EXP(-I24/RT_TAU))</f>
        <v>0.0896683193605259</v>
      </c>
      <c r="L24" s="127" t="n">
        <f aca="false">RC_VOUT*(EXP(-I24/RT_TAU))</f>
        <v>3.21033168063947</v>
      </c>
      <c r="M24" s="127"/>
    </row>
    <row r="25" customFormat="false" ht="15" hidden="false" customHeight="false" outlineLevel="0" collapsed="false">
      <c r="I25" s="28" t="n">
        <v>0.03</v>
      </c>
      <c r="J25" s="28" t="n">
        <f aca="false">RC_VOUT*(1-EXP(-I25/RT_TAU))</f>
        <v>0.133584615828745</v>
      </c>
      <c r="L25" s="127" t="n">
        <f aca="false">RC_VOUT*(EXP(-I25/RT_TAU))</f>
        <v>3.16641538417126</v>
      </c>
      <c r="M25" s="127"/>
    </row>
    <row r="26" customFormat="false" ht="15" hidden="false" customHeight="false" outlineLevel="0" collapsed="false">
      <c r="I26" s="28" t="n">
        <v>0.04</v>
      </c>
      <c r="J26" s="28" t="n">
        <f aca="false">RC_VOUT*(1-EXP(-I26/RT_TAU))</f>
        <v>0.176900151600767</v>
      </c>
      <c r="L26" s="127" t="n">
        <f aca="false">RC_VOUT*(EXP(-I26/RT_TAU))</f>
        <v>3.12309984839923</v>
      </c>
      <c r="M26" s="127"/>
    </row>
    <row r="27" customFormat="false" ht="15" hidden="false" customHeight="false" outlineLevel="0" collapsed="false">
      <c r="I27" s="28" t="n">
        <v>0.05</v>
      </c>
      <c r="J27" s="28" t="n">
        <f aca="false">RC_VOUT*(1-EXP(-I27/RT_TAU))</f>
        <v>0.219623144888124</v>
      </c>
      <c r="L27" s="127" t="n">
        <f aca="false">RC_VOUT*(EXP(-I27/RT_TAU))</f>
        <v>3.08037685511188</v>
      </c>
      <c r="M27" s="127"/>
    </row>
    <row r="28" customFormat="false" ht="15" hidden="false" customHeight="false" outlineLevel="0" collapsed="false">
      <c r="I28" s="28" t="n">
        <v>0.06</v>
      </c>
      <c r="J28" s="28" t="n">
        <f aca="false">RC_VOUT*(1-EXP(-I28/RT_TAU))</f>
        <v>0.26176170147988</v>
      </c>
      <c r="L28" s="127" t="n">
        <f aca="false">RC_VOUT*(EXP(-I28/RT_TAU))</f>
        <v>3.03823829852012</v>
      </c>
      <c r="M28" s="127"/>
    </row>
    <row r="29" customFormat="false" ht="15" hidden="false" customHeight="false" outlineLevel="0" collapsed="false">
      <c r="I29" s="28" t="n">
        <v>0.07</v>
      </c>
      <c r="J29" s="28" t="n">
        <f aca="false">RC_VOUT*(1-EXP(-I29/RT_TAU))</f>
        <v>0.303323816280531</v>
      </c>
      <c r="L29" s="127" t="n">
        <f aca="false">RC_VOUT*(EXP(-I29/RT_TAU))</f>
        <v>2.99667618371947</v>
      </c>
      <c r="M29" s="127"/>
    </row>
    <row r="30" customFormat="false" ht="15" hidden="false" customHeight="false" outlineLevel="0" collapsed="false">
      <c r="I30" s="28" t="n">
        <v>0.08</v>
      </c>
      <c r="J30" s="28" t="n">
        <f aca="false">RC_VOUT*(1-EXP(-I30/RT_TAU))</f>
        <v>0.344317374826874</v>
      </c>
      <c r="L30" s="127" t="n">
        <f aca="false">RC_VOUT*(EXP(-I30/RT_TAU))</f>
        <v>2.95568262517313</v>
      </c>
      <c r="M30" s="127"/>
    </row>
    <row r="31" customFormat="false" ht="15" hidden="false" customHeight="false" outlineLevel="0" collapsed="false">
      <c r="I31" s="28" t="n">
        <v>0.09</v>
      </c>
      <c r="J31" s="28" t="n">
        <f aca="false">RC_VOUT*(1-EXP(-I31/RT_TAU))</f>
        <v>0.384750154784119</v>
      </c>
      <c r="L31" s="127" t="n">
        <f aca="false">RC_VOUT*(EXP(-I31/RT_TAU))</f>
        <v>2.91524984521588</v>
      </c>
      <c r="M31" s="127"/>
    </row>
    <row r="32" customFormat="false" ht="15" hidden="false" customHeight="false" outlineLevel="0" collapsed="false">
      <c r="I32" s="28" t="n">
        <v>0.1</v>
      </c>
      <c r="J32" s="28" t="n">
        <f aca="false">RC_VOUT*(1-EXP(-I32/RT_TAU))</f>
        <v>0.424629827421536</v>
      </c>
      <c r="L32" s="127" t="n">
        <f aca="false">RC_VOUT*(EXP(-I32/RT_TAU))</f>
        <v>2.87537017257846</v>
      </c>
      <c r="M32" s="127"/>
    </row>
    <row r="33" customFormat="false" ht="15" hidden="false" customHeight="false" outlineLevel="0" collapsed="false">
      <c r="I33" s="28" t="n">
        <v>0.11</v>
      </c>
      <c r="J33" s="28" t="n">
        <f aca="false">RC_VOUT*(1-EXP(-I33/RT_TAU))</f>
        <v>0.463963959067919</v>
      </c>
      <c r="L33" s="127" t="n">
        <f aca="false">RC_VOUT*(EXP(-I33/RT_TAU))</f>
        <v>2.83603604093208</v>
      </c>
      <c r="M33" s="127"/>
    </row>
    <row r="34" customFormat="false" ht="15" hidden="false" customHeight="false" outlineLevel="0" collapsed="false">
      <c r="I34" s="28" t="n">
        <v>0.12</v>
      </c>
      <c r="J34" s="28" t="n">
        <f aca="false">RC_VOUT*(1-EXP(-I34/RT_TAU))</f>
        <v>0.50276001254714</v>
      </c>
      <c r="L34" s="127" t="n">
        <f aca="false">RC_VOUT*(EXP(-I34/RT_TAU))</f>
        <v>2.79723998745286</v>
      </c>
      <c r="M34" s="127"/>
    </row>
    <row r="35" customFormat="false" ht="15" hidden="false" customHeight="false" outlineLevel="0" collapsed="false">
      <c r="I35" s="28" t="n">
        <v>0.13</v>
      </c>
      <c r="J35" s="28" t="n">
        <f aca="false">RC_VOUT*(1-EXP(-I35/RT_TAU))</f>
        <v>0.541025348594058</v>
      </c>
      <c r="L35" s="127" t="n">
        <f aca="false">RC_VOUT*(EXP(-I35/RT_TAU))</f>
        <v>2.75897465140594</v>
      </c>
      <c r="M35" s="127"/>
    </row>
    <row r="36" customFormat="false" ht="15" hidden="false" customHeight="false" outlineLevel="0" collapsed="false">
      <c r="I36" s="28" t="n">
        <v>0.14</v>
      </c>
      <c r="J36" s="28" t="n">
        <f aca="false">RC_VOUT*(1-EXP(-I36/RT_TAU))</f>
        <v>0.578767227251067</v>
      </c>
      <c r="L36" s="127" t="n">
        <f aca="false">RC_VOUT*(EXP(-I36/RT_TAU))</f>
        <v>2.72123277274893</v>
      </c>
      <c r="M36" s="127"/>
    </row>
    <row r="37" customFormat="false" ht="15" hidden="false" customHeight="false" outlineLevel="0" collapsed="false">
      <c r="I37" s="28" t="n">
        <v>0.15</v>
      </c>
      <c r="J37" s="28" t="n">
        <f aca="false">RC_VOUT*(1-EXP(-I37/RT_TAU))</f>
        <v>0.615992809245532</v>
      </c>
      <c r="L37" s="127" t="n">
        <f aca="false">RC_VOUT*(EXP(-I37/RT_TAU))</f>
        <v>2.68400719075447</v>
      </c>
      <c r="M37" s="127"/>
    </row>
    <row r="38" customFormat="false" ht="15" hidden="false" customHeight="false" outlineLevel="0" collapsed="false">
      <c r="I38" s="28" t="n">
        <v>0.16</v>
      </c>
      <c r="J38" s="28" t="n">
        <f aca="false">RC_VOUT*(1-EXP(-I38/RT_TAU))</f>
        <v>0.652709157348394</v>
      </c>
      <c r="L38" s="127" t="n">
        <f aca="false">RC_VOUT*(EXP(-I38/RT_TAU))</f>
        <v>2.64729084265161</v>
      </c>
      <c r="M38" s="127"/>
    </row>
    <row r="39" customFormat="false" ht="15" hidden="false" customHeight="false" outlineLevel="0" collapsed="false">
      <c r="I39" s="28" t="n">
        <v>0.17</v>
      </c>
      <c r="J39" s="28" t="n">
        <f aca="false">RC_VOUT*(1-EXP(-I39/RT_TAU))</f>
        <v>0.688923237714175</v>
      </c>
      <c r="L39" s="127" t="n">
        <f aca="false">RC_VOUT*(EXP(-I39/RT_TAU))</f>
        <v>2.61107676228583</v>
      </c>
      <c r="M39" s="127"/>
    </row>
    <row r="40" customFormat="false" ht="15" hidden="false" customHeight="false" outlineLevel="0" collapsed="false">
      <c r="I40" s="28" t="n">
        <v>0.18</v>
      </c>
      <c r="J40" s="28" t="n">
        <f aca="false">RC_VOUT*(1-EXP(-I40/RT_TAU))</f>
        <v>0.724641921202661</v>
      </c>
      <c r="L40" s="127" t="n">
        <f aca="false">RC_VOUT*(EXP(-I40/RT_TAU))</f>
        <v>2.57535807879734</v>
      </c>
      <c r="M40" s="127"/>
    </row>
    <row r="41" customFormat="false" ht="15" hidden="false" customHeight="false" outlineLevel="0" collapsed="false">
      <c r="I41" s="28" t="n">
        <v>0.19</v>
      </c>
      <c r="J41" s="28" t="n">
        <f aca="false">RC_VOUT*(1-EXP(-I41/RT_TAU))</f>
        <v>0.759871984682506</v>
      </c>
      <c r="L41" s="127" t="n">
        <f aca="false">RC_VOUT*(EXP(-I41/RT_TAU))</f>
        <v>2.54012801531749</v>
      </c>
      <c r="M41" s="127"/>
    </row>
    <row r="42" customFormat="false" ht="15" hidden="false" customHeight="false" outlineLevel="0" collapsed="false">
      <c r="I42" s="28" t="n">
        <v>0.2</v>
      </c>
      <c r="J42" s="28" t="n">
        <f aca="false">RC_VOUT*(1-EXP(-I42/RT_TAU))</f>
        <v>0.794620112316997</v>
      </c>
      <c r="L42" s="127" t="n">
        <f aca="false">RC_VOUT*(EXP(-I42/RT_TAU))</f>
        <v>2.505379887683</v>
      </c>
      <c r="M42" s="127"/>
    </row>
    <row r="43" customFormat="false" ht="15" hidden="false" customHeight="false" outlineLevel="0" collapsed="false">
      <c r="I43" s="28" t="n">
        <v>0.21</v>
      </c>
      <c r="J43" s="28" t="n">
        <f aca="false">RC_VOUT*(1-EXP(-I43/RT_TAU))</f>
        <v>0.828892896832236</v>
      </c>
      <c r="L43" s="127" t="n">
        <f aca="false">RC_VOUT*(EXP(-I43/RT_TAU))</f>
        <v>2.47110710316776</v>
      </c>
      <c r="M43" s="127"/>
    </row>
    <row r="44" customFormat="false" ht="15" hidden="false" customHeight="false" outlineLevel="0" collapsed="false">
      <c r="I44" s="28" t="n">
        <v>0.22</v>
      </c>
      <c r="J44" s="28" t="n">
        <f aca="false">RC_VOUT*(1-EXP(-I44/RT_TAU))</f>
        <v>0.862696840767966</v>
      </c>
      <c r="L44" s="127" t="n">
        <f aca="false">RC_VOUT*(EXP(-I44/RT_TAU))</f>
        <v>2.43730315923203</v>
      </c>
      <c r="M44" s="127"/>
    </row>
    <row r="45" customFormat="false" ht="15" hidden="false" customHeight="false" outlineLevel="0" collapsed="false">
      <c r="I45" s="28" t="n">
        <v>0.23</v>
      </c>
      <c r="J45" s="28" t="n">
        <f aca="false">RC_VOUT*(1-EXP(-I45/RT_TAU))</f>
        <v>0.8960383577113</v>
      </c>
      <c r="L45" s="127" t="n">
        <f aca="false">RC_VOUT*(EXP(-I45/RT_TAU))</f>
        <v>2.4039616422887</v>
      </c>
      <c r="M45" s="127"/>
    </row>
    <row r="46" customFormat="false" ht="15" hidden="false" customHeight="false" outlineLevel="0" collapsed="false">
      <c r="I46" s="28" t="n">
        <v>0.24</v>
      </c>
      <c r="J46" s="28" t="n">
        <f aca="false">RC_VOUT*(1-EXP(-I46/RT_TAU))</f>
        <v>0.928923773513553</v>
      </c>
      <c r="L46" s="127" t="n">
        <f aca="false">RC_VOUT*(EXP(-I46/RT_TAU))</f>
        <v>2.37107622648645</v>
      </c>
      <c r="M46" s="127"/>
    </row>
    <row r="47" customFormat="false" ht="15" hidden="false" customHeight="false" outlineLevel="0" collapsed="false">
      <c r="I47" s="28" t="n">
        <v>0.25</v>
      </c>
      <c r="J47" s="28" t="n">
        <f aca="false">RC_VOUT*(1-EXP(-I47/RT_TAU))</f>
        <v>0.96135932749045</v>
      </c>
      <c r="L47" s="127" t="n">
        <f aca="false">RC_VOUT*(EXP(-I47/RT_TAU))</f>
        <v>2.33864067250955</v>
      </c>
      <c r="M47" s="127"/>
    </row>
    <row r="48" customFormat="false" ht="15" hidden="false" customHeight="false" outlineLevel="0" collapsed="false">
      <c r="I48" s="28" t="n">
        <v>0.26</v>
      </c>
      <c r="J48" s="28" t="n">
        <f aca="false">RC_VOUT*(1-EXP(-I48/RT_TAU))</f>
        <v>0.993351173605898</v>
      </c>
      <c r="L48" s="127" t="n">
        <f aca="false">RC_VOUT*(EXP(-I48/RT_TAU))</f>
        <v>2.3066488263941</v>
      </c>
      <c r="M48" s="127"/>
    </row>
    <row r="49" customFormat="false" ht="15" hidden="false" customHeight="false" outlineLevel="0" collapsed="false">
      <c r="I49" s="28" t="n">
        <v>0.27</v>
      </c>
      <c r="J49" s="28" t="n">
        <f aca="false">RC_VOUT*(1-EXP(-I49/RT_TAU))</f>
        <v>1.02490538163957</v>
      </c>
      <c r="L49" s="127" t="n">
        <f aca="false">RC_VOUT*(EXP(-I49/RT_TAU))</f>
        <v>2.27509461836043</v>
      </c>
      <c r="M49" s="127"/>
    </row>
    <row r="50" customFormat="false" ht="15" hidden="false" customHeight="false" outlineLevel="0" collapsed="false">
      <c r="I50" s="28" t="n">
        <v>0.28</v>
      </c>
      <c r="J50" s="28" t="n">
        <f aca="false">RC_VOUT*(1-EXP(-I50/RT_TAU))</f>
        <v>1.05602793833853</v>
      </c>
      <c r="L50" s="127" t="n">
        <f aca="false">RC_VOUT*(EXP(-I50/RT_TAU))</f>
        <v>2.24397206166147</v>
      </c>
      <c r="M50" s="127"/>
    </row>
    <row r="51" customFormat="false" ht="15" hidden="false" customHeight="false" outlineLevel="0" collapsed="false">
      <c r="I51" s="28" t="n">
        <v>0.29</v>
      </c>
      <c r="J51" s="28" t="n">
        <f aca="false">RC_VOUT*(1-EXP(-I51/RT_TAU))</f>
        <v>1.08672474855307</v>
      </c>
      <c r="L51" s="127" t="n">
        <f aca="false">RC_VOUT*(EXP(-I51/RT_TAU))</f>
        <v>2.21327525144693</v>
      </c>
      <c r="M51" s="127"/>
    </row>
    <row r="52" customFormat="false" ht="15" hidden="false" customHeight="false" outlineLevel="0" collapsed="false">
      <c r="I52" s="28" t="n">
        <v>0.3</v>
      </c>
      <c r="J52" s="28" t="n">
        <f aca="false">RC_VOUT*(1-EXP(-I52/RT_TAU))</f>
        <v>1.11700163635706</v>
      </c>
      <c r="L52" s="127" t="n">
        <f aca="false">RC_VOUT*(EXP(-I52/RT_TAU))</f>
        <v>2.18299836364294</v>
      </c>
      <c r="M52" s="127"/>
    </row>
    <row r="53" customFormat="false" ht="15" hidden="false" customHeight="false" outlineLevel="0" collapsed="false">
      <c r="I53" s="28" t="n">
        <v>0.31</v>
      </c>
      <c r="J53" s="28" t="n">
        <f aca="false">RC_VOUT*(1-EXP(-I53/RT_TAU))</f>
        <v>1.14686434615292</v>
      </c>
      <c r="L53" s="127" t="n">
        <f aca="false">RC_VOUT*(EXP(-I53/RT_TAU))</f>
        <v>2.15313565384708</v>
      </c>
      <c r="M53" s="127"/>
    </row>
    <row r="54" customFormat="false" ht="15" hidden="false" customHeight="false" outlineLevel="0" collapsed="false">
      <c r="I54" s="28" t="n">
        <v>0.32</v>
      </c>
      <c r="J54" s="28" t="n">
        <f aca="false">RC_VOUT*(1-EXP(-I54/RT_TAU))</f>
        <v>1.1763185437615</v>
      </c>
      <c r="L54" s="127" t="n">
        <f aca="false">RC_VOUT*(EXP(-I54/RT_TAU))</f>
        <v>2.1236814562385</v>
      </c>
      <c r="M54" s="127"/>
    </row>
    <row r="55" customFormat="false" ht="15" hidden="false" customHeight="false" outlineLevel="0" collapsed="false">
      <c r="I55" s="28" t="n">
        <v>0.33</v>
      </c>
      <c r="J55" s="28" t="n">
        <f aca="false">RC_VOUT*(1-EXP(-I55/RT_TAU))</f>
        <v>1.20536981749707</v>
      </c>
      <c r="L55" s="127" t="n">
        <f aca="false">RC_VOUT*(EXP(-I55/RT_TAU))</f>
        <v>2.09463018250293</v>
      </c>
      <c r="M55" s="127"/>
    </row>
    <row r="56" customFormat="false" ht="15" hidden="false" customHeight="false" outlineLevel="0" collapsed="false">
      <c r="I56" s="28" t="n">
        <v>0.34</v>
      </c>
      <c r="J56" s="28" t="n">
        <f aca="false">RC_VOUT*(1-EXP(-I56/RT_TAU))</f>
        <v>1.23402367922757</v>
      </c>
      <c r="L56" s="127" t="n">
        <f aca="false">RC_VOUT*(EXP(-I56/RT_TAU))</f>
        <v>2.06597632077243</v>
      </c>
      <c r="M56" s="127"/>
    </row>
    <row r="57" customFormat="false" ht="15" hidden="false" customHeight="false" outlineLevel="0" collapsed="false">
      <c r="I57" s="28" t="n">
        <v>0.35</v>
      </c>
      <c r="J57" s="28" t="n">
        <f aca="false">RC_VOUT*(1-EXP(-I57/RT_TAU))</f>
        <v>1.26228556542036</v>
      </c>
      <c r="L57" s="127" t="n">
        <f aca="false">RC_VOUT*(EXP(-I57/RT_TAU))</f>
        <v>2.03771443457964</v>
      </c>
      <c r="M57" s="127"/>
    </row>
    <row r="58" customFormat="false" ht="15" hidden="false" customHeight="false" outlineLevel="0" collapsed="false">
      <c r="I58" s="28" t="n">
        <v>0.36</v>
      </c>
      <c r="J58" s="28" t="n">
        <f aca="false">RC_VOUT*(1-EXP(-I58/RT_TAU))</f>
        <v>1.29016083817372</v>
      </c>
      <c r="L58" s="127" t="n">
        <f aca="false">RC_VOUT*(EXP(-I58/RT_TAU))</f>
        <v>2.00983916182628</v>
      </c>
      <c r="M58" s="127"/>
    </row>
    <row r="59" customFormat="false" ht="15" hidden="false" customHeight="false" outlineLevel="0" collapsed="false">
      <c r="I59" s="28" t="n">
        <v>0.37</v>
      </c>
      <c r="J59" s="28" t="n">
        <f aca="false">RC_VOUT*(1-EXP(-I59/RT_TAU))</f>
        <v>1.31765478623413</v>
      </c>
      <c r="L59" s="127" t="n">
        <f aca="false">RC_VOUT*(EXP(-I59/RT_TAU))</f>
        <v>1.98234521376587</v>
      </c>
      <c r="M59" s="127"/>
    </row>
    <row r="60" customFormat="false" ht="15" hidden="false" customHeight="false" outlineLevel="0" collapsed="false">
      <c r="I60" s="28" t="n">
        <v>0.38</v>
      </c>
      <c r="J60" s="28" t="n">
        <f aca="false">RC_VOUT*(1-EXP(-I60/RT_TAU))</f>
        <v>1.34477262599976</v>
      </c>
      <c r="L60" s="127" t="n">
        <f aca="false">RC_VOUT*(EXP(-I60/RT_TAU))</f>
        <v>1.95522737400024</v>
      </c>
      <c r="M60" s="127"/>
    </row>
    <row r="61" customFormat="false" ht="15" hidden="false" customHeight="false" outlineLevel="0" collapsed="false">
      <c r="I61" s="28" t="n">
        <v>0.39</v>
      </c>
      <c r="J61" s="28" t="n">
        <f aca="false">RC_VOUT*(1-EXP(-I61/RT_TAU))</f>
        <v>1.37151950251012</v>
      </c>
      <c r="L61" s="127" t="n">
        <f aca="false">RC_VOUT*(EXP(-I61/RT_TAU))</f>
        <v>1.92848049748988</v>
      </c>
      <c r="M61" s="127"/>
    </row>
    <row r="62" customFormat="false" ht="15" hidden="false" customHeight="false" outlineLevel="0" collapsed="false">
      <c r="I62" s="28" t="n">
        <v>0.4</v>
      </c>
      <c r="J62" s="28" t="n">
        <f aca="false">RC_VOUT*(1-EXP(-I62/RT_TAU))</f>
        <v>1.39790049042227</v>
      </c>
      <c r="L62" s="127" t="n">
        <f aca="false">RC_VOUT*(EXP(-I62/RT_TAU))</f>
        <v>1.90209950957773</v>
      </c>
      <c r="M62" s="127"/>
    </row>
    <row r="63" customFormat="false" ht="15" hidden="false" customHeight="false" outlineLevel="0" collapsed="false">
      <c r="I63" s="28" t="n">
        <v>0.41</v>
      </c>
      <c r="J63" s="28" t="n">
        <f aca="false">RC_VOUT*(1-EXP(-I63/RT_TAU))</f>
        <v>1.4239205949736</v>
      </c>
      <c r="L63" s="127" t="n">
        <f aca="false">RC_VOUT*(EXP(-I63/RT_TAU))</f>
        <v>1.8760794050264</v>
      </c>
      <c r="M63" s="127"/>
    </row>
    <row r="64" customFormat="false" ht="15" hidden="false" customHeight="false" outlineLevel="0" collapsed="false">
      <c r="I64" s="28" t="n">
        <v>0.42</v>
      </c>
      <c r="J64" s="28" t="n">
        <f aca="false">RC_VOUT*(1-EXP(-I64/RT_TAU))</f>
        <v>1.44958475293146</v>
      </c>
      <c r="L64" s="127" t="n">
        <f aca="false">RC_VOUT*(EXP(-I64/RT_TAU))</f>
        <v>1.85041524706854</v>
      </c>
      <c r="M64" s="127"/>
    </row>
    <row r="65" customFormat="false" ht="15" hidden="false" customHeight="false" outlineLevel="0" collapsed="false">
      <c r="I65" s="28" t="n">
        <v>0.43</v>
      </c>
      <c r="J65" s="28" t="n">
        <f aca="false">RC_VOUT*(1-EXP(-I65/RT_TAU))</f>
        <v>1.47489783352985</v>
      </c>
      <c r="L65" s="127" t="n">
        <f aca="false">RC_VOUT*(EXP(-I65/RT_TAU))</f>
        <v>1.82510216647015</v>
      </c>
      <c r="M65" s="127"/>
    </row>
    <row r="66" customFormat="false" ht="15" hidden="false" customHeight="false" outlineLevel="0" collapsed="false">
      <c r="I66" s="28" t="n">
        <v>0.44</v>
      </c>
      <c r="J66" s="28" t="n">
        <f aca="false">RC_VOUT*(1-EXP(-I66/RT_TAU))</f>
        <v>1.4998646393932</v>
      </c>
      <c r="L66" s="127" t="n">
        <f aca="false">RC_VOUT*(EXP(-I66/RT_TAU))</f>
        <v>1.8001353606068</v>
      </c>
      <c r="M66" s="127"/>
    </row>
    <row r="67" customFormat="false" ht="15" hidden="false" customHeight="false" outlineLevel="0" collapsed="false">
      <c r="I67" s="28" t="n">
        <v>0.45</v>
      </c>
      <c r="J67" s="28" t="n">
        <f aca="false">RC_VOUT*(1-EXP(-I67/RT_TAU))</f>
        <v>1.52448990744761</v>
      </c>
      <c r="L67" s="127" t="n">
        <f aca="false">RC_VOUT*(EXP(-I67/RT_TAU))</f>
        <v>1.77551009255239</v>
      </c>
      <c r="M67" s="127"/>
    </row>
    <row r="68" customFormat="false" ht="15" hidden="false" customHeight="false" outlineLevel="0" collapsed="false">
      <c r="I68" s="28" t="n">
        <v>0.46</v>
      </c>
      <c r="J68" s="28" t="n">
        <f aca="false">RC_VOUT*(1-EXP(-I68/RT_TAU))</f>
        <v>1.54877830981958</v>
      </c>
      <c r="L68" s="127" t="n">
        <f aca="false">RC_VOUT*(EXP(-I68/RT_TAU))</f>
        <v>1.75122169018042</v>
      </c>
      <c r="M68" s="127"/>
    </row>
    <row r="69" customFormat="false" ht="15" hidden="false" customHeight="false" outlineLevel="0" collapsed="false">
      <c r="I69" s="28" t="n">
        <v>0.47</v>
      </c>
      <c r="J69" s="28" t="n">
        <f aca="false">RC_VOUT*(1-EXP(-I69/RT_TAU))</f>
        <v>1.57273445472241</v>
      </c>
      <c r="L69" s="127" t="n">
        <f aca="false">RC_VOUT*(EXP(-I69/RT_TAU))</f>
        <v>1.72726554527759</v>
      </c>
      <c r="M69" s="127"/>
    </row>
    <row r="70" customFormat="false" ht="15" hidden="false" customHeight="false" outlineLevel="0" collapsed="false">
      <c r="I70" s="28" t="n">
        <v>0.48</v>
      </c>
      <c r="J70" s="28" t="n">
        <f aca="false">RC_VOUT*(1-EXP(-I70/RT_TAU))</f>
        <v>1.59636288733054</v>
      </c>
      <c r="L70" s="127" t="n">
        <f aca="false">RC_VOUT*(EXP(-I70/RT_TAU))</f>
        <v>1.70363711266946</v>
      </c>
      <c r="M70" s="127"/>
    </row>
    <row r="71" customFormat="false" ht="15" hidden="false" customHeight="false" outlineLevel="0" collapsed="false">
      <c r="I71" s="28" t="n">
        <v>0.49</v>
      </c>
      <c r="J71" s="28" t="n">
        <f aca="false">RC_VOUT*(1-EXP(-I71/RT_TAU))</f>
        <v>1.61966809064192</v>
      </c>
      <c r="L71" s="127" t="n">
        <f aca="false">RC_VOUT*(EXP(-I71/RT_TAU))</f>
        <v>1.68033190935808</v>
      </c>
      <c r="M71" s="127"/>
    </row>
    <row r="72" customFormat="false" ht="15" hidden="false" customHeight="false" outlineLevel="0" collapsed="false">
      <c r="I72" s="28" t="n">
        <v>0.5</v>
      </c>
      <c r="J72" s="28" t="n">
        <f aca="false">RC_VOUT*(1-EXP(-I72/RT_TAU))</f>
        <v>1.64265448632851</v>
      </c>
      <c r="L72" s="127" t="n">
        <f aca="false">RC_VOUT*(EXP(-I72/RT_TAU))</f>
        <v>1.65734551367149</v>
      </c>
      <c r="M72" s="127"/>
    </row>
    <row r="73" customFormat="false" ht="15" hidden="false" customHeight="false" outlineLevel="0" collapsed="false">
      <c r="I73" s="28" t="n">
        <v>0.51</v>
      </c>
      <c r="J73" s="28" t="n">
        <f aca="false">RC_VOUT*(1-EXP(-I73/RT_TAU))</f>
        <v>1.66532643557525</v>
      </c>
      <c r="L73" s="127" t="n">
        <f aca="false">RC_VOUT*(EXP(-I73/RT_TAU))</f>
        <v>1.63467356442475</v>
      </c>
      <c r="M73" s="127"/>
    </row>
    <row r="74" customFormat="false" ht="15" hidden="false" customHeight="false" outlineLevel="0" collapsed="false">
      <c r="I74" s="28" t="n">
        <v>0.52</v>
      </c>
      <c r="J74" s="28" t="n">
        <f aca="false">RC_VOUT*(1-EXP(-I74/RT_TAU))</f>
        <v>1.68768823990749</v>
      </c>
      <c r="L74" s="127" t="n">
        <f aca="false">RC_VOUT*(EXP(-I74/RT_TAU))</f>
        <v>1.61231176009251</v>
      </c>
      <c r="M74" s="127"/>
    </row>
    <row r="75" customFormat="false" ht="15" hidden="false" customHeight="false" outlineLevel="0" collapsed="false">
      <c r="I75" s="28" t="n">
        <v>0.53</v>
      </c>
      <c r="J75" s="28" t="n">
        <f aca="false">RC_VOUT*(1-EXP(-I75/RT_TAU))</f>
        <v>1.70974414200709</v>
      </c>
      <c r="L75" s="127" t="n">
        <f aca="false">RC_VOUT*(EXP(-I75/RT_TAU))</f>
        <v>1.59025585799291</v>
      </c>
      <c r="M75" s="127"/>
    </row>
    <row r="76" customFormat="false" ht="15" hidden="false" customHeight="false" outlineLevel="0" collapsed="false">
      <c r="I76" s="28" t="n">
        <v>0.54</v>
      </c>
      <c r="J76" s="28" t="n">
        <f aca="false">RC_VOUT*(1-EXP(-I76/RT_TAU))</f>
        <v>1.7314983265174</v>
      </c>
      <c r="L76" s="127" t="n">
        <f aca="false">RC_VOUT*(EXP(-I76/RT_TAU))</f>
        <v>1.5685016734826</v>
      </c>
      <c r="M76" s="127"/>
    </row>
    <row r="77" customFormat="false" ht="15" hidden="false" customHeight="false" outlineLevel="0" collapsed="false">
      <c r="I77" s="28" t="n">
        <v>0.55</v>
      </c>
      <c r="J77" s="28" t="n">
        <f aca="false">RC_VOUT*(1-EXP(-I77/RT_TAU))</f>
        <v>1.75295492083722</v>
      </c>
      <c r="L77" s="127" t="n">
        <f aca="false">RC_VOUT*(EXP(-I77/RT_TAU))</f>
        <v>1.54704507916278</v>
      </c>
      <c r="M77" s="127"/>
    </row>
    <row r="78" customFormat="false" ht="15" hidden="false" customHeight="false" outlineLevel="0" collapsed="false">
      <c r="I78" s="28" t="n">
        <v>0.56</v>
      </c>
      <c r="J78" s="28" t="n">
        <f aca="false">RC_VOUT*(1-EXP(-I78/RT_TAU))</f>
        <v>1.77411799590387</v>
      </c>
      <c r="L78" s="127" t="n">
        <f aca="false">RC_VOUT*(EXP(-I78/RT_TAU))</f>
        <v>1.52588200409613</v>
      </c>
      <c r="M78" s="127"/>
    </row>
    <row r="79" customFormat="false" ht="15" hidden="false" customHeight="false" outlineLevel="0" collapsed="false">
      <c r="I79" s="28" t="n">
        <v>0.57</v>
      </c>
      <c r="J79" s="28" t="n">
        <f aca="false">RC_VOUT*(1-EXP(-I79/RT_TAU))</f>
        <v>1.79499156696556</v>
      </c>
      <c r="L79" s="127" t="n">
        <f aca="false">RC_VOUT*(EXP(-I79/RT_TAU))</f>
        <v>1.50500843303444</v>
      </c>
      <c r="M79" s="127"/>
    </row>
    <row r="80" customFormat="false" ht="15" hidden="false" customHeight="false" outlineLevel="0" collapsed="false">
      <c r="I80" s="28" t="n">
        <v>0.58</v>
      </c>
      <c r="J80" s="28" t="n">
        <f aca="false">RC_VOUT*(1-EXP(-I80/RT_TAU))</f>
        <v>1.8155795943432</v>
      </c>
      <c r="L80" s="127" t="n">
        <f aca="false">RC_VOUT*(EXP(-I80/RT_TAU))</f>
        <v>1.4844204056568</v>
      </c>
      <c r="M80" s="127"/>
    </row>
    <row r="81" customFormat="false" ht="15" hidden="false" customHeight="false" outlineLevel="0" collapsed="false">
      <c r="I81" s="28" t="n">
        <v>0.59</v>
      </c>
      <c r="J81" s="28" t="n">
        <f aca="false">RC_VOUT*(1-EXP(-I81/RT_TAU))</f>
        <v>1.8358859841818</v>
      </c>
      <c r="L81" s="127" t="n">
        <f aca="false">RC_VOUT*(EXP(-I81/RT_TAU))</f>
        <v>1.4641140158182</v>
      </c>
      <c r="M81" s="127"/>
    </row>
    <row r="82" customFormat="false" ht="15" hidden="false" customHeight="false" outlineLevel="0" collapsed="false">
      <c r="I82" s="28" t="n">
        <v>0.6</v>
      </c>
      <c r="J82" s="28" t="n">
        <f aca="false">RC_VOUT*(1-EXP(-I82/RT_TAU))</f>
        <v>1.8559145891916</v>
      </c>
      <c r="L82" s="127" t="n">
        <f aca="false">RC_VOUT*(EXP(-I82/RT_TAU))</f>
        <v>1.44408541080841</v>
      </c>
      <c r="M82" s="127"/>
    </row>
    <row r="83" customFormat="false" ht="15" hidden="false" customHeight="false" outlineLevel="0" collapsed="false">
      <c r="I83" s="28" t="n">
        <v>0.61</v>
      </c>
      <c r="J83" s="28" t="n">
        <f aca="false">RC_VOUT*(1-EXP(-I83/RT_TAU))</f>
        <v>1.87566920937896</v>
      </c>
      <c r="L83" s="127" t="n">
        <f aca="false">RC_VOUT*(EXP(-I83/RT_TAU))</f>
        <v>1.42433079062104</v>
      </c>
      <c r="M83" s="127"/>
    </row>
    <row r="84" customFormat="false" ht="15" hidden="false" customHeight="false" outlineLevel="0" collapsed="false">
      <c r="I84" s="28" t="n">
        <v>0.62</v>
      </c>
      <c r="J84" s="28" t="n">
        <f aca="false">RC_VOUT*(1-EXP(-I84/RT_TAU))</f>
        <v>1.89515359276743</v>
      </c>
      <c r="L84" s="127" t="n">
        <f aca="false">RC_VOUT*(EXP(-I84/RT_TAU))</f>
        <v>1.40484640723257</v>
      </c>
      <c r="M84" s="127"/>
    </row>
    <row r="85" customFormat="false" ht="15" hidden="false" customHeight="false" outlineLevel="0" collapsed="false">
      <c r="I85" s="28" t="n">
        <v>0.63</v>
      </c>
      <c r="J85" s="28" t="n">
        <f aca="false">RC_VOUT*(1-EXP(-I85/RT_TAU))</f>
        <v>1.91437143610879</v>
      </c>
      <c r="L85" s="127" t="n">
        <f aca="false">RC_VOUT*(EXP(-I85/RT_TAU))</f>
        <v>1.38562856389121</v>
      </c>
      <c r="M85" s="127"/>
    </row>
    <row r="86" customFormat="false" ht="15" hidden="false" customHeight="false" outlineLevel="0" collapsed="false">
      <c r="I86" s="28" t="n">
        <v>0.64</v>
      </c>
      <c r="J86" s="28" t="n">
        <f aca="false">RC_VOUT*(1-EXP(-I86/RT_TAU))</f>
        <v>1.93332638558446</v>
      </c>
      <c r="L86" s="127" t="n">
        <f aca="false">RC_VOUT*(EXP(-I86/RT_TAU))</f>
        <v>1.36667361441554</v>
      </c>
      <c r="M86" s="127"/>
    </row>
    <row r="87" customFormat="false" ht="15" hidden="false" customHeight="false" outlineLevel="0" collapsed="false">
      <c r="I87" s="28" t="n">
        <v>0.65</v>
      </c>
      <c r="J87" s="28" t="n">
        <f aca="false">RC_VOUT*(1-EXP(-I87/RT_TAU))</f>
        <v>1.95202203749729</v>
      </c>
      <c r="L87" s="127" t="n">
        <f aca="false">RC_VOUT*(EXP(-I87/RT_TAU))</f>
        <v>1.34797796250271</v>
      </c>
      <c r="M87" s="127"/>
    </row>
    <row r="88" customFormat="false" ht="15" hidden="false" customHeight="false" outlineLevel="0" collapsed="false">
      <c r="I88" s="28" t="n">
        <v>0.66</v>
      </c>
      <c r="J88" s="28" t="n">
        <f aca="false">RC_VOUT*(1-EXP(-I88/RT_TAU))</f>
        <v>1.97046193895386</v>
      </c>
      <c r="L88" s="127" t="n">
        <f aca="false">RC_VOUT*(EXP(-I88/RT_TAU))</f>
        <v>1.32953806104614</v>
      </c>
      <c r="M88" s="127"/>
    </row>
    <row r="89" customFormat="false" ht="15" hidden="false" customHeight="false" outlineLevel="0" collapsed="false">
      <c r="I89" s="28" t="n">
        <v>0.67</v>
      </c>
      <c r="J89" s="28" t="n">
        <f aca="false">RC_VOUT*(1-EXP(-I89/RT_TAU))</f>
        <v>1.98864958853749</v>
      </c>
      <c r="L89" s="127" t="n">
        <f aca="false">RC_VOUT*(EXP(-I89/RT_TAU))</f>
        <v>1.31135041146251</v>
      </c>
      <c r="M89" s="127"/>
    </row>
    <row r="90" customFormat="false" ht="15" hidden="false" customHeight="false" outlineLevel="0" collapsed="false">
      <c r="I90" s="28" t="n">
        <v>0.68</v>
      </c>
      <c r="J90" s="28" t="n">
        <f aca="false">RC_VOUT*(1-EXP(-I90/RT_TAU))</f>
        <v>2.006588436972</v>
      </c>
      <c r="L90" s="127" t="n">
        <f aca="false">RC_VOUT*(EXP(-I90/RT_TAU))</f>
        <v>1.293411563028</v>
      </c>
      <c r="M90" s="127"/>
    </row>
    <row r="91" customFormat="false" ht="15" hidden="false" customHeight="false" outlineLevel="0" collapsed="false">
      <c r="I91" s="28" t="n">
        <v>0.69</v>
      </c>
      <c r="J91" s="28" t="n">
        <f aca="false">RC_VOUT*(1-EXP(-I91/RT_TAU))</f>
        <v>2.02428188777645</v>
      </c>
      <c r="L91" s="127" t="n">
        <f aca="false">RC_VOUT*(EXP(-I91/RT_TAU))</f>
        <v>1.27571811222355</v>
      </c>
      <c r="M91" s="127"/>
    </row>
    <row r="92" customFormat="false" ht="15" hidden="false" customHeight="false" outlineLevel="0" collapsed="false">
      <c r="I92" s="28" t="n">
        <v>0.7</v>
      </c>
      <c r="J92" s="28" t="n">
        <f aca="false">RC_VOUT*(1-EXP(-I92/RT_TAU))</f>
        <v>2.04173329791085</v>
      </c>
      <c r="L92" s="127" t="n">
        <f aca="false">RC_VOUT*(EXP(-I92/RT_TAU))</f>
        <v>1.25826670208915</v>
      </c>
      <c r="M92" s="127"/>
    </row>
    <row r="93" customFormat="false" ht="15" hidden="false" customHeight="false" outlineLevel="0" collapsed="false">
      <c r="I93" s="28" t="n">
        <v>0.71</v>
      </c>
      <c r="J93" s="28" t="n">
        <f aca="false">RC_VOUT*(1-EXP(-I93/RT_TAU))</f>
        <v>2.05894597841308</v>
      </c>
      <c r="L93" s="127" t="n">
        <f aca="false">RC_VOUT*(EXP(-I93/RT_TAU))</f>
        <v>1.24105402158692</v>
      </c>
      <c r="M93" s="127"/>
    </row>
    <row r="94" customFormat="false" ht="15" hidden="false" customHeight="false" outlineLevel="0" collapsed="false">
      <c r="I94" s="28" t="n">
        <v>0.72</v>
      </c>
      <c r="J94" s="28" t="n">
        <f aca="false">RC_VOUT*(1-EXP(-I94/RT_TAU))</f>
        <v>2.0759231950271</v>
      </c>
      <c r="L94" s="127" t="n">
        <f aca="false">RC_VOUT*(EXP(-I94/RT_TAU))</f>
        <v>1.2240768049729</v>
      </c>
      <c r="M94" s="127"/>
    </row>
    <row r="95" customFormat="false" ht="15" hidden="false" customHeight="false" outlineLevel="0" collapsed="false">
      <c r="I95" s="28" t="n">
        <v>0.73</v>
      </c>
      <c r="J95" s="28" t="n">
        <f aca="false">RC_VOUT*(1-EXP(-I95/RT_TAU))</f>
        <v>2.09266816882257</v>
      </c>
      <c r="L95" s="127" t="n">
        <f aca="false">RC_VOUT*(EXP(-I95/RT_TAU))</f>
        <v>1.20733183117743</v>
      </c>
      <c r="M95" s="127"/>
    </row>
    <row r="96" customFormat="false" ht="15" hidden="false" customHeight="false" outlineLevel="0" collapsed="false">
      <c r="I96" s="28" t="n">
        <v>0.74</v>
      </c>
      <c r="J96" s="28" t="n">
        <f aca="false">RC_VOUT*(1-EXP(-I96/RT_TAU))</f>
        <v>2.10918407680593</v>
      </c>
      <c r="L96" s="127" t="n">
        <f aca="false">RC_VOUT*(EXP(-I96/RT_TAU))</f>
        <v>1.19081592319407</v>
      </c>
      <c r="M96" s="127"/>
    </row>
    <row r="97" customFormat="false" ht="15" hidden="false" customHeight="false" outlineLevel="0" collapsed="false">
      <c r="I97" s="28" t="n">
        <v>0.75</v>
      </c>
      <c r="J97" s="28" t="n">
        <f aca="false">RC_VOUT*(1-EXP(-I97/RT_TAU))</f>
        <v>2.12547405252322</v>
      </c>
      <c r="L97" s="127" t="n">
        <f aca="false">RC_VOUT*(EXP(-I97/RT_TAU))</f>
        <v>1.17452594747678</v>
      </c>
      <c r="M97" s="127"/>
    </row>
    <row r="98" customFormat="false" ht="15" hidden="false" customHeight="false" outlineLevel="0" collapsed="false">
      <c r="I98" s="28" t="n">
        <v>0.76</v>
      </c>
      <c r="J98" s="28" t="n">
        <f aca="false">RC_VOUT*(1-EXP(-I98/RT_TAU))</f>
        <v>2.14154118665458</v>
      </c>
      <c r="L98" s="127" t="n">
        <f aca="false">RC_VOUT*(EXP(-I98/RT_TAU))</f>
        <v>1.15845881334542</v>
      </c>
      <c r="M98" s="127"/>
    </row>
    <row r="99" customFormat="false" ht="15" hidden="false" customHeight="false" outlineLevel="0" collapsed="false">
      <c r="I99" s="28" t="n">
        <v>0.77</v>
      </c>
      <c r="J99" s="28" t="n">
        <f aca="false">RC_VOUT*(1-EXP(-I99/RT_TAU))</f>
        <v>2.15738852760066</v>
      </c>
      <c r="L99" s="127" t="n">
        <f aca="false">RC_VOUT*(EXP(-I99/RT_TAU))</f>
        <v>1.14261147239934</v>
      </c>
      <c r="M99" s="127"/>
    </row>
    <row r="100" customFormat="false" ht="15" hidden="false" customHeight="false" outlineLevel="0" collapsed="false">
      <c r="I100" s="28" t="n">
        <v>0.78</v>
      </c>
      <c r="J100" s="28" t="n">
        <f aca="false">RC_VOUT*(1-EXP(-I100/RT_TAU))</f>
        <v>2.17301908206097</v>
      </c>
      <c r="L100" s="127" t="n">
        <f aca="false">RC_VOUT*(EXP(-I100/RT_TAU))</f>
        <v>1.12698091793903</v>
      </c>
      <c r="M100" s="127"/>
    </row>
    <row r="101" customFormat="false" ht="15" hidden="false" customHeight="false" outlineLevel="0" collapsed="false">
      <c r="I101" s="28" t="n">
        <v>0.79</v>
      </c>
      <c r="J101" s="28" t="n">
        <f aca="false">RC_VOUT*(1-EXP(-I101/RT_TAU))</f>
        <v>2.18843581560433</v>
      </c>
      <c r="L101" s="127" t="n">
        <f aca="false">RC_VOUT*(EXP(-I101/RT_TAU))</f>
        <v>1.11156418439567</v>
      </c>
      <c r="M101" s="127"/>
    </row>
    <row r="102" customFormat="false" ht="15" hidden="false" customHeight="false" outlineLevel="0" collapsed="false">
      <c r="I102" s="28" t="n">
        <v>0.8</v>
      </c>
      <c r="J102" s="28" t="n">
        <f aca="false">RC_VOUT*(1-EXP(-I102/RT_TAU))</f>
        <v>2.20364165323157</v>
      </c>
      <c r="L102" s="127" t="n">
        <f aca="false">RC_VOUT*(EXP(-I102/RT_TAU))</f>
        <v>1.09635834676843</v>
      </c>
      <c r="M102" s="127"/>
    </row>
    <row r="103" customFormat="false" ht="15" hidden="false" customHeight="false" outlineLevel="0" collapsed="false">
      <c r="I103" s="28" t="n">
        <v>0.81</v>
      </c>
      <c r="J103" s="28" t="n">
        <f aca="false">RC_VOUT*(1-EXP(-I103/RT_TAU))</f>
        <v>2.21863947993043</v>
      </c>
      <c r="L103" s="127" t="n">
        <f aca="false">RC_VOUT*(EXP(-I103/RT_TAU))</f>
        <v>1.08136052006957</v>
      </c>
      <c r="M103" s="127"/>
    </row>
    <row r="104" customFormat="false" ht="15" hidden="false" customHeight="false" outlineLevel="0" collapsed="false">
      <c r="I104" s="28" t="n">
        <v>0.82</v>
      </c>
      <c r="J104" s="28" t="n">
        <f aca="false">RC_VOUT*(1-EXP(-I104/RT_TAU))</f>
        <v>2.23343214122297</v>
      </c>
      <c r="L104" s="127" t="n">
        <f aca="false">RC_VOUT*(EXP(-I104/RT_TAU))</f>
        <v>1.06656785877704</v>
      </c>
      <c r="M104" s="127"/>
    </row>
    <row r="105" customFormat="false" ht="15" hidden="false" customHeight="false" outlineLevel="0" collapsed="false">
      <c r="I105" s="28" t="n">
        <v>0.83</v>
      </c>
      <c r="J105" s="28" t="n">
        <f aca="false">RC_VOUT*(1-EXP(-I105/RT_TAU))</f>
        <v>2.24802244370542</v>
      </c>
      <c r="L105" s="127" t="n">
        <f aca="false">RC_VOUT*(EXP(-I105/RT_TAU))</f>
        <v>1.05197755629458</v>
      </c>
      <c r="M105" s="127"/>
    </row>
    <row r="106" customFormat="false" ht="15" hidden="false" customHeight="false" outlineLevel="0" collapsed="false">
      <c r="I106" s="28" t="n">
        <v>0.84</v>
      </c>
      <c r="J106" s="28" t="n">
        <f aca="false">RC_VOUT*(1-EXP(-I106/RT_TAU))</f>
        <v>2.26241315558069</v>
      </c>
      <c r="L106" s="127" t="n">
        <f aca="false">RC_VOUT*(EXP(-I106/RT_TAU))</f>
        <v>1.03758684441931</v>
      </c>
      <c r="M106" s="127"/>
    </row>
    <row r="107" customFormat="false" ht="15" hidden="false" customHeight="false" outlineLevel="0" collapsed="false">
      <c r="I107" s="28" t="n">
        <v>0.85</v>
      </c>
      <c r="J107" s="28" t="n">
        <f aca="false">RC_VOUT*(1-EXP(-I107/RT_TAU))</f>
        <v>2.27660700718358</v>
      </c>
      <c r="L107" s="127" t="n">
        <f aca="false">RC_VOUT*(EXP(-I107/RT_TAU))</f>
        <v>1.02339299281642</v>
      </c>
      <c r="M107" s="127"/>
    </row>
    <row r="108" customFormat="false" ht="15" hidden="false" customHeight="false" outlineLevel="0" collapsed="false">
      <c r="I108" s="28" t="n">
        <v>0.86</v>
      </c>
      <c r="J108" s="28" t="n">
        <f aca="false">RC_VOUT*(1-EXP(-I108/RT_TAU))</f>
        <v>2.29060669149877</v>
      </c>
      <c r="L108" s="127" t="n">
        <f aca="false">RC_VOUT*(EXP(-I108/RT_TAU))</f>
        <v>1.00939330850123</v>
      </c>
      <c r="M108" s="127"/>
    </row>
    <row r="109" customFormat="false" ht="15" hidden="false" customHeight="false" outlineLevel="0" collapsed="false">
      <c r="I109" s="28" t="n">
        <v>0.87</v>
      </c>
      <c r="J109" s="28" t="n">
        <f aca="false">RC_VOUT*(1-EXP(-I109/RT_TAU))</f>
        <v>2.30441486467182</v>
      </c>
      <c r="L109" s="127" t="n">
        <f aca="false">RC_VOUT*(EXP(-I109/RT_TAU))</f>
        <v>0.995585135328185</v>
      </c>
      <c r="M109" s="127"/>
    </row>
    <row r="110" customFormat="false" ht="15" hidden="false" customHeight="false" outlineLevel="0" collapsed="false">
      <c r="I110" s="28" t="n">
        <v>0.88</v>
      </c>
      <c r="J110" s="28" t="n">
        <f aca="false">RC_VOUT*(1-EXP(-I110/RT_TAU))</f>
        <v>2.31803414651303</v>
      </c>
      <c r="L110" s="127" t="n">
        <f aca="false">RC_VOUT*(EXP(-I110/RT_TAU))</f>
        <v>0.981965853486966</v>
      </c>
      <c r="M110" s="127"/>
    </row>
    <row r="111" customFormat="false" ht="15" hidden="false" customHeight="false" outlineLevel="0" collapsed="false">
      <c r="I111" s="28" t="n">
        <v>0.89</v>
      </c>
      <c r="J111" s="28" t="n">
        <f aca="false">RC_VOUT*(1-EXP(-I111/RT_TAU))</f>
        <v>2.3314671209946</v>
      </c>
      <c r="L111" s="127" t="n">
        <f aca="false">RC_VOUT*(EXP(-I111/RT_TAU))</f>
        <v>0.968532879005397</v>
      </c>
      <c r="M111" s="127"/>
    </row>
    <row r="112" customFormat="false" ht="15" hidden="false" customHeight="false" outlineLevel="0" collapsed="false">
      <c r="I112" s="28" t="n">
        <v>0.9</v>
      </c>
      <c r="J112" s="28" t="n">
        <f aca="false">RC_VOUT*(1-EXP(-I112/RT_TAU))</f>
        <v>2.34471633674079</v>
      </c>
      <c r="L112" s="127" t="n">
        <f aca="false">RC_VOUT*(EXP(-I112/RT_TAU))</f>
        <v>0.955283663259208</v>
      </c>
      <c r="M112" s="127"/>
    </row>
    <row r="113" customFormat="false" ht="15" hidden="false" customHeight="false" outlineLevel="0" collapsed="false">
      <c r="I113" s="28" t="n">
        <v>0.91</v>
      </c>
      <c r="J113" s="28" t="n">
        <f aca="false">RC_VOUT*(1-EXP(-I113/RT_TAU))</f>
        <v>2.35778430751152</v>
      </c>
      <c r="L113" s="127" t="n">
        <f aca="false">RC_VOUT*(EXP(-I113/RT_TAU))</f>
        <v>0.94221569248848</v>
      </c>
      <c r="M113" s="127"/>
    </row>
    <row r="114" customFormat="false" ht="15" hidden="false" customHeight="false" outlineLevel="0" collapsed="false">
      <c r="I114" s="28" t="n">
        <v>0.92</v>
      </c>
      <c r="J114" s="28" t="n">
        <f aca="false">RC_VOUT*(1-EXP(-I114/RT_TAU))</f>
        <v>2.37067351267928</v>
      </c>
      <c r="L114" s="127" t="n">
        <f aca="false">RC_VOUT*(EXP(-I114/RT_TAU))</f>
        <v>0.929326487320717</v>
      </c>
      <c r="M114" s="127"/>
    </row>
    <row r="115" customFormat="false" ht="15" hidden="false" customHeight="false" outlineLevel="0" collapsed="false">
      <c r="I115" s="28" t="n">
        <v>0.93</v>
      </c>
      <c r="J115" s="28" t="n">
        <f aca="false">RC_VOUT*(1-EXP(-I115/RT_TAU))</f>
        <v>2.38338639769957</v>
      </c>
      <c r="L115" s="127" t="n">
        <f aca="false">RC_VOUT*(EXP(-I115/RT_TAU))</f>
        <v>0.916613602300433</v>
      </c>
      <c r="M115" s="127"/>
    </row>
    <row r="116" customFormat="false" ht="15" hidden="false" customHeight="false" outlineLevel="0" collapsed="false">
      <c r="I116" s="28" t="n">
        <v>0.94</v>
      </c>
      <c r="J116" s="28" t="n">
        <f aca="false">RC_VOUT*(1-EXP(-I116/RT_TAU))</f>
        <v>2.39592537457482</v>
      </c>
      <c r="L116" s="127" t="n">
        <f aca="false">RC_VOUT*(EXP(-I116/RT_TAU))</f>
        <v>0.904074625425181</v>
      </c>
      <c r="M116" s="127"/>
    </row>
    <row r="117" customFormat="false" ht="15" hidden="false" customHeight="false" outlineLevel="0" collapsed="false">
      <c r="I117" s="28" t="n">
        <v>0.95</v>
      </c>
      <c r="J117" s="28" t="n">
        <f aca="false">RC_VOUT*(1-EXP(-I117/RT_TAU))</f>
        <v>2.40829282231208</v>
      </c>
      <c r="L117" s="127" t="n">
        <f aca="false">RC_VOUT*(EXP(-I117/RT_TAU))</f>
        <v>0.891707177687925</v>
      </c>
      <c r="M117" s="127"/>
    </row>
    <row r="118" customFormat="false" ht="15" hidden="false" customHeight="false" outlineLevel="0" collapsed="false">
      <c r="I118" s="28" t="n">
        <v>0.96</v>
      </c>
      <c r="J118" s="28" t="n">
        <f aca="false">RC_VOUT*(1-EXP(-I118/RT_TAU))</f>
        <v>2.42049108737433</v>
      </c>
      <c r="L118" s="127" t="n">
        <f aca="false">RC_VOUT*(EXP(-I118/RT_TAU))</f>
        <v>0.879508912625674</v>
      </c>
      <c r="M118" s="127"/>
    </row>
    <row r="119" customFormat="false" ht="15" hidden="false" customHeight="false" outlineLevel="0" collapsed="false">
      <c r="I119" s="28" t="n">
        <v>0.97</v>
      </c>
      <c r="J119" s="28" t="n">
        <f aca="false">RC_VOUT*(1-EXP(-I119/RT_TAU))</f>
        <v>2.43252248412571</v>
      </c>
      <c r="L119" s="127" t="n">
        <f aca="false">RC_VOUT*(EXP(-I119/RT_TAU))</f>
        <v>0.86747751587429</v>
      </c>
      <c r="M119" s="127"/>
    </row>
    <row r="120" customFormat="false" ht="15" hidden="false" customHeight="false" outlineLevel="0" collapsed="false">
      <c r="I120" s="28" t="n">
        <v>0.98</v>
      </c>
      <c r="J120" s="28" t="n">
        <f aca="false">RC_VOUT*(1-EXP(-I120/RT_TAU))</f>
        <v>2.44438929527061</v>
      </c>
      <c r="L120" s="127" t="n">
        <f aca="false">RC_VOUT*(EXP(-I120/RT_TAU))</f>
        <v>0.855610704729387</v>
      </c>
      <c r="M120" s="127"/>
    </row>
    <row r="121" customFormat="false" ht="15" hidden="false" customHeight="false" outlineLevel="0" collapsed="false">
      <c r="I121" s="28" t="n">
        <v>0.99</v>
      </c>
      <c r="J121" s="28" t="n">
        <f aca="false">RC_VOUT*(1-EXP(-I121/RT_TAU))</f>
        <v>2.45609377228677</v>
      </c>
      <c r="L121" s="127" t="n">
        <f aca="false">RC_VOUT*(EXP(-I121/RT_TAU))</f>
        <v>0.843906227713232</v>
      </c>
      <c r="M121" s="127"/>
    </row>
    <row r="122" customFormat="false" ht="15" hidden="false" customHeight="false" outlineLevel="0" collapsed="false">
      <c r="I122" s="28" t="n">
        <v>1</v>
      </c>
      <c r="J122" s="28" t="n">
        <f aca="false">RC_VOUT*(1-EXP(-I122/RT_TAU))</f>
        <v>2.46763813585242</v>
      </c>
      <c r="L122" s="127" t="n">
        <f aca="false">RC_VOUT*(EXP(-I122/RT_TAU))</f>
        <v>0.832361864147581</v>
      </c>
      <c r="M122" s="127"/>
    </row>
    <row r="123" customFormat="false" ht="15" hidden="false" customHeight="false" outlineLevel="0" collapsed="false">
      <c r="I123" s="28" t="n">
        <v>1.01</v>
      </c>
      <c r="J123" s="28" t="n">
        <f aca="false">RC_VOUT*(1-EXP(-I123/RT_TAU))</f>
        <v>2.47902457626765</v>
      </c>
      <c r="L123" s="127" t="n">
        <f aca="false">RC_VOUT*(EXP(-I123/RT_TAU))</f>
        <v>0.820975423732345</v>
      </c>
      <c r="M123" s="127"/>
    </row>
    <row r="124" customFormat="false" ht="15" hidden="false" customHeight="false" outlineLevel="0" collapsed="false">
      <c r="I124" s="28" t="n">
        <v>1.02</v>
      </c>
      <c r="J124" s="28" t="n">
        <f aca="false">RC_VOUT*(1-EXP(-I124/RT_TAU))</f>
        <v>2.49025525386997</v>
      </c>
      <c r="L124" s="127" t="n">
        <f aca="false">RC_VOUT*(EXP(-I124/RT_TAU))</f>
        <v>0.809744746130033</v>
      </c>
      <c r="M124" s="127"/>
    </row>
    <row r="125" customFormat="false" ht="15" hidden="false" customHeight="false" outlineLevel="0" collapsed="false">
      <c r="I125" s="28" t="n">
        <v>1.03</v>
      </c>
      <c r="J125" s="28" t="n">
        <f aca="false">RC_VOUT*(1-EXP(-I125/RT_TAU))</f>
        <v>2.50133229944413</v>
      </c>
      <c r="L125" s="127" t="n">
        <f aca="false">RC_VOUT*(EXP(-I125/RT_TAU))</f>
        <v>0.798667700555868</v>
      </c>
      <c r="M125" s="127"/>
    </row>
    <row r="126" customFormat="false" ht="15" hidden="false" customHeight="false" outlineLevel="0" collapsed="false">
      <c r="I126" s="28" t="n">
        <v>1.04</v>
      </c>
      <c r="J126" s="28" t="n">
        <f aca="false">RC_VOUT*(1-EXP(-I126/RT_TAU))</f>
        <v>2.51225781462648</v>
      </c>
      <c r="L126" s="127" t="n">
        <f aca="false">RC_VOUT*(EXP(-I126/RT_TAU))</f>
        <v>0.787742185373519</v>
      </c>
      <c r="M126" s="127"/>
    </row>
    <row r="127" customFormat="false" ht="15" hidden="false" customHeight="false" outlineLevel="0" collapsed="false">
      <c r="I127" s="28" t="n">
        <v>1.05</v>
      </c>
      <c r="J127" s="28" t="n">
        <f aca="false">RC_VOUT*(1-EXP(-I127/RT_TAU))</f>
        <v>2.52303387230364</v>
      </c>
      <c r="L127" s="127" t="n">
        <f aca="false">RC_VOUT*(EXP(-I127/RT_TAU))</f>
        <v>0.776966127696359</v>
      </c>
      <c r="M127" s="127"/>
    </row>
    <row r="128" customFormat="false" ht="15" hidden="false" customHeight="false" outlineLevel="0" collapsed="false">
      <c r="I128" s="28" t="n">
        <v>1.06</v>
      </c>
      <c r="J128" s="28" t="n">
        <f aca="false">RC_VOUT*(1-EXP(-I128/RT_TAU))</f>
        <v>2.53366251700582</v>
      </c>
      <c r="L128" s="127" t="n">
        <f aca="false">RC_VOUT*(EXP(-I128/RT_TAU))</f>
        <v>0.766337482994176</v>
      </c>
      <c r="M128" s="127"/>
    </row>
    <row r="129" customFormat="false" ht="15" hidden="false" customHeight="false" outlineLevel="0" collapsed="false">
      <c r="I129" s="28" t="n">
        <v>1.07</v>
      </c>
      <c r="J129" s="28" t="n">
        <f aca="false">RC_VOUT*(1-EXP(-I129/RT_TAU))</f>
        <v>2.54414576529473</v>
      </c>
      <c r="L129" s="127" t="n">
        <f aca="false">RC_VOUT*(EXP(-I129/RT_TAU))</f>
        <v>0.755854234705271</v>
      </c>
      <c r="M129" s="127"/>
    </row>
    <row r="130" customFormat="false" ht="15" hidden="false" customHeight="false" outlineLevel="0" collapsed="false">
      <c r="I130" s="28" t="n">
        <v>1.08</v>
      </c>
      <c r="J130" s="28" t="n">
        <f aca="false">RC_VOUT*(1-EXP(-I130/RT_TAU))</f>
        <v>2.55448560614615</v>
      </c>
      <c r="L130" s="127" t="n">
        <f aca="false">RC_VOUT*(EXP(-I130/RT_TAU))</f>
        <v>0.745514393853854</v>
      </c>
      <c r="M130" s="127"/>
    </row>
    <row r="131" customFormat="false" ht="15" hidden="false" customHeight="false" outlineLevel="0" collapsed="false">
      <c r="I131" s="28" t="n">
        <v>1.09</v>
      </c>
      <c r="J131" s="28" t="n">
        <f aca="false">RC_VOUT*(1-EXP(-I131/RT_TAU))</f>
        <v>2.56468400132732</v>
      </c>
      <c r="L131" s="127" t="n">
        <f aca="false">RC_VOUT*(EXP(-I131/RT_TAU))</f>
        <v>0.735315998672678</v>
      </c>
      <c r="M131" s="127"/>
    </row>
    <row r="132" customFormat="false" ht="15" hidden="false" customHeight="false" outlineLevel="0" collapsed="false">
      <c r="I132" s="28" t="n">
        <v>1.1</v>
      </c>
      <c r="J132" s="28" t="n">
        <f aca="false">RC_VOUT*(1-EXP(-I132/RT_TAU))</f>
        <v>2.57474288576916</v>
      </c>
      <c r="L132" s="127" t="n">
        <f aca="false">RC_VOUT*(EXP(-I132/RT_TAU))</f>
        <v>0.725257114230837</v>
      </c>
      <c r="M132" s="127"/>
    </row>
    <row r="133" customFormat="false" ht="15" hidden="false" customHeight="false" outlineLevel="0" collapsed="false">
      <c r="I133" s="28" t="n">
        <v>1.11</v>
      </c>
      <c r="J133" s="28" t="n">
        <f aca="false">RC_VOUT*(1-EXP(-I133/RT_TAU))</f>
        <v>2.58466416793335</v>
      </c>
      <c r="L133" s="127" t="n">
        <f aca="false">RC_VOUT*(EXP(-I133/RT_TAU))</f>
        <v>0.715335832066652</v>
      </c>
      <c r="M133" s="127"/>
    </row>
    <row r="134" customFormat="false" ht="15" hidden="false" customHeight="false" outlineLevel="0" collapsed="false">
      <c r="I134" s="28" t="n">
        <v>1.12</v>
      </c>
      <c r="J134" s="28" t="n">
        <f aca="false">RC_VOUT*(1-EXP(-I134/RT_TAU))</f>
        <v>2.59444973017442</v>
      </c>
      <c r="L134" s="127" t="n">
        <f aca="false">RC_VOUT*(EXP(-I134/RT_TAU))</f>
        <v>0.705550269825581</v>
      </c>
      <c r="M134" s="127"/>
    </row>
    <row r="135" customFormat="false" ht="15" hidden="false" customHeight="false" outlineLevel="0" collapsed="false">
      <c r="I135" s="28" t="n">
        <v>1.13</v>
      </c>
      <c r="J135" s="28" t="n">
        <f aca="false">RC_VOUT*(1-EXP(-I135/RT_TAU))</f>
        <v>2.60410142909692</v>
      </c>
      <c r="L135" s="127" t="n">
        <f aca="false">RC_VOUT*(EXP(-I135/RT_TAU))</f>
        <v>0.695898570903082</v>
      </c>
      <c r="M135" s="127"/>
    </row>
    <row r="136" customFormat="false" ht="15" hidden="false" customHeight="false" outlineLevel="0" collapsed="false">
      <c r="I136" s="28" t="n">
        <v>1.14</v>
      </c>
      <c r="J136" s="28" t="n">
        <f aca="false">RC_VOUT*(1-EXP(-I136/RT_TAU))</f>
        <v>2.61362109590764</v>
      </c>
      <c r="L136" s="127" t="n">
        <f aca="false">RC_VOUT*(EXP(-I136/RT_TAU))</f>
        <v>0.686378904092361</v>
      </c>
      <c r="M136" s="127"/>
    </row>
    <row r="137" customFormat="false" ht="15" hidden="false" customHeight="false" outlineLevel="0" collapsed="false">
      <c r="I137" s="28" t="n">
        <v>1.15</v>
      </c>
      <c r="J137" s="28" t="n">
        <f aca="false">RC_VOUT*(1-EXP(-I137/RT_TAU))</f>
        <v>2.62301053676306</v>
      </c>
      <c r="L137" s="127" t="n">
        <f aca="false">RC_VOUT*(EXP(-I137/RT_TAU))</f>
        <v>0.676989463236939</v>
      </c>
      <c r="M137" s="127"/>
    </row>
    <row r="138" customFormat="false" ht="15" hidden="false" customHeight="false" outlineLevel="0" collapsed="false">
      <c r="I138" s="28" t="n">
        <v>1.16</v>
      </c>
      <c r="J138" s="28" t="n">
        <f aca="false">RC_VOUT*(1-EXP(-I138/RT_TAU))</f>
        <v>2.63227153311203</v>
      </c>
      <c r="L138" s="127" t="n">
        <f aca="false">RC_VOUT*(EXP(-I138/RT_TAU))</f>
        <v>0.667728466887973</v>
      </c>
      <c r="M138" s="127"/>
    </row>
    <row r="139" customFormat="false" ht="15" hidden="false" customHeight="false" outlineLevel="0" collapsed="false">
      <c r="I139" s="28" t="n">
        <v>1.17</v>
      </c>
      <c r="J139" s="28" t="n">
        <f aca="false">RC_VOUT*(1-EXP(-I139/RT_TAU))</f>
        <v>2.64140584203374</v>
      </c>
      <c r="L139" s="127" t="n">
        <f aca="false">RC_VOUT*(EXP(-I139/RT_TAU))</f>
        <v>0.65859415796626</v>
      </c>
      <c r="M139" s="127"/>
    </row>
    <row r="140" customFormat="false" ht="15" hidden="false" customHeight="false" outlineLevel="0" collapsed="false">
      <c r="I140" s="28" t="n">
        <v>1.18</v>
      </c>
      <c r="J140" s="28" t="n">
        <f aca="false">RC_VOUT*(1-EXP(-I140/RT_TAU))</f>
        <v>2.65041519657113</v>
      </c>
      <c r="L140" s="127" t="n">
        <f aca="false">RC_VOUT*(EXP(-I140/RT_TAU))</f>
        <v>0.649584803428874</v>
      </c>
      <c r="M140" s="127"/>
    </row>
    <row r="141" customFormat="false" ht="15" hidden="false" customHeight="false" outlineLevel="0" collapsed="false">
      <c r="I141" s="28" t="n">
        <v>1.19</v>
      </c>
      <c r="J141" s="28" t="n">
        <f aca="false">RC_VOUT*(1-EXP(-I141/RT_TAU))</f>
        <v>2.65930130605965</v>
      </c>
      <c r="L141" s="127" t="n">
        <f aca="false">RC_VOUT*(EXP(-I141/RT_TAU))</f>
        <v>0.640698693940353</v>
      </c>
      <c r="M141" s="127"/>
    </row>
    <row r="142" customFormat="false" ht="15" hidden="false" customHeight="false" outlineLevel="0" collapsed="false">
      <c r="I142" s="28" t="n">
        <v>1.2</v>
      </c>
      <c r="J142" s="28" t="n">
        <f aca="false">RC_VOUT*(1-EXP(-I142/RT_TAU))</f>
        <v>2.66806585645161</v>
      </c>
      <c r="L142" s="127" t="n">
        <f aca="false">RC_VOUT*(EXP(-I142/RT_TAU))</f>
        <v>0.631934143548388</v>
      </c>
      <c r="M142" s="127"/>
    </row>
    <row r="143" customFormat="false" ht="15" hidden="false" customHeight="false" outlineLevel="0" collapsed="false">
      <c r="I143" s="28" t="n">
        <v>1.21</v>
      </c>
      <c r="J143" s="28" t="n">
        <f aca="false">RC_VOUT*(1-EXP(-I143/RT_TAU))</f>
        <v>2.67671051063605</v>
      </c>
      <c r="L143" s="127" t="n">
        <f aca="false">RC_VOUT*(EXP(-I143/RT_TAU))</f>
        <v>0.623289489363954</v>
      </c>
      <c r="M143" s="127"/>
    </row>
    <row r="144" customFormat="false" ht="15" hidden="false" customHeight="false" outlineLevel="0" collapsed="false">
      <c r="I144" s="28" t="n">
        <v>1.22</v>
      </c>
      <c r="J144" s="28" t="n">
        <f aca="false">RC_VOUT*(1-EXP(-I144/RT_TAU))</f>
        <v>2.68523690875419</v>
      </c>
      <c r="L144" s="127" t="n">
        <f aca="false">RC_VOUT*(EXP(-I144/RT_TAU))</f>
        <v>0.614763091245807</v>
      </c>
      <c r="M144" s="127"/>
    </row>
    <row r="145" customFormat="false" ht="15" hidden="false" customHeight="false" outlineLevel="0" collapsed="false">
      <c r="I145" s="28" t="n">
        <v>1.23</v>
      </c>
      <c r="J145" s="28" t="n">
        <f aca="false">RC_VOUT*(1-EXP(-I145/RT_TAU))</f>
        <v>2.6936466685107</v>
      </c>
      <c r="L145" s="127" t="n">
        <f aca="false">RC_VOUT*(EXP(-I145/RT_TAU))</f>
        <v>0.606353331489304</v>
      </c>
      <c r="M145" s="127"/>
    </row>
    <row r="146" customFormat="false" ht="15" hidden="false" customHeight="false" outlineLevel="0" collapsed="false">
      <c r="I146" s="28" t="n">
        <v>1.24</v>
      </c>
      <c r="J146" s="28" t="n">
        <f aca="false">RC_VOUT*(1-EXP(-I146/RT_TAU))</f>
        <v>2.70194138548052</v>
      </c>
      <c r="L146" s="127" t="n">
        <f aca="false">RC_VOUT*(EXP(-I146/RT_TAU))</f>
        <v>0.598058614519476</v>
      </c>
      <c r="M146" s="127"/>
    </row>
    <row r="147" customFormat="false" ht="15" hidden="false" customHeight="false" outlineLevel="0" collapsed="false">
      <c r="I147" s="28" t="n">
        <v>1.25</v>
      </c>
      <c r="J147" s="28" t="n">
        <f aca="false">RC_VOUT*(1-EXP(-I147/RT_TAU))</f>
        <v>2.7101226334117</v>
      </c>
      <c r="L147" s="127" t="n">
        <f aca="false">RC_VOUT*(EXP(-I147/RT_TAU))</f>
        <v>0.589877366588303</v>
      </c>
      <c r="M147" s="127"/>
    </row>
    <row r="148" customFormat="false" ht="15" hidden="false" customHeight="false" outlineLevel="0" collapsed="false">
      <c r="I148" s="28" t="n">
        <v>1.26</v>
      </c>
      <c r="J148" s="28" t="n">
        <f aca="false">RC_VOUT*(1-EXP(-I148/RT_TAU))</f>
        <v>2.71819196452387</v>
      </c>
      <c r="L148" s="127" t="n">
        <f aca="false">RC_VOUT*(EXP(-I148/RT_TAU))</f>
        <v>0.581808035476129</v>
      </c>
      <c r="M148" s="127"/>
    </row>
    <row r="149" customFormat="false" ht="15" hidden="false" customHeight="false" outlineLevel="0" collapsed="false">
      <c r="I149" s="28" t="n">
        <v>1.27</v>
      </c>
      <c r="J149" s="28" t="n">
        <f aca="false">RC_VOUT*(1-EXP(-I149/RT_TAU))</f>
        <v>2.72615090980284</v>
      </c>
      <c r="L149" s="127" t="n">
        <f aca="false">RC_VOUT*(EXP(-I149/RT_TAU))</f>
        <v>0.573849090197156</v>
      </c>
      <c r="M149" s="127"/>
    </row>
    <row r="150" customFormat="false" ht="15" hidden="false" customHeight="false" outlineLevel="0" collapsed="false">
      <c r="I150" s="28" t="n">
        <v>1.28</v>
      </c>
      <c r="J150" s="28" t="n">
        <f aca="false">RC_VOUT*(1-EXP(-I150/RT_TAU))</f>
        <v>2.73400097929102</v>
      </c>
      <c r="L150" s="127" t="n">
        <f aca="false">RC_VOUT*(EXP(-I150/RT_TAU))</f>
        <v>0.565999020708979</v>
      </c>
      <c r="M150" s="127"/>
    </row>
    <row r="151" customFormat="false" ht="15" hidden="false" customHeight="false" outlineLevel="0" collapsed="false">
      <c r="I151" s="28" t="n">
        <v>1.29</v>
      </c>
      <c r="J151" s="28" t="n">
        <f aca="false">RC_VOUT*(1-EXP(-I151/RT_TAU))</f>
        <v>2.74174366237392</v>
      </c>
      <c r="L151" s="127" t="n">
        <f aca="false">RC_VOUT*(EXP(-I151/RT_TAU))</f>
        <v>0.558256337626081</v>
      </c>
      <c r="M151" s="127"/>
    </row>
    <row r="152" customFormat="false" ht="15" hidden="false" customHeight="false" outlineLevel="0" collapsed="false">
      <c r="I152" s="28" t="n">
        <v>1.3</v>
      </c>
      <c r="J152" s="28" t="n">
        <f aca="false">RC_VOUT*(1-EXP(-I152/RT_TAU))</f>
        <v>2.74938042806274</v>
      </c>
      <c r="L152" s="127" t="n">
        <f aca="false">RC_VOUT*(EXP(-I152/RT_TAU))</f>
        <v>0.550619571937258</v>
      </c>
      <c r="M152" s="127"/>
    </row>
    <row r="153" customFormat="false" ht="15" hidden="false" customHeight="false" outlineLevel="0" collapsed="false">
      <c r="I153" s="28" t="n">
        <v>1.31</v>
      </c>
      <c r="J153" s="28" t="n">
        <f aca="false">RC_VOUT*(1-EXP(-I153/RT_TAU))</f>
        <v>2.7569127252731</v>
      </c>
      <c r="L153" s="127" t="n">
        <f aca="false">RC_VOUT*(EXP(-I153/RT_TAU))</f>
        <v>0.543087274726902</v>
      </c>
      <c r="M153" s="127"/>
    </row>
    <row r="154" customFormat="false" ht="15" hidden="false" customHeight="false" outlineLevel="0" collapsed="false">
      <c r="I154" s="28" t="n">
        <v>1.32</v>
      </c>
      <c r="J154" s="28" t="n">
        <f aca="false">RC_VOUT*(1-EXP(-I154/RT_TAU))</f>
        <v>2.7643419830999</v>
      </c>
      <c r="L154" s="127" t="n">
        <f aca="false">RC_VOUT*(EXP(-I154/RT_TAU))</f>
        <v>0.535658016900099</v>
      </c>
      <c r="M154" s="127"/>
    </row>
    <row r="155" customFormat="false" ht="15" hidden="false" customHeight="false" outlineLevel="0" collapsed="false">
      <c r="I155" s="28" t="n">
        <v>1.33</v>
      </c>
      <c r="J155" s="28" t="n">
        <f aca="false">RC_VOUT*(1-EXP(-I155/RT_TAU))</f>
        <v>2.77166961108851</v>
      </c>
      <c r="L155" s="127" t="n">
        <f aca="false">RC_VOUT*(EXP(-I155/RT_TAU))</f>
        <v>0.528330388911493</v>
      </c>
      <c r="M155" s="127"/>
    </row>
    <row r="156" customFormat="false" ht="15" hidden="false" customHeight="false" outlineLevel="0" collapsed="false">
      <c r="I156" s="28" t="n">
        <v>1.34</v>
      </c>
      <c r="J156" s="28" t="n">
        <f aca="false">RC_VOUT*(1-EXP(-I156/RT_TAU))</f>
        <v>2.77889699950215</v>
      </c>
      <c r="L156" s="127" t="n">
        <f aca="false">RC_VOUT*(EXP(-I156/RT_TAU))</f>
        <v>0.521103000497849</v>
      </c>
      <c r="M156" s="127"/>
    </row>
    <row r="157" customFormat="false" ht="15" hidden="false" customHeight="false" outlineLevel="0" collapsed="false">
      <c r="I157" s="28" t="n">
        <v>1.35</v>
      </c>
      <c r="J157" s="28" t="n">
        <f aca="false">RC_VOUT*(1-EXP(-I157/RT_TAU))</f>
        <v>2.78602551958572</v>
      </c>
      <c r="L157" s="127" t="n">
        <f aca="false">RC_VOUT*(EXP(-I157/RT_TAU))</f>
        <v>0.513974480414285</v>
      </c>
      <c r="M157" s="127"/>
    </row>
    <row r="158" customFormat="false" ht="15" hidden="false" customHeight="false" outlineLevel="0" collapsed="false">
      <c r="I158" s="28" t="n">
        <v>1.36</v>
      </c>
      <c r="J158" s="28" t="n">
        <f aca="false">RC_VOUT*(1-EXP(-I158/RT_TAU))</f>
        <v>2.7930565238259</v>
      </c>
      <c r="L158" s="127" t="n">
        <f aca="false">RC_VOUT*(EXP(-I158/RT_TAU))</f>
        <v>0.506943476174101</v>
      </c>
      <c r="M158" s="127"/>
    </row>
    <row r="159" customFormat="false" ht="15" hidden="false" customHeight="false" outlineLevel="0" collapsed="false">
      <c r="I159" s="28" t="n">
        <v>1.37</v>
      </c>
      <c r="J159" s="28" t="n">
        <f aca="false">RC_VOUT*(1-EXP(-I159/RT_TAU))</f>
        <v>2.79999134620782</v>
      </c>
      <c r="L159" s="127" t="n">
        <f aca="false">RC_VOUT*(EXP(-I159/RT_TAU))</f>
        <v>0.500008653792179</v>
      </c>
      <c r="M159" s="127"/>
    </row>
    <row r="160" customFormat="false" ht="15" hidden="false" customHeight="false" outlineLevel="0" collapsed="false">
      <c r="I160" s="28" t="n">
        <v>1.38</v>
      </c>
      <c r="J160" s="28" t="n">
        <f aca="false">RC_VOUT*(1-EXP(-I160/RT_TAU))</f>
        <v>2.80683130246812</v>
      </c>
      <c r="L160" s="127" t="n">
        <f aca="false">RC_VOUT*(EXP(-I160/RT_TAU))</f>
        <v>0.493168697531884</v>
      </c>
      <c r="M160" s="127"/>
    </row>
    <row r="161" customFormat="false" ht="15" hidden="false" customHeight="false" outlineLevel="0" collapsed="false">
      <c r="I161" s="28" t="n">
        <v>1.39</v>
      </c>
      <c r="J161" s="28" t="n">
        <f aca="false">RC_VOUT*(1-EXP(-I161/RT_TAU))</f>
        <v>2.81357769034457</v>
      </c>
      <c r="L161" s="127" t="n">
        <f aca="false">RC_VOUT*(EXP(-I161/RT_TAU))</f>
        <v>0.486422309655433</v>
      </c>
      <c r="M161" s="127"/>
    </row>
    <row r="162" customFormat="false" ht="15" hidden="false" customHeight="false" outlineLevel="0" collapsed="false">
      <c r="I162" s="28" t="n">
        <v>1.4</v>
      </c>
      <c r="J162" s="28" t="n">
        <f aca="false">RC_VOUT*(1-EXP(-I162/RT_TAU))</f>
        <v>2.82023178982233</v>
      </c>
      <c r="L162" s="127" t="n">
        <f aca="false">RC_VOUT*(EXP(-I162/RT_TAU))</f>
        <v>0.479768210177671</v>
      </c>
      <c r="M162" s="127"/>
    </row>
    <row r="163" customFormat="false" ht="15" hidden="false" customHeight="false" outlineLevel="0" collapsed="false">
      <c r="I163" s="28" t="n">
        <v>1.41</v>
      </c>
      <c r="J163" s="28" t="n">
        <f aca="false">RC_VOUT*(1-EXP(-I163/RT_TAU))</f>
        <v>2.82679486337677</v>
      </c>
      <c r="L163" s="127" t="n">
        <f aca="false">RC_VOUT*(EXP(-I163/RT_TAU))</f>
        <v>0.47320513662323</v>
      </c>
      <c r="M163" s="127"/>
    </row>
    <row r="164" customFormat="false" ht="15" hidden="false" customHeight="false" outlineLevel="0" collapsed="false">
      <c r="I164" s="28" t="n">
        <v>1.42</v>
      </c>
      <c r="J164" s="28" t="n">
        <f aca="false">RC_VOUT*(1-EXP(-I164/RT_TAU))</f>
        <v>2.83326815621301</v>
      </c>
      <c r="L164" s="127" t="n">
        <f aca="false">RC_VOUT*(EXP(-I164/RT_TAU))</f>
        <v>0.466731843786993</v>
      </c>
      <c r="M164" s="127"/>
    </row>
    <row r="165" customFormat="false" ht="15" hidden="false" customHeight="false" outlineLevel="0" collapsed="false">
      <c r="I165" s="28" t="n">
        <v>1.43</v>
      </c>
      <c r="J165" s="28" t="n">
        <f aca="false">RC_VOUT*(1-EXP(-I165/RT_TAU))</f>
        <v>2.83965289650216</v>
      </c>
      <c r="L165" s="127" t="n">
        <f aca="false">RC_VOUT*(EXP(-I165/RT_TAU))</f>
        <v>0.460347103497844</v>
      </c>
      <c r="M165" s="127"/>
    </row>
    <row r="166" customFormat="false" ht="15" hidden="false" customHeight="false" outlineLevel="0" collapsed="false">
      <c r="I166" s="28" t="n">
        <v>1.44</v>
      </c>
      <c r="J166" s="28" t="n">
        <f aca="false">RC_VOUT*(1-EXP(-I166/RT_TAU))</f>
        <v>2.84595029561435</v>
      </c>
      <c r="L166" s="127" t="n">
        <f aca="false">RC_VOUT*(EXP(-I166/RT_TAU))</f>
        <v>0.454049704385653</v>
      </c>
      <c r="M166" s="127"/>
    </row>
    <row r="167" customFormat="false" ht="15" hidden="false" customHeight="false" outlineLevel="0" collapsed="false">
      <c r="I167" s="28" t="n">
        <v>1.45</v>
      </c>
      <c r="J167" s="28" t="n">
        <f aca="false">RC_VOUT*(1-EXP(-I167/RT_TAU))</f>
        <v>2.85216154834856</v>
      </c>
      <c r="L167" s="127" t="n">
        <f aca="false">RC_VOUT*(EXP(-I167/RT_TAU))</f>
        <v>0.447838451651439</v>
      </c>
      <c r="M167" s="127"/>
    </row>
    <row r="168" customFormat="false" ht="15" hidden="false" customHeight="false" outlineLevel="0" collapsed="false">
      <c r="I168" s="28" t="n">
        <v>1.46</v>
      </c>
      <c r="J168" s="28" t="n">
        <f aca="false">RC_VOUT*(1-EXP(-I168/RT_TAU))</f>
        <v>2.85828783315932</v>
      </c>
      <c r="L168" s="127" t="n">
        <f aca="false">RC_VOUT*(EXP(-I168/RT_TAU))</f>
        <v>0.441712166840682</v>
      </c>
      <c r="M168" s="127"/>
    </row>
    <row r="169" customFormat="false" ht="15" hidden="false" customHeight="false" outlineLevel="0" collapsed="false">
      <c r="I169" s="28" t="n">
        <v>1.47</v>
      </c>
      <c r="J169" s="28" t="n">
        <f aca="false">RC_VOUT*(1-EXP(-I169/RT_TAU))</f>
        <v>2.86433031238026</v>
      </c>
      <c r="L169" s="127" t="n">
        <f aca="false">RC_VOUT*(EXP(-I169/RT_TAU))</f>
        <v>0.43566968761974</v>
      </c>
      <c r="M169" s="127"/>
    </row>
    <row r="170" customFormat="false" ht="15" hidden="false" customHeight="false" outlineLevel="0" collapsed="false">
      <c r="I170" s="28" t="n">
        <v>1.48</v>
      </c>
      <c r="J170" s="28" t="n">
        <f aca="false">RC_VOUT*(1-EXP(-I170/RT_TAU))</f>
        <v>2.87029013244468</v>
      </c>
      <c r="L170" s="127" t="n">
        <f aca="false">RC_VOUT*(EXP(-I170/RT_TAU))</f>
        <v>0.429709867555319</v>
      </c>
      <c r="M170" s="127"/>
    </row>
    <row r="171" customFormat="false" ht="15" hidden="false" customHeight="false" outlineLevel="0" collapsed="false">
      <c r="I171" s="28" t="n">
        <v>1.49</v>
      </c>
      <c r="J171" s="28" t="n">
        <f aca="false">RC_VOUT*(1-EXP(-I171/RT_TAU))</f>
        <v>2.87616842410304</v>
      </c>
      <c r="L171" s="127" t="n">
        <f aca="false">RC_VOUT*(EXP(-I171/RT_TAU))</f>
        <v>0.423831575896956</v>
      </c>
      <c r="M171" s="127"/>
    </row>
    <row r="172" customFormat="false" ht="15" hidden="false" customHeight="false" outlineLevel="0" collapsed="false">
      <c r="I172" s="28" t="n">
        <v>1.5</v>
      </c>
      <c r="J172" s="28" t="n">
        <f aca="false">RC_VOUT*(1-EXP(-I172/RT_TAU))</f>
        <v>2.88196630263751</v>
      </c>
      <c r="L172" s="127" t="n">
        <f aca="false">RC_VOUT*(EXP(-I172/RT_TAU))</f>
        <v>0.418033697362494</v>
      </c>
      <c r="M172" s="127"/>
    </row>
    <row r="173" customFormat="false" ht="15" hidden="false" customHeight="false" outlineLevel="0" collapsed="false">
      <c r="I173" s="28" t="n">
        <v>1.51</v>
      </c>
      <c r="J173" s="28" t="n">
        <f aca="false">RC_VOUT*(1-EXP(-I173/RT_TAU))</f>
        <v>2.88768486807353</v>
      </c>
      <c r="L173" s="127" t="n">
        <f aca="false">RC_VOUT*(EXP(-I173/RT_TAU))</f>
        <v>0.41231513192647</v>
      </c>
      <c r="M173" s="127"/>
    </row>
    <row r="174" customFormat="false" ht="15" hidden="false" customHeight="false" outlineLevel="0" collapsed="false">
      <c r="I174" s="28" t="n">
        <v>1.52</v>
      </c>
      <c r="J174" s="28" t="n">
        <f aca="false">RC_VOUT*(1-EXP(-I174/RT_TAU))</f>
        <v>2.89332520538858</v>
      </c>
      <c r="L174" s="127" t="n">
        <f aca="false">RC_VOUT*(EXP(-I174/RT_TAU))</f>
        <v>0.406674794611415</v>
      </c>
      <c r="M174" s="127"/>
    </row>
    <row r="175" customFormat="false" ht="15" hidden="false" customHeight="false" outlineLevel="0" collapsed="false">
      <c r="I175" s="28" t="n">
        <v>1.53</v>
      </c>
      <c r="J175" s="28" t="n">
        <f aca="false">RC_VOUT*(1-EXP(-I175/RT_TAU))</f>
        <v>2.898888384718</v>
      </c>
      <c r="L175" s="127" t="n">
        <f aca="false">RC_VOUT*(EXP(-I175/RT_TAU))</f>
        <v>0.401111615281998</v>
      </c>
      <c r="M175" s="127"/>
    </row>
    <row r="176" customFormat="false" ht="15" hidden="false" customHeight="false" outlineLevel="0" collapsed="false">
      <c r="I176" s="28" t="n">
        <v>1.54</v>
      </c>
      <c r="J176" s="28" t="n">
        <f aca="false">RC_VOUT*(1-EXP(-I176/RT_TAU))</f>
        <v>2.90437546155801</v>
      </c>
      <c r="L176" s="127" t="n">
        <f aca="false">RC_VOUT*(EXP(-I176/RT_TAU))</f>
        <v>0.395624538441993</v>
      </c>
      <c r="M176" s="127"/>
    </row>
    <row r="177" customFormat="false" ht="15" hidden="false" customHeight="false" outlineLevel="0" collapsed="false">
      <c r="I177" s="28" t="n">
        <v>1.55</v>
      </c>
      <c r="J177" s="28" t="n">
        <f aca="false">RC_VOUT*(1-EXP(-I177/RT_TAU))</f>
        <v>2.90978747696598</v>
      </c>
      <c r="L177" s="127" t="n">
        <f aca="false">RC_VOUT*(EXP(-I177/RT_TAU))</f>
        <v>0.390212523034021</v>
      </c>
      <c r="M177" s="127"/>
    </row>
    <row r="178" customFormat="false" ht="15" hidden="false" customHeight="false" outlineLevel="0" collapsed="false">
      <c r="I178" s="28" t="n">
        <v>1.56</v>
      </c>
      <c r="J178" s="28" t="n">
        <f aca="false">RC_VOUT*(1-EXP(-I178/RT_TAU))</f>
        <v>2.91512545775797</v>
      </c>
      <c r="L178" s="127" t="n">
        <f aca="false">RC_VOUT*(EXP(-I178/RT_TAU))</f>
        <v>0.38487454224203</v>
      </c>
      <c r="M178" s="127"/>
    </row>
    <row r="179" customFormat="false" ht="15" hidden="false" customHeight="false" outlineLevel="0" collapsed="false">
      <c r="I179" s="28" t="n">
        <v>1.57</v>
      </c>
      <c r="J179" s="28" t="n">
        <f aca="false">RC_VOUT*(1-EXP(-I179/RT_TAU))</f>
        <v>2.92039041670352</v>
      </c>
      <c r="L179" s="127" t="n">
        <f aca="false">RC_VOUT*(EXP(-I179/RT_TAU))</f>
        <v>0.379609583296479</v>
      </c>
      <c r="M179" s="127"/>
    </row>
    <row r="180" customFormat="false" ht="15" hidden="false" customHeight="false" outlineLevel="0" collapsed="false">
      <c r="I180" s="28" t="n">
        <v>1.58</v>
      </c>
      <c r="J180" s="28" t="n">
        <f aca="false">RC_VOUT*(1-EXP(-I180/RT_TAU))</f>
        <v>2.92558335271782</v>
      </c>
      <c r="L180" s="127" t="n">
        <f aca="false">RC_VOUT*(EXP(-I180/RT_TAU))</f>
        <v>0.374416647282183</v>
      </c>
      <c r="M180" s="127"/>
    </row>
    <row r="181" customFormat="false" ht="15" hidden="false" customHeight="false" outlineLevel="0" collapsed="false">
      <c r="I181" s="28" t="n">
        <v>1.59</v>
      </c>
      <c r="J181" s="28" t="n">
        <f aca="false">RC_VOUT*(1-EXP(-I181/RT_TAU))</f>
        <v>2.9307052510512</v>
      </c>
      <c r="L181" s="127" t="n">
        <f aca="false">RC_VOUT*(EXP(-I181/RT_TAU))</f>
        <v>0.369294748948798</v>
      </c>
      <c r="M181" s="127"/>
    </row>
    <row r="182" customFormat="false" ht="15" hidden="false" customHeight="false" outlineLevel="0" collapsed="false">
      <c r="I182" s="28" t="n">
        <v>1.6</v>
      </c>
      <c r="J182" s="28" t="n">
        <f aca="false">RC_VOUT*(1-EXP(-I182/RT_TAU))</f>
        <v>2.93575708347612</v>
      </c>
      <c r="L182" s="127" t="n">
        <f aca="false">RC_VOUT*(EXP(-I182/RT_TAU))</f>
        <v>0.364242916523882</v>
      </c>
      <c r="M182" s="127"/>
    </row>
    <row r="183" customFormat="false" ht="15" hidden="false" customHeight="false" outlineLevel="0" collapsed="false">
      <c r="I183" s="28" t="n">
        <v>1.61</v>
      </c>
      <c r="J183" s="28" t="n">
        <f aca="false">RC_VOUT*(1-EXP(-I183/RT_TAU))</f>
        <v>2.94073980847148</v>
      </c>
      <c r="L183" s="127" t="n">
        <f aca="false">RC_VOUT*(EXP(-I183/RT_TAU))</f>
        <v>0.359260191528524</v>
      </c>
      <c r="M183" s="127"/>
    </row>
    <row r="184" customFormat="false" ht="15" hidden="false" customHeight="false" outlineLevel="0" collapsed="false">
      <c r="I184" s="28" t="n">
        <v>1.62</v>
      </c>
      <c r="J184" s="28" t="n">
        <f aca="false">RC_VOUT*(1-EXP(-I184/RT_TAU))</f>
        <v>2.9456543714045</v>
      </c>
      <c r="L184" s="127" t="n">
        <f aca="false">RC_VOUT*(EXP(-I184/RT_TAU))</f>
        <v>0.354345628595496</v>
      </c>
      <c r="M184" s="127"/>
    </row>
    <row r="185" customFormat="false" ht="15" hidden="false" customHeight="false" outlineLevel="0" collapsed="false">
      <c r="I185" s="28" t="n">
        <v>1.63</v>
      </c>
      <c r="J185" s="28" t="n">
        <f aca="false">RC_VOUT*(1-EXP(-I185/RT_TAU))</f>
        <v>2.95050170471011</v>
      </c>
      <c r="L185" s="127" t="n">
        <f aca="false">RC_VOUT*(EXP(-I185/RT_TAU))</f>
        <v>0.349498295289886</v>
      </c>
      <c r="M185" s="127"/>
    </row>
    <row r="186" customFormat="false" ht="15" hidden="false" customHeight="false" outlineLevel="0" collapsed="false">
      <c r="I186" s="28" t="n">
        <v>1.64</v>
      </c>
      <c r="J186" s="28" t="n">
        <f aca="false">RC_VOUT*(1-EXP(-I186/RT_TAU))</f>
        <v>2.95528272806781</v>
      </c>
      <c r="L186" s="127" t="n">
        <f aca="false">RC_VOUT*(EXP(-I186/RT_TAU))</f>
        <v>0.344717271932191</v>
      </c>
      <c r="M186" s="127"/>
    </row>
    <row r="187" customFormat="false" ht="15" hidden="false" customHeight="false" outlineLevel="0" collapsed="false">
      <c r="I187" s="28" t="n">
        <v>1.65</v>
      </c>
      <c r="J187" s="28" t="n">
        <f aca="false">RC_VOUT*(1-EXP(-I187/RT_TAU))</f>
        <v>2.95999834857618</v>
      </c>
      <c r="L187" s="127" t="n">
        <f aca="false">RC_VOUT*(EXP(-I187/RT_TAU))</f>
        <v>0.340001651423822</v>
      </c>
      <c r="M187" s="127"/>
    </row>
    <row r="188" customFormat="false" ht="15" hidden="false" customHeight="false" outlineLevel="0" collapsed="false">
      <c r="I188" s="28" t="n">
        <v>1.66</v>
      </c>
      <c r="J188" s="28" t="n">
        <f aca="false">RC_VOUT*(1-EXP(-I188/RT_TAU))</f>
        <v>2.96464946092499</v>
      </c>
      <c r="L188" s="127" t="n">
        <f aca="false">RC_VOUT*(EXP(-I188/RT_TAU))</f>
        <v>0.335350539075007</v>
      </c>
      <c r="M188" s="127"/>
    </row>
    <row r="189" customFormat="false" ht="15" hidden="false" customHeight="false" outlineLevel="0" collapsed="false">
      <c r="I189" s="28" t="n">
        <v>1.67</v>
      </c>
      <c r="J189" s="28" t="n">
        <f aca="false">RC_VOUT*(1-EXP(-I189/RT_TAU))</f>
        <v>2.96923694756496</v>
      </c>
      <c r="L189" s="127" t="n">
        <f aca="false">RC_VOUT*(EXP(-I189/RT_TAU))</f>
        <v>0.330763052435041</v>
      </c>
      <c r="M189" s="127"/>
    </row>
    <row r="190" customFormat="false" ht="15" hidden="false" customHeight="false" outlineLevel="0" collapsed="false">
      <c r="I190" s="28" t="n">
        <v>1.68</v>
      </c>
      <c r="J190" s="28" t="n">
        <f aca="false">RC_VOUT*(1-EXP(-I190/RT_TAU))</f>
        <v>2.97376167887514</v>
      </c>
      <c r="L190" s="127" t="n">
        <f aca="false">RC_VOUT*(EXP(-I190/RT_TAU))</f>
        <v>0.326238321124855</v>
      </c>
      <c r="M190" s="127"/>
    </row>
    <row r="191" customFormat="false" ht="15" hidden="false" customHeight="false" outlineLevel="0" collapsed="false">
      <c r="I191" s="28" t="n">
        <v>1.69</v>
      </c>
      <c r="J191" s="28" t="n">
        <f aca="false">RC_VOUT*(1-EXP(-I191/RT_TAU))</f>
        <v>2.97822451332811</v>
      </c>
      <c r="L191" s="127" t="n">
        <f aca="false">RC_VOUT*(EXP(-I191/RT_TAU))</f>
        <v>0.321775486671887</v>
      </c>
      <c r="M191" s="127"/>
    </row>
    <row r="192" customFormat="false" ht="15" hidden="false" customHeight="false" outlineLevel="0" collapsed="false">
      <c r="I192" s="28" t="n">
        <v>1.7</v>
      </c>
      <c r="J192" s="28" t="n">
        <f aca="false">RC_VOUT*(1-EXP(-I192/RT_TAU))</f>
        <v>2.9826262976528</v>
      </c>
      <c r="L192" s="127" t="n">
        <f aca="false">RC_VOUT*(EXP(-I192/RT_TAU))</f>
        <v>0.317373702347199</v>
      </c>
      <c r="M192" s="127"/>
    </row>
    <row r="193" customFormat="false" ht="15" hidden="false" customHeight="false" outlineLevel="0" collapsed="false">
      <c r="I193" s="28" t="n">
        <v>1.71</v>
      </c>
      <c r="J193" s="28" t="n">
        <f aca="false">RC_VOUT*(1-EXP(-I193/RT_TAU))</f>
        <v>2.98696786699517</v>
      </c>
      <c r="L193" s="127" t="n">
        <f aca="false">RC_VOUT*(EXP(-I193/RT_TAU))</f>
        <v>0.313032133004831</v>
      </c>
      <c r="M193" s="127"/>
    </row>
    <row r="194" customFormat="false" ht="15" hidden="false" customHeight="false" outlineLevel="0" collapsed="false">
      <c r="I194" s="28" t="n">
        <v>1.72</v>
      </c>
      <c r="J194" s="28" t="n">
        <f aca="false">RC_VOUT*(1-EXP(-I194/RT_TAU))</f>
        <v>2.99125004507665</v>
      </c>
      <c r="L194" s="127" t="n">
        <f aca="false">RC_VOUT*(EXP(-I194/RT_TAU))</f>
        <v>0.30874995492335</v>
      </c>
      <c r="M194" s="127"/>
    </row>
    <row r="195" customFormat="false" ht="15" hidden="false" customHeight="false" outlineLevel="0" collapsed="false">
      <c r="I195" s="28" t="n">
        <v>1.73</v>
      </c>
      <c r="J195" s="28" t="n">
        <f aca="false">RC_VOUT*(1-EXP(-I195/RT_TAU))</f>
        <v>2.99547364435044</v>
      </c>
      <c r="L195" s="127" t="n">
        <f aca="false">RC_VOUT*(EXP(-I195/RT_TAU))</f>
        <v>0.304526355649564</v>
      </c>
      <c r="M195" s="127"/>
    </row>
    <row r="196" customFormat="false" ht="15" hidden="false" customHeight="false" outlineLevel="0" collapsed="false">
      <c r="I196" s="28" t="n">
        <v>1.74</v>
      </c>
      <c r="J196" s="28" t="n">
        <f aca="false">RC_VOUT*(1-EXP(-I196/RT_TAU))</f>
        <v>2.99963946615562</v>
      </c>
      <c r="L196" s="127" t="n">
        <f aca="false">RC_VOUT*(EXP(-I196/RT_TAU))</f>
        <v>0.300360533844376</v>
      </c>
      <c r="M196" s="127"/>
    </row>
    <row r="197" customFormat="false" ht="15" hidden="false" customHeight="false" outlineLevel="0" collapsed="false">
      <c r="I197" s="28" t="n">
        <v>1.75</v>
      </c>
      <c r="J197" s="28" t="n">
        <f aca="false">RC_VOUT*(1-EXP(-I197/RT_TAU))</f>
        <v>3.00374830086925</v>
      </c>
      <c r="L197" s="127" t="n">
        <f aca="false">RC_VOUT*(EXP(-I197/RT_TAU))</f>
        <v>0.296251699130751</v>
      </c>
      <c r="M197" s="127"/>
    </row>
    <row r="198" customFormat="false" ht="15" hidden="false" customHeight="false" outlineLevel="0" collapsed="false">
      <c r="I198" s="28" t="n">
        <v>1.76</v>
      </c>
      <c r="J198" s="28" t="n">
        <f aca="false">RC_VOUT*(1-EXP(-I198/RT_TAU))</f>
        <v>3.00780092805625</v>
      </c>
      <c r="L198" s="127" t="n">
        <f aca="false">RC_VOUT*(EXP(-I198/RT_TAU))</f>
        <v>0.292199071943753</v>
      </c>
      <c r="M198" s="127"/>
    </row>
    <row r="199" customFormat="false" ht="15" hidden="false" customHeight="false" outlineLevel="0" collapsed="false">
      <c r="I199" s="28" t="n">
        <v>1.77</v>
      </c>
      <c r="J199" s="28" t="n">
        <f aca="false">RC_VOUT*(1-EXP(-I199/RT_TAU))</f>
        <v>3.01179811661736</v>
      </c>
      <c r="L199" s="127" t="n">
        <f aca="false">RC_VOUT*(EXP(-I199/RT_TAU))</f>
        <v>0.288201883382643</v>
      </c>
      <c r="M199" s="127"/>
    </row>
    <row r="200" customFormat="false" ht="15" hidden="false" customHeight="false" outlineLevel="0" collapsed="false">
      <c r="I200" s="28" t="n">
        <v>1.78</v>
      </c>
      <c r="J200" s="28" t="n">
        <f aca="false">RC_VOUT*(1-EXP(-I200/RT_TAU))</f>
        <v>3.015740624935</v>
      </c>
      <c r="L200" s="127" t="n">
        <f aca="false">RC_VOUT*(EXP(-I200/RT_TAU))</f>
        <v>0.284259375064995</v>
      </c>
      <c r="M200" s="127"/>
    </row>
    <row r="201" customFormat="false" ht="15" hidden="false" customHeight="false" outlineLevel="0" collapsed="false">
      <c r="I201" s="28" t="n">
        <v>1.79</v>
      </c>
      <c r="J201" s="28" t="n">
        <f aca="false">RC_VOUT*(1-EXP(-I201/RT_TAU))</f>
        <v>3.01962920101719</v>
      </c>
      <c r="L201" s="127" t="n">
        <f aca="false">RC_VOUT*(EXP(-I201/RT_TAU))</f>
        <v>0.280370798982807</v>
      </c>
      <c r="M201" s="127"/>
    </row>
    <row r="202" customFormat="false" ht="15" hidden="false" customHeight="false" outlineLevel="0" collapsed="false">
      <c r="I202" s="28" t="n">
        <v>1.8</v>
      </c>
      <c r="J202" s="28" t="n">
        <f aca="false">RC_VOUT*(1-EXP(-I202/RT_TAU))</f>
        <v>3.02346458263941</v>
      </c>
      <c r="L202" s="127" t="n">
        <f aca="false">RC_VOUT*(EXP(-I202/RT_TAU))</f>
        <v>0.276535417360585</v>
      </c>
      <c r="M202" s="127"/>
    </row>
    <row r="203" customFormat="false" ht="15" hidden="false" customHeight="false" outlineLevel="0" collapsed="false">
      <c r="I203" s="28" t="n">
        <v>1.81</v>
      </c>
      <c r="J203" s="28" t="n">
        <f aca="false">RC_VOUT*(1-EXP(-I203/RT_TAU))</f>
        <v>3.02724749748463</v>
      </c>
      <c r="L203" s="127" t="n">
        <f aca="false">RC_VOUT*(EXP(-I203/RT_TAU))</f>
        <v>0.272752502515366</v>
      </c>
      <c r="M203" s="127"/>
    </row>
    <row r="204" customFormat="false" ht="15" hidden="false" customHeight="false" outlineLevel="0" collapsed="false">
      <c r="I204" s="28" t="n">
        <v>1.82</v>
      </c>
      <c r="J204" s="28" t="n">
        <f aca="false">RC_VOUT*(1-EXP(-I204/RT_TAU))</f>
        <v>3.03097866328135</v>
      </c>
      <c r="L204" s="127" t="n">
        <f aca="false">RC_VOUT*(EXP(-I204/RT_TAU))</f>
        <v>0.26902133671865</v>
      </c>
      <c r="M204" s="127"/>
    </row>
    <row r="205" customFormat="false" ht="15" hidden="false" customHeight="false" outlineLevel="0" collapsed="false">
      <c r="I205" s="28" t="n">
        <v>1.83</v>
      </c>
      <c r="J205" s="28" t="n">
        <f aca="false">RC_VOUT*(1-EXP(-I205/RT_TAU))</f>
        <v>3.03465878793976</v>
      </c>
      <c r="L205" s="127" t="n">
        <f aca="false">RC_VOUT*(EXP(-I205/RT_TAU))</f>
        <v>0.265341212060235</v>
      </c>
      <c r="M205" s="127"/>
    </row>
    <row r="206" customFormat="false" ht="15" hidden="false" customHeight="false" outlineLevel="0" collapsed="false">
      <c r="I206" s="28" t="n">
        <v>1.84</v>
      </c>
      <c r="J206" s="28" t="n">
        <f aca="false">RC_VOUT*(1-EXP(-I206/RT_TAU))</f>
        <v>3.0382885696861</v>
      </c>
      <c r="L206" s="127" t="n">
        <f aca="false">RC_VOUT*(EXP(-I206/RT_TAU))</f>
        <v>0.261711430313898</v>
      </c>
      <c r="M206" s="127"/>
    </row>
    <row r="207" customFormat="false" ht="15" hidden="false" customHeight="false" outlineLevel="0" collapsed="false">
      <c r="I207" s="28" t="n">
        <v>1.85</v>
      </c>
      <c r="J207" s="28" t="n">
        <f aca="false">RC_VOUT*(1-EXP(-I207/RT_TAU))</f>
        <v>3.04186869719508</v>
      </c>
      <c r="L207" s="127" t="n">
        <f aca="false">RC_VOUT*(EXP(-I207/RT_TAU))</f>
        <v>0.258131302804924</v>
      </c>
      <c r="M207" s="127"/>
    </row>
    <row r="208" customFormat="false" ht="15" hidden="false" customHeight="false" outlineLevel="0" collapsed="false">
      <c r="I208" s="28" t="n">
        <v>1.86</v>
      </c>
      <c r="J208" s="28" t="n">
        <f aca="false">RC_VOUT*(1-EXP(-I208/RT_TAU))</f>
        <v>3.04539984972055</v>
      </c>
      <c r="L208" s="127" t="n">
        <f aca="false">RC_VOUT*(EXP(-I208/RT_TAU))</f>
        <v>0.254600150279447</v>
      </c>
      <c r="M208" s="127"/>
    </row>
    <row r="209" customFormat="false" ht="15" hidden="false" customHeight="false" outlineLevel="0" collapsed="false">
      <c r="I209" s="28" t="n">
        <v>1.87</v>
      </c>
      <c r="J209" s="28" t="n">
        <f aca="false">RC_VOUT*(1-EXP(-I209/RT_TAU))</f>
        <v>3.04888269722443</v>
      </c>
      <c r="L209" s="127" t="n">
        <f aca="false">RC_VOUT*(EXP(-I209/RT_TAU))</f>
        <v>0.251117302775573</v>
      </c>
      <c r="M209" s="127"/>
    </row>
    <row r="210" customFormat="false" ht="15" hidden="false" customHeight="false" outlineLevel="0" collapsed="false">
      <c r="I210" s="28" t="n">
        <v>1.88</v>
      </c>
      <c r="J210" s="28" t="n">
        <f aca="false">RC_VOUT*(1-EXP(-I210/RT_TAU))</f>
        <v>3.05231790050373</v>
      </c>
      <c r="L210" s="127" t="n">
        <f aca="false">RC_VOUT*(EXP(-I210/RT_TAU))</f>
        <v>0.247682099496267</v>
      </c>
      <c r="M210" s="127"/>
    </row>
    <row r="211" customFormat="false" ht="15" hidden="false" customHeight="false" outlineLevel="0" collapsed="false">
      <c r="I211" s="28" t="n">
        <v>1.89</v>
      </c>
      <c r="J211" s="28" t="n">
        <f aca="false">RC_VOUT*(1-EXP(-I211/RT_TAU))</f>
        <v>3.05570611131601</v>
      </c>
      <c r="L211" s="127" t="n">
        <f aca="false">RC_VOUT*(EXP(-I211/RT_TAU))</f>
        <v>0.244293888683987</v>
      </c>
      <c r="M211" s="127"/>
    </row>
    <row r="212" customFormat="false" ht="15" hidden="false" customHeight="false" outlineLevel="0" collapsed="false">
      <c r="I212" s="28" t="n">
        <v>1.9</v>
      </c>
      <c r="J212" s="28" t="n">
        <f aca="false">RC_VOUT*(1-EXP(-I212/RT_TAU))</f>
        <v>3.05904797250298</v>
      </c>
      <c r="L212" s="127" t="n">
        <f aca="false">RC_VOUT*(EXP(-I212/RT_TAU))</f>
        <v>0.240952027497019</v>
      </c>
      <c r="M212" s="127"/>
    </row>
    <row r="213" customFormat="false" ht="15" hidden="false" customHeight="false" outlineLevel="0" collapsed="false">
      <c r="I213" s="28" t="n">
        <v>1.91</v>
      </c>
      <c r="J213" s="28" t="n">
        <f aca="false">RC_VOUT*(1-EXP(-I213/RT_TAU))</f>
        <v>3.06234411811248</v>
      </c>
      <c r="L213" s="127" t="n">
        <f aca="false">RC_VOUT*(EXP(-I213/RT_TAU))</f>
        <v>0.23765588188752</v>
      </c>
      <c r="M213" s="127"/>
    </row>
    <row r="214" customFormat="false" ht="15" hidden="false" customHeight="false" outlineLevel="0" collapsed="false">
      <c r="I214" s="28" t="n">
        <v>1.92</v>
      </c>
      <c r="J214" s="28" t="n">
        <f aca="false">RC_VOUT*(1-EXP(-I214/RT_TAU))</f>
        <v>3.06559517351879</v>
      </c>
      <c r="L214" s="127" t="n">
        <f aca="false">RC_VOUT*(EXP(-I214/RT_TAU))</f>
        <v>0.234404826481211</v>
      </c>
      <c r="M214" s="127"/>
    </row>
    <row r="215" customFormat="false" ht="15" hidden="false" customHeight="false" outlineLevel="0" collapsed="false">
      <c r="I215" s="28" t="n">
        <v>1.93</v>
      </c>
      <c r="J215" s="28" t="n">
        <f aca="false">RC_VOUT*(1-EXP(-I215/RT_TAU))</f>
        <v>3.06880175554127</v>
      </c>
      <c r="L215" s="127" t="n">
        <f aca="false">RC_VOUT*(EXP(-I215/RT_TAU))</f>
        <v>0.231198244458733</v>
      </c>
      <c r="M215" s="127"/>
    </row>
    <row r="216" customFormat="false" ht="15" hidden="false" customHeight="false" outlineLevel="0" collapsed="false">
      <c r="I216" s="28" t="n">
        <v>1.94</v>
      </c>
      <c r="J216" s="28" t="n">
        <f aca="false">RC_VOUT*(1-EXP(-I216/RT_TAU))</f>
        <v>3.07196447256139</v>
      </c>
      <c r="L216" s="127" t="n">
        <f aca="false">RC_VOUT*(EXP(-I216/RT_TAU))</f>
        <v>0.228035527438615</v>
      </c>
      <c r="M216" s="127"/>
    </row>
    <row r="217" customFormat="false" ht="15" hidden="false" customHeight="false" outlineLevel="0" collapsed="false">
      <c r="I217" s="28" t="n">
        <v>1.95</v>
      </c>
      <c r="J217" s="28" t="n">
        <f aca="false">RC_VOUT*(1-EXP(-I217/RT_TAU))</f>
        <v>3.07508392463815</v>
      </c>
      <c r="L217" s="127" t="n">
        <f aca="false">RC_VOUT*(EXP(-I217/RT_TAU))</f>
        <v>0.224916075361848</v>
      </c>
      <c r="M217" s="127"/>
    </row>
    <row r="218" customFormat="false" ht="15" hidden="false" customHeight="false" outlineLevel="0" collapsed="false">
      <c r="I218" s="28" t="n">
        <v>1.96</v>
      </c>
      <c r="J218" s="28" t="n">
        <f aca="false">RC_VOUT*(1-EXP(-I218/RT_TAU))</f>
        <v>3.07816070362196</v>
      </c>
      <c r="L218" s="127" t="n">
        <f aca="false">RC_VOUT*(EXP(-I218/RT_TAU))</f>
        <v>0.221839296378036</v>
      </c>
      <c r="M218" s="127"/>
    </row>
    <row r="219" customFormat="false" ht="15" hidden="false" customHeight="false" outlineLevel="0" collapsed="false">
      <c r="I219" s="28" t="n">
        <v>1.97</v>
      </c>
      <c r="J219" s="28" t="n">
        <f aca="false">RC_VOUT*(1-EXP(-I219/RT_TAU))</f>
        <v>3.0811953932669</v>
      </c>
      <c r="L219" s="127" t="n">
        <f aca="false">RC_VOUT*(EXP(-I219/RT_TAU))</f>
        <v>0.218804606733102</v>
      </c>
      <c r="M219" s="127"/>
    </row>
    <row r="220" customFormat="false" ht="15" hidden="false" customHeight="false" outlineLevel="0" collapsed="false">
      <c r="I220" s="28" t="n">
        <v>1.98</v>
      </c>
      <c r="J220" s="28" t="n">
        <f aca="false">RC_VOUT*(1-EXP(-I220/RT_TAU))</f>
        <v>3.08418856934146</v>
      </c>
      <c r="L220" s="127" t="n">
        <f aca="false">RC_VOUT*(EXP(-I220/RT_TAU))</f>
        <v>0.215811430658539</v>
      </c>
      <c r="M220" s="127"/>
    </row>
    <row r="221" customFormat="false" ht="15" hidden="false" customHeight="false" outlineLevel="0" collapsed="false">
      <c r="I221" s="28" t="n">
        <v>1.99</v>
      </c>
      <c r="J221" s="28" t="n">
        <f aca="false">RC_VOUT*(1-EXP(-I221/RT_TAU))</f>
        <v>3.08714079973784</v>
      </c>
      <c r="L221" s="127" t="n">
        <f aca="false">RC_VOUT*(EXP(-I221/RT_TAU))</f>
        <v>0.212859200262163</v>
      </c>
      <c r="M221" s="127"/>
    </row>
    <row r="222" customFormat="false" ht="15" hidden="false" customHeight="false" outlineLevel="0" collapsed="false">
      <c r="I222" s="28" t="n">
        <v>2</v>
      </c>
      <c r="J222" s="28" t="n">
        <f aca="false">RC_VOUT*(1-EXP(-I222/RT_TAU))</f>
        <v>3.09005264457963</v>
      </c>
      <c r="L222" s="127" t="n">
        <f aca="false">RC_VOUT*(EXP(-I222/RT_TAU))</f>
        <v>0.209947355420374</v>
      </c>
      <c r="M222" s="127"/>
    </row>
    <row r="223" customFormat="false" ht="15" hidden="false" customHeight="false" outlineLevel="0" collapsed="false">
      <c r="I223" s="28" t="n">
        <v>2.01</v>
      </c>
      <c r="J223" s="28" t="n">
        <f aca="false">RC_VOUT*(1-EXP(-I223/RT_TAU))</f>
        <v>3.09292465632812</v>
      </c>
      <c r="L223" s="127" t="n">
        <f aca="false">RC_VOUT*(EXP(-I223/RT_TAU))</f>
        <v>0.20707534367188</v>
      </c>
      <c r="M223" s="127"/>
    </row>
    <row r="224" customFormat="false" ht="15" hidden="false" customHeight="false" outlineLevel="0" collapsed="false">
      <c r="I224" s="28" t="n">
        <v>2.02</v>
      </c>
      <c r="J224" s="28" t="n">
        <f aca="false">RC_VOUT*(1-EXP(-I224/RT_TAU))</f>
        <v>3.09575737988712</v>
      </c>
      <c r="L224" s="127" t="n">
        <f aca="false">RC_VOUT*(EXP(-I224/RT_TAU))</f>
        <v>0.20424262011288</v>
      </c>
      <c r="M224" s="127"/>
    </row>
    <row r="225" customFormat="false" ht="15" hidden="false" customHeight="false" outlineLevel="0" collapsed="false">
      <c r="I225" s="28" t="n">
        <v>2.03</v>
      </c>
      <c r="J225" s="28" t="n">
        <f aca="false">RC_VOUT*(1-EXP(-I225/RT_TAU))</f>
        <v>3.09855135270632</v>
      </c>
      <c r="L225" s="127" t="n">
        <f aca="false">RC_VOUT*(EXP(-I225/RT_TAU))</f>
        <v>0.20144864729368</v>
      </c>
      <c r="M225" s="127"/>
    </row>
    <row r="226" customFormat="false" ht="15" hidden="false" customHeight="false" outlineLevel="0" collapsed="false">
      <c r="I226" s="28" t="n">
        <v>2.04</v>
      </c>
      <c r="J226" s="28" t="n">
        <f aca="false">RC_VOUT*(1-EXP(-I226/RT_TAU))</f>
        <v>3.10130710488328</v>
      </c>
      <c r="L226" s="127" t="n">
        <f aca="false">RC_VOUT*(EXP(-I226/RT_TAU))</f>
        <v>0.198692895116725</v>
      </c>
      <c r="M226" s="127"/>
    </row>
    <row r="227" customFormat="false" ht="15" hidden="false" customHeight="false" outlineLevel="0" collapsed="false">
      <c r="I227" s="28" t="n">
        <v>2.05</v>
      </c>
      <c r="J227" s="28" t="n">
        <f aca="false">RC_VOUT*(1-EXP(-I227/RT_TAU))</f>
        <v>3.10402515926398</v>
      </c>
      <c r="L227" s="127" t="n">
        <f aca="false">RC_VOUT*(EXP(-I227/RT_TAU))</f>
        <v>0.195974840736021</v>
      </c>
      <c r="M227" s="127"/>
    </row>
    <row r="228" customFormat="false" ht="15" hidden="false" customHeight="false" outlineLevel="0" collapsed="false">
      <c r="I228" s="28" t="n">
        <v>2.06</v>
      </c>
      <c r="J228" s="28" t="n">
        <f aca="false">RC_VOUT*(1-EXP(-I228/RT_TAU))</f>
        <v>3.10670603154206</v>
      </c>
      <c r="L228" s="127" t="n">
        <f aca="false">RC_VOUT*(EXP(-I228/RT_TAU))</f>
        <v>0.193293968457939</v>
      </c>
      <c r="M228" s="127"/>
    </row>
    <row r="229" customFormat="false" ht="15" hidden="false" customHeight="false" outlineLevel="0" collapsed="false">
      <c r="I229" s="28" t="n">
        <v>2.07</v>
      </c>
      <c r="J229" s="28" t="n">
        <f aca="false">RC_VOUT*(1-EXP(-I229/RT_TAU))</f>
        <v>3.10935023035663</v>
      </c>
      <c r="L229" s="127" t="n">
        <f aca="false">RC_VOUT*(EXP(-I229/RT_TAU))</f>
        <v>0.19064976964337</v>
      </c>
      <c r="M229" s="127"/>
    </row>
    <row r="230" customFormat="false" ht="15" hidden="false" customHeight="false" outlineLevel="0" collapsed="false">
      <c r="I230" s="28" t="n">
        <v>2.08</v>
      </c>
      <c r="J230" s="28" t="n">
        <f aca="false">RC_VOUT*(1-EXP(-I230/RT_TAU))</f>
        <v>3.11195825738877</v>
      </c>
      <c r="L230" s="127" t="n">
        <f aca="false">RC_VOUT*(EXP(-I230/RT_TAU))</f>
        <v>0.188041742611227</v>
      </c>
      <c r="M230" s="127"/>
    </row>
    <row r="231" customFormat="false" ht="15" hidden="false" customHeight="false" outlineLevel="0" collapsed="false">
      <c r="I231" s="28" t="n">
        <v>2.09</v>
      </c>
      <c r="J231" s="28" t="n">
        <f aca="false">RC_VOUT*(1-EXP(-I231/RT_TAU))</f>
        <v>3.11453060745675</v>
      </c>
      <c r="L231" s="127" t="n">
        <f aca="false">RC_VOUT*(EXP(-I231/RT_TAU))</f>
        <v>0.185469392543252</v>
      </c>
      <c r="M231" s="127"/>
    </row>
    <row r="232" customFormat="false" ht="15" hidden="false" customHeight="false" outlineLevel="0" collapsed="false">
      <c r="I232" s="28" t="n">
        <v>2.1</v>
      </c>
      <c r="J232" s="28" t="n">
        <f aca="false">RC_VOUT*(1-EXP(-I232/RT_TAU))</f>
        <v>3.11706776860986</v>
      </c>
      <c r="L232" s="127" t="n">
        <f aca="false">RC_VOUT*(EXP(-I232/RT_TAU))</f>
        <v>0.182932231390144</v>
      </c>
      <c r="M232" s="127"/>
    </row>
    <row r="233" customFormat="false" ht="15" hidden="false" customHeight="false" outlineLevel="0" collapsed="false">
      <c r="I233" s="28" t="n">
        <v>2.11</v>
      </c>
      <c r="J233" s="28" t="n">
        <f aca="false">RC_VOUT*(1-EXP(-I233/RT_TAU))</f>
        <v>3.11957022222104</v>
      </c>
      <c r="L233" s="127" t="n">
        <f aca="false">RC_VOUT*(EXP(-I233/RT_TAU))</f>
        <v>0.180429777778957</v>
      </c>
      <c r="M233" s="127"/>
    </row>
    <row r="234" customFormat="false" ht="15" hidden="false" customHeight="false" outlineLevel="0" collapsed="false">
      <c r="I234" s="28" t="n">
        <v>2.12</v>
      </c>
      <c r="J234" s="28" t="n">
        <f aca="false">RC_VOUT*(1-EXP(-I234/RT_TAU))</f>
        <v>3.12203844307823</v>
      </c>
      <c r="L234" s="127" t="n">
        <f aca="false">RC_VOUT*(EXP(-I234/RT_TAU))</f>
        <v>0.177961556921772</v>
      </c>
      <c r="M234" s="127"/>
    </row>
    <row r="235" customFormat="false" ht="15" hidden="false" customHeight="false" outlineLevel="0" collapsed="false">
      <c r="I235" s="28" t="n">
        <v>2.13</v>
      </c>
      <c r="J235" s="28" t="n">
        <f aca="false">RC_VOUT*(1-EXP(-I235/RT_TAU))</f>
        <v>3.12447289947439</v>
      </c>
      <c r="L235" s="127" t="n">
        <f aca="false">RC_VOUT*(EXP(-I235/RT_TAU))</f>
        <v>0.175527100525614</v>
      </c>
      <c r="M235" s="127"/>
    </row>
    <row r="236" customFormat="false" ht="15" hidden="false" customHeight="false" outlineLevel="0" collapsed="false">
      <c r="I236" s="28" t="n">
        <v>2.14</v>
      </c>
      <c r="J236" s="28" t="n">
        <f aca="false">RC_VOUT*(1-EXP(-I236/RT_TAU))</f>
        <v>3.1268740532964</v>
      </c>
      <c r="L236" s="127" t="n">
        <f aca="false">RC_VOUT*(EXP(-I236/RT_TAU))</f>
        <v>0.173125946703603</v>
      </c>
      <c r="M236" s="127"/>
    </row>
    <row r="237" customFormat="false" ht="15" hidden="false" customHeight="false" outlineLevel="0" collapsed="false">
      <c r="I237" s="28" t="n">
        <v>2.15</v>
      </c>
      <c r="J237" s="28" t="n">
        <f aca="false">RC_VOUT*(1-EXP(-I237/RT_TAU))</f>
        <v>3.12924236011268</v>
      </c>
      <c r="L237" s="127" t="n">
        <f aca="false">RC_VOUT*(EXP(-I237/RT_TAU))</f>
        <v>0.170757639887324</v>
      </c>
      <c r="M237" s="127"/>
    </row>
    <row r="238" customFormat="false" ht="15" hidden="false" customHeight="false" outlineLevel="0" collapsed="false">
      <c r="I238" s="28" t="n">
        <v>2.16</v>
      </c>
      <c r="J238" s="28" t="n">
        <f aca="false">RC_VOUT*(1-EXP(-I238/RT_TAU))</f>
        <v>3.13157826925961</v>
      </c>
      <c r="L238" s="127" t="n">
        <f aca="false">RC_VOUT*(EXP(-I238/RT_TAU))</f>
        <v>0.168421730740388</v>
      </c>
      <c r="M238" s="127"/>
    </row>
    <row r="239" customFormat="false" ht="15" hidden="false" customHeight="false" outlineLevel="0" collapsed="false">
      <c r="I239" s="28" t="n">
        <v>2.17</v>
      </c>
      <c r="J239" s="28" t="n">
        <f aca="false">RC_VOUT*(1-EXP(-I239/RT_TAU))</f>
        <v>3.13388222392682</v>
      </c>
      <c r="L239" s="127" t="n">
        <f aca="false">RC_VOUT*(EXP(-I239/RT_TAU))</f>
        <v>0.166117776073183</v>
      </c>
      <c r="M239" s="127"/>
    </row>
    <row r="240" customFormat="false" ht="15" hidden="false" customHeight="false" outlineLevel="0" collapsed="false">
      <c r="I240" s="28" t="n">
        <v>2.18</v>
      </c>
      <c r="J240" s="28" t="n">
        <f aca="false">RC_VOUT*(1-EXP(-I240/RT_TAU))</f>
        <v>3.13615466124121</v>
      </c>
      <c r="L240" s="127" t="n">
        <f aca="false">RC_VOUT*(EXP(-I240/RT_TAU))</f>
        <v>0.163845338758787</v>
      </c>
      <c r="M240" s="127"/>
    </row>
    <row r="241" customFormat="false" ht="15" hidden="false" customHeight="false" outlineLevel="0" collapsed="false">
      <c r="I241" s="28" t="n">
        <v>2.19</v>
      </c>
      <c r="J241" s="28" t="n">
        <f aca="false">RC_VOUT*(1-EXP(-I241/RT_TAU))</f>
        <v>3.13839601234997</v>
      </c>
      <c r="L241" s="127" t="n">
        <f aca="false">RC_VOUT*(EXP(-I241/RT_TAU))</f>
        <v>0.161603987650034</v>
      </c>
      <c r="M241" s="127"/>
    </row>
    <row r="242" customFormat="false" ht="15" hidden="false" customHeight="false" outlineLevel="0" collapsed="false">
      <c r="I242" s="28" t="n">
        <v>2.2</v>
      </c>
      <c r="J242" s="28" t="n">
        <f aca="false">RC_VOUT*(1-EXP(-I242/RT_TAU))</f>
        <v>3.14060670250229</v>
      </c>
      <c r="L242" s="127" t="n">
        <f aca="false">RC_VOUT*(EXP(-I242/RT_TAU))</f>
        <v>0.159393297497709</v>
      </c>
      <c r="M242" s="127"/>
    </row>
    <row r="243" customFormat="false" ht="15" hidden="false" customHeight="false" outlineLevel="0" collapsed="false">
      <c r="I243" s="28" t="n">
        <v>2.21</v>
      </c>
      <c r="J243" s="28" t="n">
        <f aca="false">RC_VOUT*(1-EXP(-I243/RT_TAU))</f>
        <v>3.14278715113013</v>
      </c>
      <c r="L243" s="127" t="n">
        <f aca="false">RC_VOUT*(EXP(-I243/RT_TAU))</f>
        <v>0.157212848869871</v>
      </c>
      <c r="M243" s="127"/>
    </row>
    <row r="244" customFormat="false" ht="15" hidden="false" customHeight="false" outlineLevel="0" collapsed="false">
      <c r="I244" s="28" t="n">
        <v>2.22</v>
      </c>
      <c r="J244" s="28" t="n">
        <f aca="false">RC_VOUT*(1-EXP(-I244/RT_TAU))</f>
        <v>3.14493777192773</v>
      </c>
      <c r="L244" s="127" t="n">
        <f aca="false">RC_VOUT*(EXP(-I244/RT_TAU))</f>
        <v>0.155062228072269</v>
      </c>
      <c r="M244" s="127"/>
    </row>
    <row r="245" customFormat="false" ht="15" hidden="false" customHeight="false" outlineLevel="0" collapsed="false">
      <c r="I245" s="28" t="n">
        <v>2.23</v>
      </c>
      <c r="J245" s="28" t="n">
        <f aca="false">RC_VOUT*(1-EXP(-I245/RT_TAU))</f>
        <v>3.14705897293014</v>
      </c>
      <c r="L245" s="127" t="n">
        <f aca="false">RC_VOUT*(EXP(-I245/RT_TAU))</f>
        <v>0.152941027069858</v>
      </c>
      <c r="M245" s="127"/>
    </row>
    <row r="246" customFormat="false" ht="15" hidden="false" customHeight="false" outlineLevel="0" collapsed="false">
      <c r="I246" s="28" t="n">
        <v>2.24</v>
      </c>
      <c r="J246" s="28" t="n">
        <f aca="false">RC_VOUT*(1-EXP(-I246/RT_TAU))</f>
        <v>3.14915115659062</v>
      </c>
      <c r="L246" s="127" t="n">
        <f aca="false">RC_VOUT*(EXP(-I246/RT_TAU))</f>
        <v>0.150848843409379</v>
      </c>
      <c r="M246" s="127"/>
    </row>
    <row r="247" customFormat="false" ht="15" hidden="false" customHeight="false" outlineLevel="0" collapsed="false">
      <c r="I247" s="28" t="n">
        <v>2.25</v>
      </c>
      <c r="J247" s="28" t="n">
        <f aca="false">RC_VOUT*(1-EXP(-I247/RT_TAU))</f>
        <v>3.151214719857</v>
      </c>
      <c r="L247" s="127" t="n">
        <f aca="false">RC_VOUT*(EXP(-I247/RT_TAU))</f>
        <v>0.148785280143002</v>
      </c>
      <c r="M247" s="127"/>
    </row>
    <row r="248" customFormat="false" ht="15" hidden="false" customHeight="false" outlineLevel="0" collapsed="false">
      <c r="I248" s="28" t="n">
        <v>2.26</v>
      </c>
      <c r="J248" s="28" t="n">
        <f aca="false">RC_VOUT*(1-EXP(-I248/RT_TAU))</f>
        <v>3.15325005424698</v>
      </c>
      <c r="L248" s="127" t="n">
        <f aca="false">RC_VOUT*(EXP(-I248/RT_TAU))</f>
        <v>0.146749945753016</v>
      </c>
      <c r="M248" s="127"/>
    </row>
    <row r="249" customFormat="false" ht="15" hidden="false" customHeight="false" outlineLevel="0" collapsed="false">
      <c r="I249" s="28" t="n">
        <v>2.27</v>
      </c>
      <c r="J249" s="28" t="n">
        <f aca="false">RC_VOUT*(1-EXP(-I249/RT_TAU))</f>
        <v>3.15525754592246</v>
      </c>
      <c r="L249" s="127" t="n">
        <f aca="false">RC_VOUT*(EXP(-I249/RT_TAU))</f>
        <v>0.144742454077545</v>
      </c>
      <c r="M249" s="127"/>
    </row>
    <row r="250" customFormat="false" ht="15" hidden="false" customHeight="false" outlineLevel="0" collapsed="false">
      <c r="I250" s="28" t="n">
        <v>2.28</v>
      </c>
      <c r="J250" s="28" t="n">
        <f aca="false">RC_VOUT*(1-EXP(-I250/RT_TAU))</f>
        <v>3.15723757576272</v>
      </c>
      <c r="L250" s="127" t="n">
        <f aca="false">RC_VOUT*(EXP(-I250/RT_TAU))</f>
        <v>0.142762424237282</v>
      </c>
      <c r="M250" s="127"/>
    </row>
    <row r="251" customFormat="false" ht="15" hidden="false" customHeight="false" outlineLevel="0" collapsed="false">
      <c r="I251" s="28" t="n">
        <v>2.29</v>
      </c>
      <c r="J251" s="28" t="n">
        <f aca="false">RC_VOUT*(1-EXP(-I251/RT_TAU))</f>
        <v>3.15919051943677</v>
      </c>
      <c r="L251" s="127" t="n">
        <f aca="false">RC_VOUT*(EXP(-I251/RT_TAU))</f>
        <v>0.140809480563226</v>
      </c>
      <c r="M251" s="127"/>
    </row>
    <row r="252" customFormat="false" ht="15" hidden="false" customHeight="false" outlineLevel="0" collapsed="false">
      <c r="I252" s="28" t="n">
        <v>2.3</v>
      </c>
      <c r="J252" s="28" t="n">
        <f aca="false">RC_VOUT*(1-EXP(-I252/RT_TAU))</f>
        <v>3.16111674747459</v>
      </c>
      <c r="L252" s="127" t="n">
        <f aca="false">RC_VOUT*(EXP(-I252/RT_TAU))</f>
        <v>0.138883252525406</v>
      </c>
      <c r="M252" s="127"/>
    </row>
    <row r="253" customFormat="false" ht="15" hidden="false" customHeight="false" outlineLevel="0" collapsed="false">
      <c r="I253" s="28" t="n">
        <v>2.31</v>
      </c>
      <c r="J253" s="28" t="n">
        <f aca="false">RC_VOUT*(1-EXP(-I253/RT_TAU))</f>
        <v>3.16301662533742</v>
      </c>
      <c r="L253" s="127" t="n">
        <f aca="false">RC_VOUT*(EXP(-I253/RT_TAU))</f>
        <v>0.13698337466258</v>
      </c>
      <c r="M253" s="127"/>
    </row>
    <row r="254" customFormat="false" ht="15" hidden="false" customHeight="false" outlineLevel="0" collapsed="false">
      <c r="I254" s="28" t="n">
        <v>2.32</v>
      </c>
      <c r="J254" s="28" t="n">
        <f aca="false">RC_VOUT*(1-EXP(-I254/RT_TAU))</f>
        <v>3.1648905134871</v>
      </c>
      <c r="L254" s="127" t="n">
        <f aca="false">RC_VOUT*(EXP(-I254/RT_TAU))</f>
        <v>0.135109486512898</v>
      </c>
      <c r="M254" s="127"/>
    </row>
    <row r="255" customFormat="false" ht="15" hidden="false" customHeight="false" outlineLevel="0" collapsed="false">
      <c r="I255" s="28" t="n">
        <v>2.33</v>
      </c>
      <c r="J255" s="28" t="n">
        <f aca="false">RC_VOUT*(1-EXP(-I255/RT_TAU))</f>
        <v>3.16673876745449</v>
      </c>
      <c r="L255" s="127" t="n">
        <f aca="false">RC_VOUT*(EXP(-I255/RT_TAU))</f>
        <v>0.133261232545511</v>
      </c>
      <c r="M255" s="127"/>
    </row>
    <row r="256" customFormat="false" ht="15" hidden="false" customHeight="false" outlineLevel="0" collapsed="false">
      <c r="I256" s="28" t="n">
        <v>2.34</v>
      </c>
      <c r="J256" s="28" t="n">
        <f aca="false">RC_VOUT*(1-EXP(-I256/RT_TAU))</f>
        <v>3.16856173790688</v>
      </c>
      <c r="L256" s="127" t="n">
        <f aca="false">RC_VOUT*(EXP(-I256/RT_TAU))</f>
        <v>0.131438262093117</v>
      </c>
      <c r="M256" s="127"/>
    </row>
    <row r="257" customFormat="false" ht="15" hidden="false" customHeight="false" outlineLevel="0" collapsed="false">
      <c r="I257" s="28" t="n">
        <v>2.35</v>
      </c>
      <c r="J257" s="28" t="n">
        <f aca="false">RC_VOUT*(1-EXP(-I257/RT_TAU))</f>
        <v>3.17035977071457</v>
      </c>
      <c r="L257" s="127" t="n">
        <f aca="false">RC_VOUT*(EXP(-I257/RT_TAU))</f>
        <v>0.12964022928543</v>
      </c>
      <c r="M257" s="127"/>
    </row>
    <row r="258" customFormat="false" ht="15" hidden="false" customHeight="false" outlineLevel="0" collapsed="false">
      <c r="I258" s="28" t="n">
        <v>2.36</v>
      </c>
      <c r="J258" s="28" t="n">
        <f aca="false">RC_VOUT*(1-EXP(-I258/RT_TAU))</f>
        <v>3.17213320701645</v>
      </c>
      <c r="L258" s="127" t="n">
        <f aca="false">RC_VOUT*(EXP(-I258/RT_TAU))</f>
        <v>0.127866792983554</v>
      </c>
      <c r="M258" s="127"/>
    </row>
    <row r="259" customFormat="false" ht="15" hidden="false" customHeight="false" outlineLevel="0" collapsed="false">
      <c r="I259" s="28" t="n">
        <v>2.37</v>
      </c>
      <c r="J259" s="28" t="n">
        <f aca="false">RC_VOUT*(1-EXP(-I259/RT_TAU))</f>
        <v>3.17388238328473</v>
      </c>
      <c r="L259" s="127" t="n">
        <f aca="false">RC_VOUT*(EXP(-I259/RT_TAU))</f>
        <v>0.126117616715267</v>
      </c>
      <c r="M259" s="127"/>
    </row>
    <row r="260" customFormat="false" ht="15" hidden="false" customHeight="false" outlineLevel="0" collapsed="false">
      <c r="I260" s="28" t="n">
        <v>2.38</v>
      </c>
      <c r="J260" s="28" t="n">
        <f aca="false">RC_VOUT*(1-EXP(-I260/RT_TAU))</f>
        <v>3.17560763138883</v>
      </c>
      <c r="L260" s="127" t="n">
        <f aca="false">RC_VOUT*(EXP(-I260/RT_TAU))</f>
        <v>0.124392368611174</v>
      </c>
      <c r="M260" s="127"/>
    </row>
    <row r="261" customFormat="false" ht="15" hidden="false" customHeight="false" outlineLevel="0" collapsed="false">
      <c r="I261" s="28" t="n">
        <v>2.39</v>
      </c>
      <c r="J261" s="28" t="n">
        <f aca="false">RC_VOUT*(1-EXP(-I261/RT_TAU))</f>
        <v>3.17730927865825</v>
      </c>
      <c r="L261" s="127" t="n">
        <f aca="false">RC_VOUT*(EXP(-I261/RT_TAU))</f>
        <v>0.122690721341748</v>
      </c>
      <c r="M261" s="127"/>
    </row>
    <row r="262" customFormat="false" ht="15" hidden="false" customHeight="false" outlineLevel="0" collapsed="false">
      <c r="I262" s="28" t="n">
        <v>2.4</v>
      </c>
      <c r="J262" s="28" t="n">
        <f aca="false">RC_VOUT*(1-EXP(-I262/RT_TAU))</f>
        <v>3.17898764794478</v>
      </c>
      <c r="L262" s="127" t="n">
        <f aca="false">RC_VOUT*(EXP(-I262/RT_TAU))</f>
        <v>0.121012352055223</v>
      </c>
      <c r="M262" s="127"/>
    </row>
    <row r="263" customFormat="false" ht="15" hidden="false" customHeight="false" outlineLevel="0" collapsed="false">
      <c r="I263" s="28" t="n">
        <v>2.41</v>
      </c>
      <c r="J263" s="28" t="n">
        <f aca="false">RC_VOUT*(1-EXP(-I263/RT_TAU))</f>
        <v>3.18064305768366</v>
      </c>
      <c r="L263" s="127" t="n">
        <f aca="false">RC_VOUT*(EXP(-I263/RT_TAU))</f>
        <v>0.11935694231634</v>
      </c>
      <c r="M263" s="127"/>
    </row>
    <row r="264" customFormat="false" ht="15" hidden="false" customHeight="false" outlineLevel="0" collapsed="false">
      <c r="I264" s="28" t="n">
        <v>2.42</v>
      </c>
      <c r="J264" s="28" t="n">
        <f aca="false">RC_VOUT*(1-EXP(-I264/RT_TAU))</f>
        <v>3.18227582195407</v>
      </c>
      <c r="L264" s="127" t="n">
        <f aca="false">RC_VOUT*(EXP(-I264/RT_TAU))</f>
        <v>0.117724178045933</v>
      </c>
      <c r="M264" s="127"/>
    </row>
    <row r="265" customFormat="false" ht="15" hidden="false" customHeight="false" outlineLevel="0" collapsed="false">
      <c r="I265" s="28" t="n">
        <v>2.43</v>
      </c>
      <c r="J265" s="28" t="n">
        <f aca="false">RC_VOUT*(1-EXP(-I265/RT_TAU))</f>
        <v>3.18388625053866</v>
      </c>
      <c r="L265" s="127" t="n">
        <f aca="false">RC_VOUT*(EXP(-I265/RT_TAU))</f>
        <v>0.116113749461335</v>
      </c>
      <c r="M265" s="127"/>
    </row>
    <row r="266" customFormat="false" ht="15" hidden="false" customHeight="false" outlineLevel="0" collapsed="false">
      <c r="I266" s="28" t="n">
        <v>2.44</v>
      </c>
      <c r="J266" s="28" t="n">
        <f aca="false">RC_VOUT*(1-EXP(-I266/RT_TAU))</f>
        <v>3.18547464898239</v>
      </c>
      <c r="L266" s="127" t="n">
        <f aca="false">RC_VOUT*(EXP(-I266/RT_TAU))</f>
        <v>0.114525351017606</v>
      </c>
      <c r="M266" s="127"/>
    </row>
    <row r="267" customFormat="false" ht="15" hidden="false" customHeight="false" outlineLevel="0" collapsed="false">
      <c r="I267" s="28" t="n">
        <v>2.45</v>
      </c>
      <c r="J267" s="28" t="n">
        <f aca="false">RC_VOUT*(1-EXP(-I267/RT_TAU))</f>
        <v>3.18704131865044</v>
      </c>
      <c r="L267" s="127" t="n">
        <f aca="false">RC_VOUT*(EXP(-I267/RT_TAU))</f>
        <v>0.112958681349563</v>
      </c>
      <c r="M267" s="127"/>
    </row>
    <row r="268" customFormat="false" ht="15" hidden="false" customHeight="false" outlineLevel="0" collapsed="false">
      <c r="I268" s="28" t="n">
        <v>2.46</v>
      </c>
      <c r="J268" s="28" t="n">
        <f aca="false">RC_VOUT*(1-EXP(-I268/RT_TAU))</f>
        <v>3.1885865567854</v>
      </c>
      <c r="L268" s="127" t="n">
        <f aca="false">RC_VOUT*(EXP(-I268/RT_TAU))</f>
        <v>0.111413443214599</v>
      </c>
      <c r="M268" s="127"/>
    </row>
    <row r="269" customFormat="false" ht="15" hidden="false" customHeight="false" outlineLevel="0" collapsed="false">
      <c r="I269" s="28" t="n">
        <v>2.47</v>
      </c>
      <c r="J269" s="28" t="n">
        <f aca="false">RC_VOUT*(1-EXP(-I269/RT_TAU))</f>
        <v>3.19011065656371</v>
      </c>
      <c r="L269" s="127" t="n">
        <f aca="false">RC_VOUT*(EXP(-I269/RT_TAU))</f>
        <v>0.109889343436291</v>
      </c>
      <c r="M269" s="127"/>
    </row>
    <row r="270" customFormat="false" ht="15" hidden="false" customHeight="false" outlineLevel="0" collapsed="false">
      <c r="I270" s="28" t="n">
        <v>2.48</v>
      </c>
      <c r="J270" s="28" t="n">
        <f aca="false">RC_VOUT*(1-EXP(-I270/RT_TAU))</f>
        <v>3.19161390715123</v>
      </c>
      <c r="L270" s="127" t="n">
        <f aca="false">RC_VOUT*(EXP(-I270/RT_TAU))</f>
        <v>0.108386092848774</v>
      </c>
      <c r="M270" s="127"/>
    </row>
    <row r="271" customFormat="false" ht="15" hidden="false" customHeight="false" outlineLevel="0" collapsed="false">
      <c r="I271" s="28" t="n">
        <v>2.49</v>
      </c>
      <c r="J271" s="28" t="n">
        <f aca="false">RC_VOUT*(1-EXP(-I271/RT_TAU))</f>
        <v>3.19309659375812</v>
      </c>
      <c r="L271" s="127" t="n">
        <f aca="false">RC_VOUT*(EXP(-I271/RT_TAU))</f>
        <v>0.106903406241878</v>
      </c>
      <c r="M271" s="127"/>
    </row>
    <row r="272" customFormat="false" ht="15" hidden="false" customHeight="false" outlineLevel="0" collapsed="false">
      <c r="I272" s="28" t="n">
        <v>2.5</v>
      </c>
      <c r="J272" s="28" t="n">
        <f aca="false">RC_VOUT*(1-EXP(-I272/RT_TAU))</f>
        <v>3.19455899769298</v>
      </c>
      <c r="L272" s="127" t="n">
        <f aca="false">RC_VOUT*(EXP(-I272/RT_TAU))</f>
        <v>0.105441002307016</v>
      </c>
      <c r="M272" s="127"/>
    </row>
    <row r="273" customFormat="false" ht="15" hidden="false" customHeight="false" outlineLevel="0" collapsed="false">
      <c r="I273" s="28" t="n">
        <v>2.51</v>
      </c>
      <c r="J273" s="28" t="n">
        <f aca="false">RC_VOUT*(1-EXP(-I273/RT_TAU))</f>
        <v>3.19600139641619</v>
      </c>
      <c r="L273" s="127" t="n">
        <f aca="false">RC_VOUT*(EXP(-I273/RT_TAU))</f>
        <v>0.10399860358381</v>
      </c>
      <c r="M273" s="127"/>
    </row>
    <row r="274" customFormat="false" ht="15" hidden="false" customHeight="false" outlineLevel="0" collapsed="false">
      <c r="I274" s="28" t="n">
        <v>2.52</v>
      </c>
      <c r="J274" s="28" t="n">
        <f aca="false">RC_VOUT*(1-EXP(-I274/RT_TAU))</f>
        <v>3.19742406359255</v>
      </c>
      <c r="L274" s="127" t="n">
        <f aca="false">RC_VOUT*(EXP(-I274/RT_TAU))</f>
        <v>0.102575936407452</v>
      </c>
      <c r="M274" s="127"/>
    </row>
    <row r="275" customFormat="false" ht="15" hidden="false" customHeight="false" outlineLevel="0" collapsed="false">
      <c r="I275" s="28" t="n">
        <v>2.53</v>
      </c>
      <c r="J275" s="28" t="n">
        <f aca="false">RC_VOUT*(1-EXP(-I275/RT_TAU))</f>
        <v>3.19882726914322</v>
      </c>
      <c r="L275" s="127" t="n">
        <f aca="false">RC_VOUT*(EXP(-I275/RT_TAU))</f>
        <v>0.101172730856779</v>
      </c>
      <c r="M275" s="127"/>
    </row>
    <row r="276" customFormat="false" ht="15" hidden="false" customHeight="false" outlineLevel="0" collapsed="false">
      <c r="I276" s="28" t="n">
        <v>2.54</v>
      </c>
      <c r="J276" s="28" t="n">
        <f aca="false">RC_VOUT*(1-EXP(-I276/RT_TAU))</f>
        <v>3.20021127929694</v>
      </c>
      <c r="L276" s="127" t="n">
        <f aca="false">RC_VOUT*(EXP(-I276/RT_TAU))</f>
        <v>0.0997887207030617</v>
      </c>
      <c r="M276" s="127"/>
    </row>
    <row r="277" customFormat="false" ht="15" hidden="false" customHeight="false" outlineLevel="0" collapsed="false">
      <c r="I277" s="28" t="n">
        <v>2.55</v>
      </c>
      <c r="J277" s="28" t="n">
        <f aca="false">RC_VOUT*(1-EXP(-I277/RT_TAU))</f>
        <v>3.20157635664051</v>
      </c>
      <c r="L277" s="127" t="n">
        <f aca="false">RC_VOUT*(EXP(-I277/RT_TAU))</f>
        <v>0.0984236433594936</v>
      </c>
      <c r="M277" s="127"/>
    </row>
    <row r="278" customFormat="false" ht="15" hidden="false" customHeight="false" outlineLevel="0" collapsed="false">
      <c r="I278" s="28" t="n">
        <v>2.56</v>
      </c>
      <c r="J278" s="28" t="n">
        <f aca="false">RC_VOUT*(1-EXP(-I278/RT_TAU))</f>
        <v>3.20292276016863</v>
      </c>
      <c r="L278" s="127" t="n">
        <f aca="false">RC_VOUT*(EXP(-I278/RT_TAU))</f>
        <v>0.0970772398313706</v>
      </c>
      <c r="M278" s="127"/>
    </row>
    <row r="279" customFormat="false" ht="15" hidden="false" customHeight="false" outlineLevel="0" collapsed="false">
      <c r="I279" s="28" t="n">
        <v>2.57</v>
      </c>
      <c r="J279" s="28" t="n">
        <f aca="false">RC_VOUT*(1-EXP(-I279/RT_TAU))</f>
        <v>3.20425074533305</v>
      </c>
      <c r="L279" s="127" t="n">
        <f aca="false">RC_VOUT*(EXP(-I279/RT_TAU))</f>
        <v>0.0957492546669525</v>
      </c>
      <c r="M279" s="127"/>
    </row>
    <row r="280" customFormat="false" ht="15" hidden="false" customHeight="false" outlineLevel="0" collapsed="false">
      <c r="I280" s="28" t="n">
        <v>2.58</v>
      </c>
      <c r="J280" s="28" t="n">
        <f aca="false">RC_VOUT*(1-EXP(-I280/RT_TAU))</f>
        <v>3.205560564091</v>
      </c>
      <c r="L280" s="127" t="n">
        <f aca="false">RC_VOUT*(EXP(-I280/RT_TAU))</f>
        <v>0.0944394359089956</v>
      </c>
      <c r="M280" s="127"/>
    </row>
    <row r="281" customFormat="false" ht="15" hidden="false" customHeight="false" outlineLevel="0" collapsed="false">
      <c r="I281" s="28" t="n">
        <v>2.59</v>
      </c>
      <c r="J281" s="28" t="n">
        <f aca="false">RC_VOUT*(1-EXP(-I281/RT_TAU))</f>
        <v>3.20685246495305</v>
      </c>
      <c r="L281" s="127" t="n">
        <f aca="false">RC_VOUT*(EXP(-I281/RT_TAU))</f>
        <v>0.0931475350469499</v>
      </c>
      <c r="M281" s="127"/>
    </row>
    <row r="282" customFormat="false" ht="15" hidden="false" customHeight="false" outlineLevel="0" collapsed="false">
      <c r="I282" s="28" t="n">
        <v>2.6</v>
      </c>
      <c r="J282" s="28" t="n">
        <f aca="false">RC_VOUT*(1-EXP(-I282/RT_TAU))</f>
        <v>3.20812669303019</v>
      </c>
      <c r="L282" s="127" t="n">
        <f aca="false">RC_VOUT*(EXP(-I282/RT_TAU))</f>
        <v>0.091873306969809</v>
      </c>
      <c r="M282" s="127"/>
    </row>
    <row r="283" customFormat="false" ht="15" hidden="false" customHeight="false" outlineLevel="0" collapsed="false">
      <c r="I283" s="28" t="n">
        <v>2.61</v>
      </c>
      <c r="J283" s="28" t="n">
        <f aca="false">RC_VOUT*(1-EXP(-I283/RT_TAU))</f>
        <v>3.20938349008039</v>
      </c>
      <c r="L283" s="127" t="n">
        <f aca="false">RC_VOUT*(EXP(-I283/RT_TAU))</f>
        <v>0.0906165099196057</v>
      </c>
      <c r="M283" s="127"/>
    </row>
    <row r="284" customFormat="false" ht="15" hidden="false" customHeight="false" outlineLevel="0" collapsed="false">
      <c r="I284" s="28" t="n">
        <v>2.62</v>
      </c>
      <c r="J284" s="28" t="n">
        <f aca="false">RC_VOUT*(1-EXP(-I284/RT_TAU))</f>
        <v>3.21062309455446</v>
      </c>
      <c r="L284" s="127" t="n">
        <f aca="false">RC_VOUT*(EXP(-I284/RT_TAU))</f>
        <v>0.0893769054455434</v>
      </c>
      <c r="M284" s="127"/>
    </row>
    <row r="285" customFormat="false" ht="15" hidden="false" customHeight="false" outlineLevel="0" collapsed="false">
      <c r="I285" s="28" t="n">
        <v>2.63</v>
      </c>
      <c r="J285" s="28" t="n">
        <f aca="false">RC_VOUT*(1-EXP(-I285/RT_TAU))</f>
        <v>3.21184574164124</v>
      </c>
      <c r="L285" s="127" t="n">
        <f aca="false">RC_VOUT*(EXP(-I285/RT_TAU))</f>
        <v>0.088154258358755</v>
      </c>
      <c r="M285" s="127"/>
    </row>
    <row r="286" customFormat="false" ht="15" hidden="false" customHeight="false" outlineLevel="0" collapsed="false">
      <c r="I286" s="28" t="n">
        <v>2.64</v>
      </c>
      <c r="J286" s="28" t="n">
        <f aca="false">RC_VOUT*(1-EXP(-I286/RT_TAU))</f>
        <v>3.21305166331232</v>
      </c>
      <c r="L286" s="127" t="n">
        <f aca="false">RC_VOUT*(EXP(-I286/RT_TAU))</f>
        <v>0.0869483366876808</v>
      </c>
      <c r="M286" s="127"/>
    </row>
    <row r="287" customFormat="false" ht="15" hidden="false" customHeight="false" outlineLevel="0" collapsed="false">
      <c r="I287" s="28" t="n">
        <v>2.65</v>
      </c>
      <c r="J287" s="28" t="n">
        <f aca="false">RC_VOUT*(1-EXP(-I287/RT_TAU))</f>
        <v>3.21424108836594</v>
      </c>
      <c r="L287" s="127" t="n">
        <f aca="false">RC_VOUT*(EXP(-I287/RT_TAU))</f>
        <v>0.0857589116340571</v>
      </c>
      <c r="M287" s="127"/>
    </row>
    <row r="288" customFormat="false" ht="15" hidden="false" customHeight="false" outlineLevel="0" collapsed="false">
      <c r="I288" s="28" t="n">
        <v>2.66</v>
      </c>
      <c r="J288" s="28" t="n">
        <f aca="false">RC_VOUT*(1-EXP(-I288/RT_TAU))</f>
        <v>3.21541424247049</v>
      </c>
      <c r="L288" s="127" t="n">
        <f aca="false">RC_VOUT*(EXP(-I288/RT_TAU))</f>
        <v>0.0845857575295058</v>
      </c>
      <c r="M288" s="127"/>
    </row>
    <row r="289" customFormat="false" ht="15" hidden="false" customHeight="false" outlineLevel="0" collapsed="false">
      <c r="I289" s="28" t="n">
        <v>2.67</v>
      </c>
      <c r="J289" s="28" t="n">
        <f aca="false">RC_VOUT*(1-EXP(-I289/RT_TAU))</f>
        <v>3.21657134820728</v>
      </c>
      <c r="L289" s="127" t="n">
        <f aca="false">RC_VOUT*(EXP(-I289/RT_TAU))</f>
        <v>0.0834286517927196</v>
      </c>
      <c r="M289" s="127"/>
    </row>
    <row r="290" customFormat="false" ht="15" hidden="false" customHeight="false" outlineLevel="0" collapsed="false">
      <c r="I290" s="28" t="n">
        <v>2.68</v>
      </c>
      <c r="J290" s="28" t="n">
        <f aca="false">RC_VOUT*(1-EXP(-I290/RT_TAU))</f>
        <v>3.21771262511277</v>
      </c>
      <c r="L290" s="127" t="n">
        <f aca="false">RC_VOUT*(EXP(-I290/RT_TAU))</f>
        <v>0.0822873748872307</v>
      </c>
      <c r="M290" s="127"/>
    </row>
    <row r="291" customFormat="false" ht="15" hidden="false" customHeight="false" outlineLevel="0" collapsed="false">
      <c r="I291" s="28" t="n">
        <v>2.69</v>
      </c>
      <c r="J291" s="28" t="n">
        <f aca="false">RC_VOUT*(1-EXP(-I291/RT_TAU))</f>
        <v>3.21883828972024</v>
      </c>
      <c r="L291" s="127" t="n">
        <f aca="false">RC_VOUT*(EXP(-I291/RT_TAU))</f>
        <v>0.0811617102797596</v>
      </c>
      <c r="M291" s="127"/>
    </row>
    <row r="292" customFormat="false" ht="15" hidden="false" customHeight="false" outlineLevel="0" collapsed="false">
      <c r="I292" s="28" t="n">
        <v>2.7</v>
      </c>
      <c r="J292" s="28" t="n">
        <f aca="false">RC_VOUT*(1-EXP(-I292/RT_TAU))</f>
        <v>3.21994855560087</v>
      </c>
      <c r="L292" s="127" t="n">
        <f aca="false">RC_VOUT*(EXP(-I292/RT_TAU))</f>
        <v>0.0800514443991315</v>
      </c>
      <c r="M292" s="127"/>
    </row>
    <row r="293" customFormat="false" ht="15" hidden="false" customHeight="false" outlineLevel="0" collapsed="false">
      <c r="I293" s="28" t="n">
        <v>2.71</v>
      </c>
      <c r="J293" s="28" t="n">
        <f aca="false">RC_VOUT*(1-EXP(-I293/RT_TAU))</f>
        <v>3.22104363340424</v>
      </c>
      <c r="L293" s="127" t="n">
        <f aca="false">RC_VOUT*(EXP(-I293/RT_TAU))</f>
        <v>0.078956366595756</v>
      </c>
      <c r="M293" s="127"/>
    </row>
    <row r="294" customFormat="false" ht="15" hidden="false" customHeight="false" outlineLevel="0" collapsed="false">
      <c r="I294" s="28" t="n">
        <v>2.72</v>
      </c>
      <c r="J294" s="28" t="n">
        <f aca="false">RC_VOUT*(1-EXP(-I294/RT_TAU))</f>
        <v>3.22212373089834</v>
      </c>
      <c r="L294" s="127" t="n">
        <f aca="false">RC_VOUT*(EXP(-I294/RT_TAU))</f>
        <v>0.0778762691016609</v>
      </c>
      <c r="M294" s="127"/>
    </row>
    <row r="295" customFormat="false" ht="15" hidden="false" customHeight="false" outlineLevel="0" collapsed="false">
      <c r="I295" s="28" t="n">
        <v>2.73</v>
      </c>
      <c r="J295" s="28" t="n">
        <f aca="false">RC_VOUT*(1-EXP(-I295/RT_TAU))</f>
        <v>3.22318905300893</v>
      </c>
      <c r="L295" s="127" t="n">
        <f aca="false">RC_VOUT*(EXP(-I295/RT_TAU))</f>
        <v>0.0768109469910727</v>
      </c>
      <c r="M295" s="127"/>
    </row>
    <row r="296" customFormat="false" ht="15" hidden="false" customHeight="false" outlineLevel="0" collapsed="false">
      <c r="I296" s="28" t="n">
        <v>2.74</v>
      </c>
      <c r="J296" s="28" t="n">
        <f aca="false">RC_VOUT*(1-EXP(-I296/RT_TAU))</f>
        <v>3.22423980185846</v>
      </c>
      <c r="L296" s="127" t="n">
        <f aca="false">RC_VOUT*(EXP(-I296/RT_TAU))</f>
        <v>0.0757601981415355</v>
      </c>
      <c r="M296" s="127"/>
    </row>
    <row r="297" customFormat="false" ht="15" hidden="false" customHeight="false" outlineLevel="0" collapsed="false">
      <c r="I297" s="28" t="n">
        <v>2.75</v>
      </c>
      <c r="J297" s="28" t="n">
        <f aca="false">RC_VOUT*(1-EXP(-I297/RT_TAU))</f>
        <v>3.22527617680444</v>
      </c>
      <c r="L297" s="127" t="n">
        <f aca="false">RC_VOUT*(EXP(-I297/RT_TAU))</f>
        <v>0.0747238231955636</v>
      </c>
      <c r="M297" s="127"/>
    </row>
    <row r="298" customFormat="false" ht="15" hidden="false" customHeight="false" outlineLevel="0" collapsed="false">
      <c r="I298" s="28" t="n">
        <v>2.76</v>
      </c>
      <c r="J298" s="28" t="n">
        <f aca="false">RC_VOUT*(1-EXP(-I298/RT_TAU))</f>
        <v>3.22629837447718</v>
      </c>
      <c r="L298" s="127" t="n">
        <f aca="false">RC_VOUT*(EXP(-I298/RT_TAU))</f>
        <v>0.0737016255228168</v>
      </c>
      <c r="M298" s="127"/>
    </row>
    <row r="299" customFormat="false" ht="15" hidden="false" customHeight="false" outlineLevel="0" collapsed="false">
      <c r="I299" s="28" t="n">
        <v>2.77</v>
      </c>
      <c r="J299" s="28" t="n">
        <f aca="false">RC_VOUT*(1-EXP(-I299/RT_TAU))</f>
        <v>3.22730658881721</v>
      </c>
      <c r="L299" s="127" t="n">
        <f aca="false">RC_VOUT*(EXP(-I299/RT_TAU))</f>
        <v>0.0726934111827941</v>
      </c>
      <c r="M299" s="127"/>
    </row>
    <row r="300" customFormat="false" ht="15" hidden="false" customHeight="false" outlineLevel="0" collapsed="false">
      <c r="I300" s="28" t="n">
        <v>2.78</v>
      </c>
      <c r="J300" s="28" t="n">
        <f aca="false">RC_VOUT*(1-EXP(-I300/RT_TAU))</f>
        <v>3.22830101111196</v>
      </c>
      <c r="L300" s="127" t="n">
        <f aca="false">RC_VOUT*(EXP(-I300/RT_TAU))</f>
        <v>0.071698988888038</v>
      </c>
      <c r="M300" s="127"/>
    </row>
    <row r="301" customFormat="false" ht="15" hidden="false" customHeight="false" outlineLevel="0" collapsed="false">
      <c r="I301" s="28" t="n">
        <v>2.79</v>
      </c>
      <c r="J301" s="28" t="n">
        <f aca="false">RC_VOUT*(1-EXP(-I301/RT_TAU))</f>
        <v>3.22928183003216</v>
      </c>
      <c r="L301" s="127" t="n">
        <f aca="false">RC_VOUT*(EXP(-I301/RT_TAU))</f>
        <v>0.0707181699678411</v>
      </c>
      <c r="M301" s="127"/>
    </row>
    <row r="302" customFormat="false" ht="15" hidden="false" customHeight="false" outlineLevel="0" collapsed="false">
      <c r="I302" s="28" t="n">
        <v>2.8</v>
      </c>
      <c r="J302" s="28" t="n">
        <f aca="false">RC_VOUT*(1-EXP(-I302/RT_TAU))</f>
        <v>3.23024923166755</v>
      </c>
      <c r="L302" s="127" t="n">
        <f aca="false">RC_VOUT*(EXP(-I302/RT_TAU))</f>
        <v>0.0697507683324503</v>
      </c>
      <c r="M302" s="127"/>
    </row>
    <row r="303" customFormat="false" ht="15" hidden="false" customHeight="false" outlineLevel="0" collapsed="false">
      <c r="I303" s="28" t="n">
        <v>2.81</v>
      </c>
      <c r="J303" s="28" t="n">
        <f aca="false">RC_VOUT*(1-EXP(-I303/RT_TAU))</f>
        <v>3.23120339956224</v>
      </c>
      <c r="L303" s="127" t="n">
        <f aca="false">RC_VOUT*(EXP(-I303/RT_TAU))</f>
        <v>0.0687966004377598</v>
      </c>
      <c r="M303" s="127"/>
    </row>
    <row r="304" customFormat="false" ht="15" hidden="false" customHeight="false" outlineLevel="0" collapsed="false">
      <c r="I304" s="28" t="n">
        <v>2.82</v>
      </c>
      <c r="J304" s="28" t="n">
        <f aca="false">RC_VOUT*(1-EXP(-I304/RT_TAU))</f>
        <v>3.23214451474951</v>
      </c>
      <c r="L304" s="127" t="n">
        <f aca="false">RC_VOUT*(EXP(-I304/RT_TAU))</f>
        <v>0.0678554852504879</v>
      </c>
      <c r="M304" s="127"/>
    </row>
    <row r="305" customFormat="false" ht="15" hidden="false" customHeight="false" outlineLevel="0" collapsed="false">
      <c r="I305" s="28" t="n">
        <v>2.83</v>
      </c>
      <c r="J305" s="28" t="n">
        <f aca="false">RC_VOUT*(1-EXP(-I305/RT_TAU))</f>
        <v>3.23307275578617</v>
      </c>
      <c r="L305" s="127" t="n">
        <f aca="false">RC_VOUT*(EXP(-I305/RT_TAU))</f>
        <v>0.066927244213829</v>
      </c>
      <c r="M305" s="127"/>
    </row>
    <row r="306" customFormat="false" ht="15" hidden="false" customHeight="false" outlineLevel="0" collapsed="false">
      <c r="I306" s="28" t="n">
        <v>2.84</v>
      </c>
      <c r="J306" s="28" t="n">
        <f aca="false">RC_VOUT*(1-EXP(-I306/RT_TAU))</f>
        <v>3.23398829878642</v>
      </c>
      <c r="L306" s="127" t="n">
        <f aca="false">RC_VOUT*(EXP(-I306/RT_TAU))</f>
        <v>0.0660117012135775</v>
      </c>
      <c r="M306" s="127"/>
    </row>
    <row r="307" customFormat="false" ht="15" hidden="false" customHeight="false" outlineLevel="0" collapsed="false">
      <c r="I307" s="28" t="n">
        <v>2.85</v>
      </c>
      <c r="J307" s="28" t="n">
        <f aca="false">RC_VOUT*(1-EXP(-I307/RT_TAU))</f>
        <v>3.23489131745529</v>
      </c>
      <c r="L307" s="127" t="n">
        <f aca="false">RC_VOUT*(EXP(-I307/RT_TAU))</f>
        <v>0.0651086825447122</v>
      </c>
      <c r="M307" s="127"/>
    </row>
    <row r="308" customFormat="false" ht="15" hidden="false" customHeight="false" outlineLevel="0" collapsed="false">
      <c r="I308" s="28" t="n">
        <v>2.86</v>
      </c>
      <c r="J308" s="28" t="n">
        <f aca="false">RC_VOUT*(1-EXP(-I308/RT_TAU))</f>
        <v>3.23578198312156</v>
      </c>
      <c r="L308" s="127" t="n">
        <f aca="false">RC_VOUT*(EXP(-I308/RT_TAU))</f>
        <v>0.0642180168784409</v>
      </c>
      <c r="M308" s="127"/>
    </row>
    <row r="309" customFormat="false" ht="15" hidden="false" customHeight="false" outlineLevel="0" collapsed="false">
      <c r="I309" s="28" t="n">
        <v>2.87</v>
      </c>
      <c r="J309" s="28" t="n">
        <f aca="false">RC_VOUT*(1-EXP(-I309/RT_TAU))</f>
        <v>3.23666046477031</v>
      </c>
      <c r="L309" s="127" t="n">
        <f aca="false">RC_VOUT*(EXP(-I309/RT_TAU))</f>
        <v>0.0633395352296933</v>
      </c>
      <c r="M309" s="127"/>
    </row>
    <row r="310" customFormat="false" ht="15" hidden="false" customHeight="false" outlineLevel="0" collapsed="false">
      <c r="I310" s="28" t="n">
        <v>2.88</v>
      </c>
      <c r="J310" s="28" t="n">
        <f aca="false">RC_VOUT*(1-EXP(-I310/RT_TAU))</f>
        <v>3.23752692907494</v>
      </c>
      <c r="L310" s="127" t="n">
        <f aca="false">RC_VOUT*(EXP(-I310/RT_TAU))</f>
        <v>0.0624730709250604</v>
      </c>
      <c r="M310" s="127"/>
    </row>
    <row r="311" customFormat="false" ht="15" hidden="false" customHeight="false" outlineLevel="0" collapsed="false">
      <c r="I311" s="28" t="n">
        <v>2.89</v>
      </c>
      <c r="J311" s="28" t="n">
        <f aca="false">RC_VOUT*(1-EXP(-I311/RT_TAU))</f>
        <v>3.23838154042883</v>
      </c>
      <c r="L311" s="127" t="n">
        <f aca="false">RC_VOUT*(EXP(-I311/RT_TAU))</f>
        <v>0.0616184595711711</v>
      </c>
      <c r="M311" s="127"/>
    </row>
    <row r="312" customFormat="false" ht="15" hidden="false" customHeight="false" outlineLevel="0" collapsed="false">
      <c r="I312" s="28" t="n">
        <v>2.9</v>
      </c>
      <c r="J312" s="28" t="n">
        <f aca="false">RC_VOUT*(1-EXP(-I312/RT_TAU))</f>
        <v>3.2392244609765</v>
      </c>
      <c r="L312" s="127" t="n">
        <f aca="false">RC_VOUT*(EXP(-I312/RT_TAU))</f>
        <v>0.0607755390235025</v>
      </c>
      <c r="M312" s="127"/>
    </row>
    <row r="313" customFormat="false" ht="15" hidden="false" customHeight="false" outlineLevel="0" collapsed="false">
      <c r="I313" s="28" t="n">
        <v>2.91</v>
      </c>
      <c r="J313" s="28" t="n">
        <f aca="false">RC_VOUT*(1-EXP(-I313/RT_TAU))</f>
        <v>3.24005585064438</v>
      </c>
      <c r="L313" s="127" t="n">
        <f aca="false">RC_VOUT*(EXP(-I313/RT_TAU))</f>
        <v>0.0599441493556161</v>
      </c>
      <c r="M313" s="127"/>
    </row>
    <row r="314" customFormat="false" ht="15" hidden="false" customHeight="false" outlineLevel="0" collapsed="false">
      <c r="I314" s="28" t="n">
        <v>2.92</v>
      </c>
      <c r="J314" s="28" t="n">
        <f aca="false">RC_VOUT*(1-EXP(-I314/RT_TAU))</f>
        <v>3.24087586717118</v>
      </c>
      <c r="L314" s="127" t="n">
        <f aca="false">RC_VOUT*(EXP(-I314/RT_TAU))</f>
        <v>0.0591241328288153</v>
      </c>
      <c r="M314" s="127"/>
    </row>
    <row r="315" customFormat="false" ht="15" hidden="false" customHeight="false" outlineLevel="0" collapsed="false">
      <c r="I315" s="28" t="n">
        <v>2.93</v>
      </c>
      <c r="J315" s="28" t="n">
        <f aca="false">RC_VOUT*(1-EXP(-I315/RT_TAU))</f>
        <v>3.24168466613778</v>
      </c>
      <c r="L315" s="127" t="n">
        <f aca="false">RC_VOUT*(EXP(-I315/RT_TAU))</f>
        <v>0.0583153338622178</v>
      </c>
      <c r="M315" s="127"/>
    </row>
    <row r="316" customFormat="false" ht="15" hidden="false" customHeight="false" outlineLevel="0" collapsed="false">
      <c r="I316" s="28" t="n">
        <v>2.94</v>
      </c>
      <c r="J316" s="28" t="n">
        <f aca="false">RC_VOUT*(1-EXP(-I316/RT_TAU))</f>
        <v>3.24248240099676</v>
      </c>
      <c r="L316" s="127" t="n">
        <f aca="false">RC_VOUT*(EXP(-I316/RT_TAU))</f>
        <v>0.057517599003237</v>
      </c>
      <c r="M316" s="127"/>
    </row>
    <row r="317" customFormat="false" ht="15" hidden="false" customHeight="false" outlineLevel="0" collapsed="false">
      <c r="I317" s="28" t="n">
        <v>2.95</v>
      </c>
      <c r="J317" s="28" t="n">
        <f aca="false">RC_VOUT*(1-EXP(-I317/RT_TAU))</f>
        <v>3.24326922310153</v>
      </c>
      <c r="L317" s="127" t="n">
        <f aca="false">RC_VOUT*(EXP(-I317/RT_TAU))</f>
        <v>0.0567307768984683</v>
      </c>
      <c r="M317" s="127"/>
    </row>
    <row r="318" customFormat="false" ht="15" hidden="false" customHeight="false" outlineLevel="0" collapsed="false">
      <c r="I318" s="28" t="n">
        <v>2.96</v>
      </c>
      <c r="J318" s="28" t="n">
        <f aca="false">RC_VOUT*(1-EXP(-I318/RT_TAU))</f>
        <v>3.24404528173503</v>
      </c>
      <c r="L318" s="127" t="n">
        <f aca="false">RC_VOUT*(EXP(-I318/RT_TAU))</f>
        <v>0.0559547182649725</v>
      </c>
      <c r="M318" s="127"/>
    </row>
    <row r="319" customFormat="false" ht="15" hidden="false" customHeight="false" outlineLevel="0" collapsed="false">
      <c r="I319" s="28" t="n">
        <v>2.97</v>
      </c>
      <c r="J319" s="28" t="n">
        <f aca="false">RC_VOUT*(1-EXP(-I319/RT_TAU))</f>
        <v>3.24481072413805</v>
      </c>
      <c r="L319" s="127" t="n">
        <f aca="false">RC_VOUT*(EXP(-I319/RT_TAU))</f>
        <v>0.0551892758619524</v>
      </c>
      <c r="M319" s="127"/>
    </row>
    <row r="320" customFormat="false" ht="15" hidden="false" customHeight="false" outlineLevel="0" collapsed="false">
      <c r="I320" s="28" t="n">
        <v>2.98</v>
      </c>
      <c r="J320" s="28" t="n">
        <f aca="false">RC_VOUT*(1-EXP(-I320/RT_TAU))</f>
        <v>3.24556569553718</v>
      </c>
      <c r="L320" s="127" t="n">
        <f aca="false">RC_VOUT*(EXP(-I320/RT_TAU))</f>
        <v>0.0544343044628174</v>
      </c>
      <c r="M320" s="127"/>
    </row>
    <row r="321" customFormat="false" ht="15" hidden="false" customHeight="false" outlineLevel="0" collapsed="false">
      <c r="I321" s="28" t="n">
        <v>2.99</v>
      </c>
      <c r="J321" s="28" t="n">
        <f aca="false">RC_VOUT*(1-EXP(-I321/RT_TAU))</f>
        <v>3.24631033917237</v>
      </c>
      <c r="L321" s="127" t="n">
        <f aca="false">RC_VOUT*(EXP(-I321/RT_TAU))</f>
        <v>0.0536896608276295</v>
      </c>
      <c r="M321" s="127"/>
    </row>
    <row r="322" customFormat="false" ht="15" hidden="false" customHeight="false" outlineLevel="0" collapsed="false">
      <c r="I322" s="28" t="n">
        <v>3</v>
      </c>
      <c r="J322" s="28" t="n">
        <f aca="false">RC_VOUT*(1-EXP(-I322/RT_TAU))</f>
        <v>3.24704479632407</v>
      </c>
      <c r="L322" s="127" t="n">
        <f aca="false">RC_VOUT*(EXP(-I322/RT_TAU))</f>
        <v>0.0529552036759265</v>
      </c>
      <c r="M322" s="127"/>
    </row>
    <row r="323" customFormat="false" ht="15" hidden="false" customHeight="false" outlineLevel="0" collapsed="false">
      <c r="I323" s="28" t="n">
        <v>3.01</v>
      </c>
      <c r="J323" s="28" t="n">
        <f aca="false">RC_VOUT*(1-EXP(-I323/RT_TAU))</f>
        <v>3.24776920634008</v>
      </c>
      <c r="L323" s="127" t="n">
        <f aca="false">RC_VOUT*(EXP(-I323/RT_TAU))</f>
        <v>0.0522307936599173</v>
      </c>
      <c r="M323" s="127"/>
    </row>
    <row r="324" customFormat="false" ht="15" hidden="false" customHeight="false" outlineLevel="0" collapsed="false">
      <c r="I324" s="28" t="n">
        <v>3.02</v>
      </c>
      <c r="J324" s="28" t="n">
        <f aca="false">RC_VOUT*(1-EXP(-I324/RT_TAU))</f>
        <v>3.24848370666196</v>
      </c>
      <c r="L324" s="127" t="n">
        <f aca="false">RC_VOUT*(EXP(-I324/RT_TAU))</f>
        <v>0.0515162933380433</v>
      </c>
      <c r="M324" s="127"/>
    </row>
    <row r="325" customFormat="false" ht="15" hidden="false" customHeight="false" outlineLevel="0" collapsed="false">
      <c r="I325" s="28" t="n">
        <v>3.03</v>
      </c>
      <c r="J325" s="28" t="n">
        <f aca="false">RC_VOUT*(1-EXP(-I325/RT_TAU))</f>
        <v>3.2491884328511</v>
      </c>
      <c r="L325" s="127" t="n">
        <f aca="false">RC_VOUT*(EXP(-I325/RT_TAU))</f>
        <v>0.0508115671489018</v>
      </c>
      <c r="M325" s="127"/>
    </row>
    <row r="326" customFormat="false" ht="15" hidden="false" customHeight="false" outlineLevel="0" collapsed="false">
      <c r="I326" s="28" t="n">
        <v>3.04</v>
      </c>
      <c r="J326" s="28" t="n">
        <f aca="false">RC_VOUT*(1-EXP(-I326/RT_TAU))</f>
        <v>3.24988351861447</v>
      </c>
      <c r="L326" s="127" t="n">
        <f aca="false">RC_VOUT*(EXP(-I326/RT_TAU))</f>
        <v>0.0501164813855262</v>
      </c>
      <c r="M326" s="127"/>
    </row>
    <row r="327" customFormat="false" ht="15" hidden="false" customHeight="false" outlineLevel="0" collapsed="false">
      <c r="I327" s="28" t="n">
        <v>3.05</v>
      </c>
      <c r="J327" s="28" t="n">
        <f aca="false">RC_VOUT*(1-EXP(-I327/RT_TAU))</f>
        <v>3.25056909582998</v>
      </c>
      <c r="L327" s="127" t="n">
        <f aca="false">RC_VOUT*(EXP(-I327/RT_TAU))</f>
        <v>0.049430904170018</v>
      </c>
      <c r="M327" s="127"/>
    </row>
    <row r="328" customFormat="false" ht="15" hidden="false" customHeight="false" outlineLevel="0" collapsed="false">
      <c r="I328" s="28" t="n">
        <v>3.06</v>
      </c>
      <c r="J328" s="28" t="n">
        <f aca="false">RC_VOUT*(1-EXP(-I328/RT_TAU))</f>
        <v>3.25124529457147</v>
      </c>
      <c r="L328" s="127" t="n">
        <f aca="false">RC_VOUT*(EXP(-I328/RT_TAU))</f>
        <v>0.0487547054285253</v>
      </c>
      <c r="M328" s="127"/>
    </row>
    <row r="329" customFormat="false" ht="15" hidden="false" customHeight="false" outlineLevel="0" collapsed="false">
      <c r="I329" s="28" t="n">
        <v>3.07</v>
      </c>
      <c r="J329" s="28" t="n">
        <f aca="false">RC_VOUT*(1-EXP(-I329/RT_TAU))</f>
        <v>3.25191224313344</v>
      </c>
      <c r="L329" s="127" t="n">
        <f aca="false">RC_VOUT*(EXP(-I329/RT_TAU))</f>
        <v>0.0480877568665645</v>
      </c>
      <c r="M329" s="127"/>
    </row>
    <row r="330" customFormat="false" ht="15" hidden="false" customHeight="false" outlineLevel="0" collapsed="false">
      <c r="I330" s="28" t="n">
        <v>3.08</v>
      </c>
      <c r="J330" s="28" t="n">
        <f aca="false">RC_VOUT*(1-EXP(-I330/RT_TAU))</f>
        <v>3.25257006805532</v>
      </c>
      <c r="L330" s="127" t="n">
        <f aca="false">RC_VOUT*(EXP(-I330/RT_TAU))</f>
        <v>0.0474299319446788</v>
      </c>
      <c r="M330" s="127"/>
    </row>
    <row r="331" customFormat="false" ht="15" hidden="false" customHeight="false" outlineLevel="0" collapsed="false">
      <c r="I331" s="28" t="n">
        <v>3.09</v>
      </c>
      <c r="J331" s="28" t="n">
        <f aca="false">RC_VOUT*(1-EXP(-I331/RT_TAU))</f>
        <v>3.25321889414557</v>
      </c>
      <c r="L331" s="127" t="n">
        <f aca="false">RC_VOUT*(EXP(-I331/RT_TAU))</f>
        <v>0.0467811058544304</v>
      </c>
      <c r="M331" s="127"/>
    </row>
    <row r="332" customFormat="false" ht="15" hidden="false" customHeight="false" outlineLevel="0" collapsed="false">
      <c r="I332" s="28" t="n">
        <v>3.1</v>
      </c>
      <c r="J332" s="28" t="n">
        <f aca="false">RC_VOUT*(1-EXP(-I332/RT_TAU))</f>
        <v>3.25385884450528</v>
      </c>
      <c r="L332" s="127" t="n">
        <f aca="false">RC_VOUT*(EXP(-I332/RT_TAU))</f>
        <v>0.0461411554947202</v>
      </c>
      <c r="M332" s="127"/>
    </row>
    <row r="333" customFormat="false" ht="15" hidden="false" customHeight="false" outlineLevel="0" collapsed="false">
      <c r="I333" s="28" t="n">
        <v>3.11</v>
      </c>
      <c r="J333" s="28" t="n">
        <f aca="false">RC_VOUT*(1-EXP(-I333/RT_TAU))</f>
        <v>3.25449004055157</v>
      </c>
      <c r="L333" s="127" t="n">
        <f aca="false">RC_VOUT*(EXP(-I333/RT_TAU))</f>
        <v>0.0455099594484323</v>
      </c>
      <c r="M333" s="127"/>
    </row>
    <row r="334" customFormat="false" ht="15" hidden="false" customHeight="false" outlineLevel="0" collapsed="false">
      <c r="I334" s="28" t="n">
        <v>3.12</v>
      </c>
      <c r="J334" s="28" t="n">
        <f aca="false">RC_VOUT*(1-EXP(-I334/RT_TAU))</f>
        <v>3.2551126020406</v>
      </c>
      <c r="L334" s="127" t="n">
        <f aca="false">RC_VOUT*(EXP(-I334/RT_TAU))</f>
        <v>0.0448873979593977</v>
      </c>
      <c r="M334" s="127"/>
    </row>
    <row r="335" customFormat="false" ht="15" hidden="false" customHeight="false" outlineLevel="0" collapsed="false">
      <c r="I335" s="28" t="n">
        <v>3.13</v>
      </c>
      <c r="J335" s="28" t="n">
        <f aca="false">RC_VOUT*(1-EXP(-I335/RT_TAU))</f>
        <v>3.25572664709033</v>
      </c>
      <c r="L335" s="127" t="n">
        <f aca="false">RC_VOUT*(EXP(-I335/RT_TAU))</f>
        <v>0.0442733529096727</v>
      </c>
      <c r="M335" s="127"/>
    </row>
    <row r="336" customFormat="false" ht="15" hidden="false" customHeight="false" outlineLevel="0" collapsed="false">
      <c r="I336" s="28" t="n">
        <v>3.14</v>
      </c>
      <c r="J336" s="28" t="n">
        <f aca="false">RC_VOUT*(1-EXP(-I336/RT_TAU))</f>
        <v>3.25633229220287</v>
      </c>
      <c r="L336" s="127" t="n">
        <f aca="false">RC_VOUT*(EXP(-I336/RT_TAU))</f>
        <v>0.0436677077971291</v>
      </c>
      <c r="M336" s="127"/>
    </row>
    <row r="337" customFormat="false" ht="15" hidden="false" customHeight="false" outlineLevel="0" collapsed="false">
      <c r="I337" s="28" t="n">
        <v>3.15</v>
      </c>
      <c r="J337" s="28" t="n">
        <f aca="false">RC_VOUT*(1-EXP(-I337/RT_TAU))</f>
        <v>3.25692965228665</v>
      </c>
      <c r="L337" s="127" t="n">
        <f aca="false">RC_VOUT*(EXP(-I337/RT_TAU))</f>
        <v>0.0430703477133498</v>
      </c>
      <c r="M337" s="127"/>
    </row>
    <row r="338" customFormat="false" ht="15" hidden="false" customHeight="false" outlineLevel="0" collapsed="false">
      <c r="I338" s="28" t="n">
        <v>3.16</v>
      </c>
      <c r="J338" s="28" t="n">
        <f aca="false">RC_VOUT*(1-EXP(-I338/RT_TAU))</f>
        <v>3.25751884067817</v>
      </c>
      <c r="L338" s="127" t="n">
        <f aca="false">RC_VOUT*(EXP(-I338/RT_TAU))</f>
        <v>0.0424811593218276</v>
      </c>
      <c r="M338" s="127"/>
    </row>
    <row r="339" customFormat="false" ht="15" hidden="false" customHeight="false" outlineLevel="0" collapsed="false">
      <c r="I339" s="28" t="n">
        <v>3.17</v>
      </c>
      <c r="J339" s="28" t="n">
        <f aca="false">RC_VOUT*(1-EXP(-I339/RT_TAU))</f>
        <v>3.25809996916354</v>
      </c>
      <c r="L339" s="127" t="n">
        <f aca="false">RC_VOUT*(EXP(-I339/RT_TAU))</f>
        <v>0.041900030836462</v>
      </c>
      <c r="M339" s="127"/>
    </row>
    <row r="340" customFormat="false" ht="15" hidden="false" customHeight="false" outlineLevel="0" collapsed="false">
      <c r="I340" s="28" t="n">
        <v>3.18</v>
      </c>
      <c r="J340" s="28" t="n">
        <f aca="false">RC_VOUT*(1-EXP(-I340/RT_TAU))</f>
        <v>3.25867314799965</v>
      </c>
      <c r="L340" s="127" t="n">
        <f aca="false">RC_VOUT*(EXP(-I340/RT_TAU))</f>
        <v>0.0413268520003503</v>
      </c>
      <c r="M340" s="127"/>
    </row>
    <row r="341" customFormat="false" ht="15" hidden="false" customHeight="false" outlineLevel="0" collapsed="false">
      <c r="I341" s="28" t="n">
        <v>3.19</v>
      </c>
      <c r="J341" s="28" t="n">
        <f aca="false">RC_VOUT*(1-EXP(-I341/RT_TAU))</f>
        <v>3.25923848593513</v>
      </c>
      <c r="L341" s="127" t="n">
        <f aca="false">RC_VOUT*(EXP(-I341/RT_TAU))</f>
        <v>0.0407615140648682</v>
      </c>
      <c r="M341" s="127"/>
    </row>
    <row r="342" customFormat="false" ht="15" hidden="false" customHeight="false" outlineLevel="0" collapsed="false">
      <c r="I342" s="28" t="n">
        <v>3.2</v>
      </c>
      <c r="J342" s="28" t="n">
        <f aca="false">RC_VOUT*(1-EXP(-I342/RT_TAU))</f>
        <v>3.25979609023096</v>
      </c>
      <c r="L342" s="127" t="n">
        <f aca="false">RC_VOUT*(EXP(-I342/RT_TAU))</f>
        <v>0.0402039097690374</v>
      </c>
      <c r="M342" s="127"/>
    </row>
    <row r="343" customFormat="false" ht="15" hidden="false" customHeight="false" outlineLevel="0" collapsed="false">
      <c r="I343" s="28" t="n">
        <v>3.21</v>
      </c>
      <c r="J343" s="28" t="n">
        <f aca="false">RC_VOUT*(1-EXP(-I343/RT_TAU))</f>
        <v>3.26034606668082</v>
      </c>
      <c r="L343" s="127" t="n">
        <f aca="false">RC_VOUT*(EXP(-I343/RT_TAU))</f>
        <v>0.0396539333191751</v>
      </c>
      <c r="M343" s="127"/>
    </row>
    <row r="344" customFormat="false" ht="15" hidden="false" customHeight="false" outlineLevel="0" collapsed="false">
      <c r="I344" s="28" t="n">
        <v>3.22</v>
      </c>
      <c r="J344" s="28" t="n">
        <f aca="false">RC_VOUT*(1-EXP(-I344/RT_TAU))</f>
        <v>3.26088851963118</v>
      </c>
      <c r="L344" s="127" t="n">
        <f aca="false">RC_VOUT*(EXP(-I344/RT_TAU))</f>
        <v>0.0391114803688217</v>
      </c>
      <c r="M344" s="127"/>
    </row>
    <row r="345" customFormat="false" ht="15" hidden="false" customHeight="false" outlineLevel="0" collapsed="false">
      <c r="I345" s="28" t="n">
        <v>3.23</v>
      </c>
      <c r="J345" s="28" t="n">
        <f aca="false">RC_VOUT*(1-EXP(-I345/RT_TAU))</f>
        <v>3.26142355200106</v>
      </c>
      <c r="L345" s="127" t="n">
        <f aca="false">RC_VOUT*(EXP(-I345/RT_TAU))</f>
        <v>0.0385764479989433</v>
      </c>
      <c r="M345" s="127"/>
    </row>
    <row r="346" customFormat="false" ht="15" hidden="false" customHeight="false" outlineLevel="0" collapsed="false">
      <c r="I346" s="28" t="n">
        <v>3.24</v>
      </c>
      <c r="J346" s="28" t="n">
        <f aca="false">RC_VOUT*(1-EXP(-I346/RT_TAU))</f>
        <v>3.26195126530159</v>
      </c>
      <c r="L346" s="127" t="n">
        <f aca="false">RC_VOUT*(EXP(-I346/RT_TAU))</f>
        <v>0.0380487346984052</v>
      </c>
      <c r="M346" s="127"/>
    </row>
    <row r="347" customFormat="false" ht="15" hidden="false" customHeight="false" outlineLevel="0" collapsed="false">
      <c r="I347" s="28" t="n">
        <v>3.25</v>
      </c>
      <c r="J347" s="28" t="n">
        <f aca="false">RC_VOUT*(1-EXP(-I347/RT_TAU))</f>
        <v>3.26247175965529</v>
      </c>
      <c r="L347" s="127" t="n">
        <f aca="false">RC_VOUT*(EXP(-I347/RT_TAU))</f>
        <v>0.0375282403447118</v>
      </c>
      <c r="M347" s="127"/>
    </row>
    <row r="348" customFormat="false" ht="15" hidden="false" customHeight="false" outlineLevel="0" collapsed="false">
      <c r="I348" s="28" t="n">
        <v>3.26</v>
      </c>
      <c r="J348" s="28" t="n">
        <f aca="false">RC_VOUT*(1-EXP(-I348/RT_TAU))</f>
        <v>3.26298513381499</v>
      </c>
      <c r="L348" s="127" t="n">
        <f aca="false">RC_VOUT*(EXP(-I348/RT_TAU))</f>
        <v>0.0370148661850111</v>
      </c>
      <c r="M348" s="127"/>
    </row>
    <row r="349" customFormat="false" ht="15" hidden="false" customHeight="false" outlineLevel="0" collapsed="false">
      <c r="I349" s="28" t="n">
        <v>3.27</v>
      </c>
      <c r="J349" s="28" t="n">
        <f aca="false">RC_VOUT*(1-EXP(-I349/RT_TAU))</f>
        <v>3.26349148518264</v>
      </c>
      <c r="L349" s="127" t="n">
        <f aca="false">RC_VOUT*(EXP(-I349/RT_TAU))</f>
        <v>0.0365085148173578</v>
      </c>
      <c r="M349" s="127"/>
    </row>
    <row r="350" customFormat="false" ht="15" hidden="false" customHeight="false" outlineLevel="0" collapsed="false">
      <c r="I350" s="28" t="n">
        <v>3.28</v>
      </c>
      <c r="J350" s="28" t="n">
        <f aca="false">RC_VOUT*(1-EXP(-I350/RT_TAU))</f>
        <v>3.26399090982777</v>
      </c>
      <c r="L350" s="127" t="n">
        <f aca="false">RC_VOUT*(EXP(-I350/RT_TAU))</f>
        <v>0.0360090901722339</v>
      </c>
      <c r="M350" s="127"/>
    </row>
    <row r="351" customFormat="false" ht="15" hidden="false" customHeight="false" outlineLevel="0" collapsed="false">
      <c r="I351" s="28" t="n">
        <v>3.29</v>
      </c>
      <c r="J351" s="28" t="n">
        <f aca="false">RC_VOUT*(1-EXP(-I351/RT_TAU))</f>
        <v>3.26448350250568</v>
      </c>
      <c r="L351" s="127" t="n">
        <f aca="false">RC_VOUT*(EXP(-I351/RT_TAU))</f>
        <v>0.0355164974943211</v>
      </c>
      <c r="M351" s="127"/>
    </row>
    <row r="352" customFormat="false" ht="15" hidden="false" customHeight="false" outlineLevel="0" collapsed="false">
      <c r="I352" s="28" t="n">
        <v>3.3</v>
      </c>
      <c r="J352" s="28" t="n">
        <f aca="false">RC_VOUT*(1-EXP(-I352/RT_TAU))</f>
        <v>3.26496935667548</v>
      </c>
      <c r="L352" s="127" t="n">
        <f aca="false">RC_VOUT*(EXP(-I352/RT_TAU))</f>
        <v>0.0350306433245231</v>
      </c>
      <c r="M352" s="127"/>
    </row>
    <row r="353" customFormat="false" ht="15" hidden="false" customHeight="false" outlineLevel="0" collapsed="false">
      <c r="I353" s="28" t="n">
        <v>3.31</v>
      </c>
      <c r="J353" s="28" t="n">
        <f aca="false">RC_VOUT*(1-EXP(-I353/RT_TAU))</f>
        <v>3.26544856451777</v>
      </c>
      <c r="L353" s="127" t="n">
        <f aca="false">RC_VOUT*(EXP(-I353/RT_TAU))</f>
        <v>0.0345514354822337</v>
      </c>
      <c r="M353" s="127"/>
    </row>
    <row r="354" customFormat="false" ht="15" hidden="false" customHeight="false" outlineLevel="0" collapsed="false">
      <c r="I354" s="28" t="n">
        <v>3.32</v>
      </c>
      <c r="J354" s="28" t="n">
        <f aca="false">RC_VOUT*(1-EXP(-I354/RT_TAU))</f>
        <v>3.26592121695215</v>
      </c>
      <c r="L354" s="127" t="n">
        <f aca="false">RC_VOUT*(EXP(-I354/RT_TAU))</f>
        <v>0.0340787830478479</v>
      </c>
      <c r="M354" s="127"/>
    </row>
    <row r="355" customFormat="false" ht="15" hidden="false" customHeight="false" outlineLevel="0" collapsed="false">
      <c r="I355" s="28" t="n">
        <v>3.33</v>
      </c>
      <c r="J355" s="28" t="n">
        <f aca="false">RC_VOUT*(1-EXP(-I355/RT_TAU))</f>
        <v>3.26638740365449</v>
      </c>
      <c r="L355" s="127" t="n">
        <f aca="false">RC_VOUT*(EXP(-I355/RT_TAU))</f>
        <v>0.0336125963455109</v>
      </c>
      <c r="M355" s="127"/>
    </row>
    <row r="356" customFormat="false" ht="15" hidden="false" customHeight="false" outlineLevel="0" collapsed="false">
      <c r="I356" s="28" t="n">
        <v>3.34</v>
      </c>
      <c r="J356" s="28" t="n">
        <f aca="false">RC_VOUT*(1-EXP(-I356/RT_TAU))</f>
        <v>3.2668472130739</v>
      </c>
      <c r="L356" s="127" t="n">
        <f aca="false">RC_VOUT*(EXP(-I356/RT_TAU))</f>
        <v>0.0331527869261047</v>
      </c>
      <c r="M356" s="127"/>
    </row>
    <row r="357" customFormat="false" ht="15" hidden="false" customHeight="false" outlineLevel="0" collapsed="false">
      <c r="I357" s="28" t="n">
        <v>3.35</v>
      </c>
      <c r="J357" s="28" t="n">
        <f aca="false">RC_VOUT*(1-EXP(-I357/RT_TAU))</f>
        <v>3.26730073244953</v>
      </c>
      <c r="L357" s="127" t="n">
        <f aca="false">RC_VOUT*(EXP(-I357/RT_TAU))</f>
        <v>0.0326992675504667</v>
      </c>
      <c r="M357" s="127"/>
    </row>
    <row r="358" customFormat="false" ht="15" hidden="false" customHeight="false" outlineLevel="0" collapsed="false">
      <c r="I358" s="28" t="n">
        <v>3.36</v>
      </c>
      <c r="J358" s="28" t="n">
        <f aca="false">RC_VOUT*(1-EXP(-I358/RT_TAU))</f>
        <v>3.26774804782716</v>
      </c>
      <c r="L358" s="127" t="n">
        <f aca="false">RC_VOUT*(EXP(-I358/RT_TAU))</f>
        <v>0.0322519521728376</v>
      </c>
      <c r="M358" s="127"/>
    </row>
    <row r="359" customFormat="false" ht="15" hidden="false" customHeight="false" outlineLevel="0" collapsed="false">
      <c r="I359" s="28" t="n">
        <v>3.37</v>
      </c>
      <c r="J359" s="28" t="n">
        <f aca="false">RC_VOUT*(1-EXP(-I359/RT_TAU))</f>
        <v>3.26818924407546</v>
      </c>
      <c r="L359" s="127" t="n">
        <f aca="false">RC_VOUT*(EXP(-I359/RT_TAU))</f>
        <v>0.0318107559245362</v>
      </c>
      <c r="M359" s="127"/>
    </row>
    <row r="360" customFormat="false" ht="15" hidden="false" customHeight="false" outlineLevel="0" collapsed="false">
      <c r="I360" s="28" t="n">
        <v>3.38</v>
      </c>
      <c r="J360" s="28" t="n">
        <f aca="false">RC_VOUT*(1-EXP(-I360/RT_TAU))</f>
        <v>3.26862440490214</v>
      </c>
      <c r="L360" s="127" t="n">
        <f aca="false">RC_VOUT*(EXP(-I360/RT_TAU))</f>
        <v>0.0313755950978575</v>
      </c>
      <c r="M360" s="127"/>
    </row>
    <row r="361" customFormat="false" ht="15" hidden="false" customHeight="false" outlineLevel="0" collapsed="false">
      <c r="I361" s="28" t="n">
        <v>3.39</v>
      </c>
      <c r="J361" s="28" t="n">
        <f aca="false">RC_VOUT*(1-EXP(-I361/RT_TAU))</f>
        <v>3.26905361286981</v>
      </c>
      <c r="L361" s="127" t="n">
        <f aca="false">RC_VOUT*(EXP(-I361/RT_TAU))</f>
        <v>0.0309463871301905</v>
      </c>
      <c r="M361" s="127"/>
    </row>
    <row r="362" customFormat="false" ht="15" hidden="false" customHeight="false" outlineLevel="0" collapsed="false">
      <c r="I362" s="28" t="n">
        <v>3.4</v>
      </c>
      <c r="J362" s="28" t="n">
        <f aca="false">RC_VOUT*(1-EXP(-I362/RT_TAU))</f>
        <v>3.26947694941165</v>
      </c>
      <c r="L362" s="127" t="n">
        <f aca="false">RC_VOUT*(EXP(-I362/RT_TAU))</f>
        <v>0.0305230505883541</v>
      </c>
      <c r="M362" s="127"/>
    </row>
    <row r="363" customFormat="false" ht="15" hidden="false" customHeight="false" outlineLevel="0" collapsed="false">
      <c r="I363" s="28" t="n">
        <v>3.41</v>
      </c>
      <c r="J363" s="28" t="n">
        <f aca="false">RC_VOUT*(1-EXP(-I363/RT_TAU))</f>
        <v>3.26989449484685</v>
      </c>
      <c r="L363" s="127" t="n">
        <f aca="false">RC_VOUT*(EXP(-I363/RT_TAU))</f>
        <v>0.0301055051531467</v>
      </c>
      <c r="M363" s="127"/>
    </row>
    <row r="364" customFormat="false" ht="15" hidden="false" customHeight="false" outlineLevel="0" collapsed="false">
      <c r="I364" s="28" t="n">
        <v>3.42</v>
      </c>
      <c r="J364" s="28" t="n">
        <f aca="false">RC_VOUT*(1-EXP(-I364/RT_TAU))</f>
        <v>3.27030632839589</v>
      </c>
      <c r="L364" s="127" t="n">
        <f aca="false">RC_VOUT*(EXP(-I364/RT_TAU))</f>
        <v>0.0296936716041074</v>
      </c>
      <c r="M364" s="127"/>
    </row>
    <row r="365" customFormat="false" ht="15" hidden="false" customHeight="false" outlineLevel="0" collapsed="false">
      <c r="I365" s="28" t="n">
        <v>3.43</v>
      </c>
      <c r="J365" s="28" t="n">
        <f aca="false">RC_VOUT*(1-EXP(-I365/RT_TAU))</f>
        <v>3.27071252819551</v>
      </c>
      <c r="L365" s="127" t="n">
        <f aca="false">RC_VOUT*(EXP(-I365/RT_TAU))</f>
        <v>0.0292874718044854</v>
      </c>
      <c r="M365" s="127"/>
    </row>
    <row r="366" customFormat="false" ht="15" hidden="false" customHeight="false" outlineLevel="0" collapsed="false">
      <c r="I366" s="28" t="n">
        <v>3.44</v>
      </c>
      <c r="J366" s="28" t="n">
        <f aca="false">RC_VOUT*(1-EXP(-I366/RT_TAU))</f>
        <v>3.27111317131358</v>
      </c>
      <c r="L366" s="127" t="n">
        <f aca="false">RC_VOUT*(EXP(-I366/RT_TAU))</f>
        <v>0.0288868286864154</v>
      </c>
      <c r="M366" s="127"/>
    </row>
    <row r="367" customFormat="false" ht="15" hidden="false" customHeight="false" outlineLevel="0" collapsed="false">
      <c r="I367" s="28" t="n">
        <v>3.45</v>
      </c>
      <c r="J367" s="28" t="n">
        <f aca="false">RC_VOUT*(1-EXP(-I367/RT_TAU))</f>
        <v>3.2715083337637</v>
      </c>
      <c r="L367" s="127" t="n">
        <f aca="false">RC_VOUT*(EXP(-I367/RT_TAU))</f>
        <v>0.0284916662362954</v>
      </c>
      <c r="M367" s="127"/>
    </row>
    <row r="368" customFormat="false" ht="15" hidden="false" customHeight="false" outlineLevel="0" collapsed="false">
      <c r="I368" s="28" t="n">
        <v>3.46</v>
      </c>
      <c r="J368" s="28" t="n">
        <f aca="false">RC_VOUT*(1-EXP(-I368/RT_TAU))</f>
        <v>3.27189809051963</v>
      </c>
      <c r="L368" s="127" t="n">
        <f aca="false">RC_VOUT*(EXP(-I368/RT_TAU))</f>
        <v>0.028101909480365</v>
      </c>
      <c r="M368" s="127"/>
    </row>
    <row r="369" customFormat="false" ht="15" hidden="false" customHeight="false" outlineLevel="0" collapsed="false">
      <c r="I369" s="28" t="n">
        <v>3.47</v>
      </c>
      <c r="J369" s="28" t="n">
        <f aca="false">RC_VOUT*(1-EXP(-I369/RT_TAU))</f>
        <v>3.27228251552952</v>
      </c>
      <c r="L369" s="127" t="n">
        <f aca="false">RC_VOUT*(EXP(-I369/RT_TAU))</f>
        <v>0.0277174844704803</v>
      </c>
      <c r="M369" s="127"/>
    </row>
    <row r="370" customFormat="false" ht="15" hidden="false" customHeight="false" outlineLevel="0" collapsed="false">
      <c r="I370" s="28" t="n">
        <v>3.48</v>
      </c>
      <c r="J370" s="28" t="n">
        <f aca="false">RC_VOUT*(1-EXP(-I370/RT_TAU))</f>
        <v>3.27266168172992</v>
      </c>
      <c r="L370" s="127" t="n">
        <f aca="false">RC_VOUT*(EXP(-I370/RT_TAU))</f>
        <v>0.0273383182700844</v>
      </c>
      <c r="M370" s="127"/>
    </row>
    <row r="371" customFormat="false" ht="15" hidden="false" customHeight="false" outlineLevel="0" collapsed="false">
      <c r="I371" s="28" t="n">
        <v>3.49</v>
      </c>
      <c r="J371" s="28" t="n">
        <f aca="false">RC_VOUT*(1-EXP(-I371/RT_TAU))</f>
        <v>3.27303566105963</v>
      </c>
      <c r="L371" s="127" t="n">
        <f aca="false">RC_VOUT*(EXP(-I371/RT_TAU))</f>
        <v>0.0269643389403684</v>
      </c>
      <c r="M371" s="127"/>
    </row>
    <row r="372" customFormat="false" ht="15" hidden="false" customHeight="false" outlineLevel="0" collapsed="false">
      <c r="I372" s="28" t="n">
        <v>3.5</v>
      </c>
      <c r="J372" s="28" t="n">
        <f aca="false">RC_VOUT*(1-EXP(-I372/RT_TAU))</f>
        <v>3.27340452447338</v>
      </c>
      <c r="L372" s="127" t="n">
        <f aca="false">RC_VOUT*(EXP(-I372/RT_TAU))</f>
        <v>0.0265954755266233</v>
      </c>
      <c r="M372" s="127"/>
    </row>
    <row r="373" customFormat="false" ht="15" hidden="false" customHeight="false" outlineLevel="0" collapsed="false">
      <c r="I373" s="28" t="n">
        <v>3.51</v>
      </c>
      <c r="J373" s="28" t="n">
        <f aca="false">RC_VOUT*(1-EXP(-I373/RT_TAU))</f>
        <v>3.27376834195522</v>
      </c>
      <c r="L373" s="127" t="n">
        <f aca="false">RC_VOUT*(EXP(-I373/RT_TAU))</f>
        <v>0.0262316580447774</v>
      </c>
      <c r="M373" s="127"/>
    </row>
    <row r="374" customFormat="false" ht="15" hidden="false" customHeight="false" outlineLevel="0" collapsed="false">
      <c r="I374" s="28" t="n">
        <v>3.52</v>
      </c>
      <c r="J374" s="28" t="n">
        <f aca="false">RC_VOUT*(1-EXP(-I374/RT_TAU))</f>
        <v>3.27412718253188</v>
      </c>
      <c r="L374" s="127" t="n">
        <f aca="false">RC_VOUT*(EXP(-I374/RT_TAU))</f>
        <v>0.0258728174681183</v>
      </c>
      <c r="M374" s="127"/>
    </row>
    <row r="375" customFormat="false" ht="15" hidden="false" customHeight="false" outlineLevel="0" collapsed="false">
      <c r="I375" s="28" t="n">
        <v>3.53</v>
      </c>
      <c r="J375" s="28" t="n">
        <f aca="false">RC_VOUT*(1-EXP(-I375/RT_TAU))</f>
        <v>3.2744811142858</v>
      </c>
      <c r="L375" s="127" t="n">
        <f aca="false">RC_VOUT*(EXP(-I375/RT_TAU))</f>
        <v>0.025518885714197</v>
      </c>
      <c r="M375" s="127"/>
    </row>
    <row r="376" customFormat="false" ht="15" hidden="false" customHeight="false" outlineLevel="0" collapsed="false">
      <c r="I376" s="28" t="n">
        <v>3.54</v>
      </c>
      <c r="J376" s="28" t="n">
        <f aca="false">RC_VOUT*(1-EXP(-I376/RT_TAU))</f>
        <v>3.27483020436809</v>
      </c>
      <c r="L376" s="127" t="n">
        <f aca="false">RC_VOUT*(EXP(-I376/RT_TAU))</f>
        <v>0.0251697956319099</v>
      </c>
      <c r="M376" s="127"/>
    </row>
    <row r="377" customFormat="false" ht="15" hidden="false" customHeight="false" outlineLevel="0" collapsed="false">
      <c r="I377" s="28" t="n">
        <v>3.55</v>
      </c>
      <c r="J377" s="28" t="n">
        <f aca="false">RC_VOUT*(1-EXP(-I377/RT_TAU))</f>
        <v>3.27517451901124</v>
      </c>
      <c r="L377" s="127" t="n">
        <f aca="false">RC_VOUT*(EXP(-I377/RT_TAU))</f>
        <v>0.024825480988759</v>
      </c>
      <c r="M377" s="127"/>
    </row>
    <row r="378" customFormat="false" ht="15" hidden="false" customHeight="false" outlineLevel="0" collapsed="false">
      <c r="I378" s="28" t="n">
        <v>3.56</v>
      </c>
      <c r="J378" s="28" t="n">
        <f aca="false">RC_VOUT*(1-EXP(-I378/RT_TAU))</f>
        <v>3.27551412354171</v>
      </c>
      <c r="L378" s="127" t="n">
        <f aca="false">RC_VOUT*(EXP(-I378/RT_TAU))</f>
        <v>0.0244858764582853</v>
      </c>
      <c r="M378" s="127"/>
    </row>
    <row r="379" customFormat="false" ht="15" hidden="false" customHeight="false" outlineLevel="0" collapsed="false">
      <c r="I379" s="28" t="n">
        <v>3.57</v>
      </c>
      <c r="J379" s="28" t="n">
        <f aca="false">RC_VOUT*(1-EXP(-I379/RT_TAU))</f>
        <v>3.27584908239233</v>
      </c>
      <c r="L379" s="127" t="n">
        <f aca="false">RC_VOUT*(EXP(-I379/RT_TAU))</f>
        <v>0.0241509176076746</v>
      </c>
      <c r="M379" s="127"/>
    </row>
    <row r="380" customFormat="false" ht="15" hidden="false" customHeight="false" outlineLevel="0" collapsed="false">
      <c r="I380" s="28" t="n">
        <v>3.58</v>
      </c>
      <c r="J380" s="28" t="n">
        <f aca="false">RC_VOUT*(1-EXP(-I380/RT_TAU))</f>
        <v>3.27617945911447</v>
      </c>
      <c r="L380" s="127" t="n">
        <f aca="false">RC_VOUT*(EXP(-I380/RT_TAU))</f>
        <v>0.0238205408855326</v>
      </c>
      <c r="M380" s="127"/>
    </row>
    <row r="381" customFormat="false" ht="15" hidden="false" customHeight="false" outlineLevel="0" collapsed="false">
      <c r="I381" s="28" t="n">
        <v>3.59</v>
      </c>
      <c r="J381" s="28" t="n">
        <f aca="false">RC_VOUT*(1-EXP(-I381/RT_TAU))</f>
        <v>3.27650531639017</v>
      </c>
      <c r="L381" s="127" t="n">
        <f aca="false">RC_VOUT*(EXP(-I381/RT_TAU))</f>
        <v>0.0234946836098277</v>
      </c>
      <c r="M381" s="127"/>
    </row>
    <row r="382" customFormat="false" ht="15" hidden="false" customHeight="false" outlineLevel="0" collapsed="false">
      <c r="I382" s="28" t="n">
        <v>3.6</v>
      </c>
      <c r="J382" s="28" t="n">
        <f aca="false">RC_VOUT*(1-EXP(-I382/RT_TAU))</f>
        <v>3.276826716044</v>
      </c>
      <c r="L382" s="127" t="n">
        <f aca="false">RC_VOUT*(EXP(-I382/RT_TAU))</f>
        <v>0.0231732839559979</v>
      </c>
      <c r="M382" s="127"/>
    </row>
    <row r="383" customFormat="false" ht="15" hidden="false" customHeight="false" outlineLevel="0" collapsed="false">
      <c r="I383" s="28" t="n">
        <v>3.61</v>
      </c>
      <c r="J383" s="28" t="n">
        <f aca="false">RC_VOUT*(1-EXP(-I383/RT_TAU))</f>
        <v>3.27714371905478</v>
      </c>
      <c r="L383" s="127" t="n">
        <f aca="false">RC_VOUT*(EXP(-I383/RT_TAU))</f>
        <v>0.0228562809452214</v>
      </c>
      <c r="M383" s="127"/>
    </row>
    <row r="384" customFormat="false" ht="15" hidden="false" customHeight="false" outlineLevel="0" collapsed="false">
      <c r="I384" s="28" t="n">
        <v>3.62</v>
      </c>
      <c r="J384" s="28" t="n">
        <f aca="false">RC_VOUT*(1-EXP(-I384/RT_TAU))</f>
        <v>3.27745638556715</v>
      </c>
      <c r="L384" s="127" t="n">
        <f aca="false">RC_VOUT*(EXP(-I384/RT_TAU))</f>
        <v>0.0225436144328468</v>
      </c>
      <c r="M384" s="127"/>
    </row>
    <row r="385" customFormat="false" ht="15" hidden="false" customHeight="false" outlineLevel="0" collapsed="false">
      <c r="I385" s="28" t="n">
        <v>3.63</v>
      </c>
      <c r="J385" s="28" t="n">
        <f aca="false">RC_VOUT*(1-EXP(-I385/RT_TAU))</f>
        <v>3.27776477490302</v>
      </c>
      <c r="L385" s="127" t="n">
        <f aca="false">RC_VOUT*(EXP(-I385/RT_TAU))</f>
        <v>0.022235225096982</v>
      </c>
      <c r="M385" s="127"/>
    </row>
    <row r="386" customFormat="false" ht="15" hidden="false" customHeight="false" outlineLevel="0" collapsed="false">
      <c r="I386" s="28" t="n">
        <v>3.64</v>
      </c>
      <c r="J386" s="28" t="n">
        <f aca="false">RC_VOUT*(1-EXP(-I386/RT_TAU))</f>
        <v>3.27806894557276</v>
      </c>
      <c r="L386" s="127" t="n">
        <f aca="false">RC_VOUT*(EXP(-I386/RT_TAU))</f>
        <v>0.0219310544272392</v>
      </c>
      <c r="M386" s="127"/>
    </row>
    <row r="387" customFormat="false" ht="15" hidden="false" customHeight="false" outlineLevel="0" collapsed="false">
      <c r="I387" s="28" t="n">
        <v>3.65</v>
      </c>
      <c r="J387" s="28" t="n">
        <f aca="false">RC_VOUT*(1-EXP(-I387/RT_TAU))</f>
        <v>3.27836895528637</v>
      </c>
      <c r="L387" s="127" t="n">
        <f aca="false">RC_VOUT*(EXP(-I387/RT_TAU))</f>
        <v>0.0216310447136337</v>
      </c>
      <c r="M387" s="127"/>
    </row>
    <row r="388" customFormat="false" ht="15" hidden="false" customHeight="false" outlineLevel="0" collapsed="false">
      <c r="I388" s="28" t="n">
        <v>3.66</v>
      </c>
      <c r="J388" s="28" t="n">
        <f aca="false">RC_VOUT*(1-EXP(-I388/RT_TAU))</f>
        <v>3.27866486096437</v>
      </c>
      <c r="L388" s="127" t="n">
        <f aca="false">RC_VOUT*(EXP(-I388/RT_TAU))</f>
        <v>0.0213351390356348</v>
      </c>
      <c r="M388" s="127"/>
    </row>
    <row r="389" customFormat="false" ht="15" hidden="false" customHeight="false" outlineLevel="0" collapsed="false">
      <c r="I389" s="28" t="n">
        <v>3.67</v>
      </c>
      <c r="J389" s="28" t="n">
        <f aca="false">RC_VOUT*(1-EXP(-I389/RT_TAU))</f>
        <v>3.27895671874863</v>
      </c>
      <c r="L389" s="127" t="n">
        <f aca="false">RC_VOUT*(EXP(-I389/RT_TAU))</f>
        <v>0.0210432812513659</v>
      </c>
      <c r="M389" s="127"/>
    </row>
    <row r="390" customFormat="false" ht="15" hidden="false" customHeight="false" outlineLevel="0" collapsed="false">
      <c r="I390" s="28" t="n">
        <v>3.68</v>
      </c>
      <c r="J390" s="28" t="n">
        <f aca="false">RC_VOUT*(1-EXP(-I390/RT_TAU))</f>
        <v>3.27924458401305</v>
      </c>
      <c r="L390" s="127" t="n">
        <f aca="false">RC_VOUT*(EXP(-I390/RT_TAU))</f>
        <v>0.0207554159869534</v>
      </c>
      <c r="M390" s="127"/>
    </row>
    <row r="391" customFormat="false" ht="15" hidden="false" customHeight="false" outlineLevel="0" collapsed="false">
      <c r="I391" s="28" t="n">
        <v>3.69</v>
      </c>
      <c r="J391" s="28" t="n">
        <f aca="false">RC_VOUT*(1-EXP(-I391/RT_TAU))</f>
        <v>3.27952851137398</v>
      </c>
      <c r="L391" s="127" t="n">
        <f aca="false">RC_VOUT*(EXP(-I391/RT_TAU))</f>
        <v>0.0204714886260202</v>
      </c>
      <c r="M391" s="127"/>
    </row>
    <row r="392" customFormat="false" ht="15" hidden="false" customHeight="false" outlineLevel="0" collapsed="false">
      <c r="I392" s="28" t="n">
        <v>3.7</v>
      </c>
      <c r="J392" s="28" t="n">
        <f aca="false">RC_VOUT*(1-EXP(-I392/RT_TAU))</f>
        <v>3.27980855470068</v>
      </c>
      <c r="L392" s="127" t="n">
        <f aca="false">RC_VOUT*(EXP(-I392/RT_TAU))</f>
        <v>0.0201914452993235</v>
      </c>
      <c r="M392" s="127"/>
    </row>
    <row r="393" customFormat="false" ht="15" hidden="false" customHeight="false" outlineLevel="0" collapsed="false">
      <c r="I393" s="28" t="n">
        <v>3.71</v>
      </c>
      <c r="J393" s="28" t="n">
        <f aca="false">RC_VOUT*(1-EXP(-I393/RT_TAU))</f>
        <v>3.28008476712547</v>
      </c>
      <c r="L393" s="127" t="n">
        <f aca="false">RC_VOUT*(EXP(-I393/RT_TAU))</f>
        <v>0.0199152328745343</v>
      </c>
      <c r="M393" s="127"/>
    </row>
    <row r="394" customFormat="false" ht="15" hidden="false" customHeight="false" outlineLevel="0" collapsed="false">
      <c r="I394" s="28" t="n">
        <v>3.72</v>
      </c>
      <c r="J394" s="28" t="n">
        <f aca="false">RC_VOUT*(1-EXP(-I394/RT_TAU))</f>
        <v>3.28035720105384</v>
      </c>
      <c r="L394" s="127" t="n">
        <f aca="false">RC_VOUT*(EXP(-I394/RT_TAU))</f>
        <v>0.0196427989461567</v>
      </c>
      <c r="M394" s="127"/>
    </row>
    <row r="395" customFormat="false" ht="15" hidden="false" customHeight="false" outlineLevel="0" collapsed="false">
      <c r="I395" s="28" t="n">
        <v>3.73</v>
      </c>
      <c r="J395" s="28" t="n">
        <f aca="false">RC_VOUT*(1-EXP(-I395/RT_TAU))</f>
        <v>3.28062590817442</v>
      </c>
      <c r="L395" s="127" t="n">
        <f aca="false">RC_VOUT*(EXP(-I395/RT_TAU))</f>
        <v>0.0193740918255849</v>
      </c>
      <c r="M395" s="127"/>
    </row>
    <row r="396" customFormat="false" ht="15" hidden="false" customHeight="false" outlineLevel="0" collapsed="false">
      <c r="I396" s="28" t="n">
        <v>3.74</v>
      </c>
      <c r="J396" s="28" t="n">
        <f aca="false">RC_VOUT*(1-EXP(-I396/RT_TAU))</f>
        <v>3.2808909394687</v>
      </c>
      <c r="L396" s="127" t="n">
        <f aca="false">RC_VOUT*(EXP(-I396/RT_TAU))</f>
        <v>0.0191090605312965</v>
      </c>
      <c r="M396" s="127"/>
    </row>
    <row r="397" customFormat="false" ht="15" hidden="false" customHeight="false" outlineLevel="0" collapsed="false">
      <c r="I397" s="28" t="n">
        <v>3.75</v>
      </c>
      <c r="J397" s="28" t="n">
        <f aca="false">RC_VOUT*(1-EXP(-I397/RT_TAU))</f>
        <v>3.28115234522082</v>
      </c>
      <c r="L397" s="127" t="n">
        <f aca="false">RC_VOUT*(EXP(-I397/RT_TAU))</f>
        <v>0.0188476547791799</v>
      </c>
      <c r="M397" s="127"/>
    </row>
    <row r="398" customFormat="false" ht="15" hidden="false" customHeight="false" outlineLevel="0" collapsed="false">
      <c r="I398" s="28" t="n">
        <v>3.76</v>
      </c>
      <c r="J398" s="28" t="n">
        <f aca="false">RC_VOUT*(1-EXP(-I398/RT_TAU))</f>
        <v>3.28141017502701</v>
      </c>
      <c r="L398" s="127" t="n">
        <f aca="false">RC_VOUT*(EXP(-I398/RT_TAU))</f>
        <v>0.0185898249729935</v>
      </c>
      <c r="M398" s="127"/>
    </row>
    <row r="399" customFormat="false" ht="15" hidden="false" customHeight="false" outlineLevel="0" collapsed="false">
      <c r="I399" s="28" t="n">
        <v>3.77</v>
      </c>
      <c r="J399" s="28" t="n">
        <f aca="false">RC_VOUT*(1-EXP(-I399/RT_TAU))</f>
        <v>3.28166447780504</v>
      </c>
      <c r="L399" s="127" t="n">
        <f aca="false">RC_VOUT*(EXP(-I399/RT_TAU))</f>
        <v>0.0183355221949567</v>
      </c>
      <c r="M399" s="127"/>
    </row>
    <row r="400" customFormat="false" ht="15" hidden="false" customHeight="false" outlineLevel="0" collapsed="false">
      <c r="I400" s="28" t="n">
        <v>3.78</v>
      </c>
      <c r="J400" s="28" t="n">
        <f aca="false">RC_VOUT*(1-EXP(-I400/RT_TAU))</f>
        <v>3.28191530180353</v>
      </c>
      <c r="L400" s="127" t="n">
        <f aca="false">RC_VOUT*(EXP(-I400/RT_TAU))</f>
        <v>0.0180846981964679</v>
      </c>
      <c r="M400" s="127"/>
    </row>
    <row r="401" customFormat="false" ht="15" hidden="false" customHeight="false" outlineLevel="0" collapsed="false">
      <c r="I401" s="28" t="n">
        <v>3.79</v>
      </c>
      <c r="J401" s="28" t="n">
        <f aca="false">RC_VOUT*(1-EXP(-I401/RT_TAU))</f>
        <v>3.28216269461105</v>
      </c>
      <c r="L401" s="127" t="n">
        <f aca="false">RC_VOUT*(EXP(-I401/RT_TAU))</f>
        <v>0.0178373053889508</v>
      </c>
      <c r="M401" s="127"/>
    </row>
    <row r="402" customFormat="false" ht="15" hidden="false" customHeight="false" outlineLevel="0" collapsed="false">
      <c r="I402" s="28" t="n">
        <v>3.8</v>
      </c>
      <c r="J402" s="28" t="n">
        <f aca="false">RC_VOUT*(1-EXP(-I402/RT_TAU))</f>
        <v>3.28240670316517</v>
      </c>
      <c r="L402" s="127" t="n">
        <f aca="false">RC_VOUT*(EXP(-I402/RT_TAU))</f>
        <v>0.0175932968348256</v>
      </c>
      <c r="M402" s="127"/>
    </row>
    <row r="403" customFormat="false" ht="15" hidden="false" customHeight="false" outlineLevel="0" collapsed="false">
      <c r="I403" s="28" t="n">
        <v>3.81</v>
      </c>
      <c r="J403" s="28" t="n">
        <f aca="false">RC_VOUT*(1-EXP(-I403/RT_TAU))</f>
        <v>3.2826473737614</v>
      </c>
      <c r="L403" s="127" t="n">
        <f aca="false">RC_VOUT*(EXP(-I403/RT_TAU))</f>
        <v>0.017352626238603</v>
      </c>
      <c r="M403" s="127"/>
    </row>
    <row r="404" customFormat="false" ht="15" hidden="false" customHeight="false" outlineLevel="0" collapsed="false">
      <c r="I404" s="28" t="n">
        <v>3.82</v>
      </c>
      <c r="J404" s="28" t="n">
        <f aca="false">RC_VOUT*(1-EXP(-I404/RT_TAU))</f>
        <v>3.2828847520619</v>
      </c>
      <c r="L404" s="127" t="n">
        <f aca="false">RC_VOUT*(EXP(-I404/RT_TAU))</f>
        <v>0.0171152479381014</v>
      </c>
      <c r="M404" s="127"/>
    </row>
    <row r="405" customFormat="false" ht="15" hidden="false" customHeight="false" outlineLevel="0" collapsed="false">
      <c r="I405" s="28" t="n">
        <v>3.83</v>
      </c>
      <c r="J405" s="28" t="n">
        <f aca="false">RC_VOUT*(1-EXP(-I405/RT_TAU))</f>
        <v>3.28311888310422</v>
      </c>
      <c r="L405" s="127" t="n">
        <f aca="false">RC_VOUT*(EXP(-I405/RT_TAU))</f>
        <v>0.0168811168957828</v>
      </c>
      <c r="M405" s="127"/>
    </row>
    <row r="406" customFormat="false" ht="15" hidden="false" customHeight="false" outlineLevel="0" collapsed="false">
      <c r="I406" s="28" t="n">
        <v>3.84</v>
      </c>
      <c r="J406" s="28" t="n">
        <f aca="false">RC_VOUT*(1-EXP(-I406/RT_TAU))</f>
        <v>3.28334981130979</v>
      </c>
      <c r="L406" s="127" t="n">
        <f aca="false">RC_VOUT*(EXP(-I406/RT_TAU))</f>
        <v>0.016650188690208</v>
      </c>
      <c r="M406" s="127"/>
    </row>
    <row r="407" customFormat="false" ht="15" hidden="false" customHeight="false" outlineLevel="0" collapsed="false">
      <c r="I407" s="28" t="n">
        <v>3.85</v>
      </c>
      <c r="J407" s="28" t="n">
        <f aca="false">RC_VOUT*(1-EXP(-I407/RT_TAU))</f>
        <v>3.28357758049239</v>
      </c>
      <c r="L407" s="127" t="n">
        <f aca="false">RC_VOUT*(EXP(-I407/RT_TAU))</f>
        <v>0.016422419507609</v>
      </c>
      <c r="M407" s="127"/>
    </row>
    <row r="408" customFormat="false" ht="15" hidden="false" customHeight="false" outlineLevel="0" collapsed="false">
      <c r="I408" s="28" t="n">
        <v>3.86</v>
      </c>
      <c r="J408" s="28" t="n">
        <f aca="false">RC_VOUT*(1-EXP(-I408/RT_TAU))</f>
        <v>3.28380223386642</v>
      </c>
      <c r="L408" s="127" t="n">
        <f aca="false">RC_VOUT*(EXP(-I408/RT_TAU))</f>
        <v>0.0161977661335757</v>
      </c>
      <c r="M408" s="127"/>
    </row>
    <row r="409" customFormat="false" ht="15" hidden="false" customHeight="false" outlineLevel="0" collapsed="false">
      <c r="I409" s="28" t="n">
        <v>3.87</v>
      </c>
      <c r="J409" s="28" t="n">
        <f aca="false">RC_VOUT*(1-EXP(-I409/RT_TAU))</f>
        <v>3.28402381405514</v>
      </c>
      <c r="L409" s="127" t="n">
        <f aca="false">RC_VOUT*(EXP(-I409/RT_TAU))</f>
        <v>0.0159761859448572</v>
      </c>
      <c r="M409" s="127"/>
    </row>
    <row r="410" customFormat="false" ht="15" hidden="false" customHeight="false" outlineLevel="0" collapsed="false">
      <c r="I410" s="28" t="n">
        <v>3.88</v>
      </c>
      <c r="J410" s="28" t="n">
        <f aca="false">RC_VOUT*(1-EXP(-I410/RT_TAU))</f>
        <v>3.28424236309873</v>
      </c>
      <c r="L410" s="127" t="n">
        <f aca="false">RC_VOUT*(EXP(-I410/RT_TAU))</f>
        <v>0.0157576369012749</v>
      </c>
      <c r="M410" s="127"/>
    </row>
    <row r="411" customFormat="false" ht="15" hidden="false" customHeight="false" outlineLevel="0" collapsed="false">
      <c r="I411" s="28" t="n">
        <v>3.89</v>
      </c>
      <c r="J411" s="28" t="n">
        <f aca="false">RC_VOUT*(1-EXP(-I411/RT_TAU))</f>
        <v>3.28445792246225</v>
      </c>
      <c r="L411" s="127" t="n">
        <f aca="false">RC_VOUT*(EXP(-I411/RT_TAU))</f>
        <v>0.0155420775377461</v>
      </c>
      <c r="M411" s="127"/>
    </row>
    <row r="412" customFormat="false" ht="15" hidden="false" customHeight="false" outlineLevel="0" collapsed="false">
      <c r="I412" s="28" t="n">
        <v>3.9</v>
      </c>
      <c r="J412" s="28" t="n">
        <f aca="false">RC_VOUT*(1-EXP(-I412/RT_TAU))</f>
        <v>3.28467053304358</v>
      </c>
      <c r="L412" s="127" t="n">
        <f aca="false">RC_VOUT*(EXP(-I412/RT_TAU))</f>
        <v>0.0153294669564171</v>
      </c>
      <c r="M412" s="127"/>
    </row>
    <row r="413" customFormat="false" ht="15" hidden="false" customHeight="false" outlineLevel="0" collapsed="false">
      <c r="I413" s="28" t="n">
        <v>3.91</v>
      </c>
      <c r="J413" s="28" t="n">
        <f aca="false">RC_VOUT*(1-EXP(-I413/RT_TAU))</f>
        <v>3.2848802351811</v>
      </c>
      <c r="L413" s="127" t="n">
        <f aca="false">RC_VOUT*(EXP(-I413/RT_TAU))</f>
        <v>0.0151197648189035</v>
      </c>
      <c r="M413" s="127"/>
    </row>
    <row r="414" customFormat="false" ht="15" hidden="false" customHeight="false" outlineLevel="0" collapsed="false">
      <c r="I414" s="28" t="n">
        <v>3.92</v>
      </c>
      <c r="J414" s="28" t="n">
        <f aca="false">RC_VOUT*(1-EXP(-I414/RT_TAU))</f>
        <v>3.28508706866136</v>
      </c>
      <c r="L414" s="127" t="n">
        <f aca="false">RC_VOUT*(EXP(-I414/RT_TAU))</f>
        <v>0.0149129313386369</v>
      </c>
      <c r="M414" s="127"/>
    </row>
    <row r="415" customFormat="false" ht="15" hidden="false" customHeight="false" outlineLevel="0" collapsed="false">
      <c r="I415" s="28" t="n">
        <v>3.93</v>
      </c>
      <c r="J415" s="28" t="n">
        <f aca="false">RC_VOUT*(1-EXP(-I415/RT_TAU))</f>
        <v>3.28529107272668</v>
      </c>
      <c r="L415" s="127" t="n">
        <f aca="false">RC_VOUT*(EXP(-I415/RT_TAU))</f>
        <v>0.0147089272733164</v>
      </c>
      <c r="M415" s="127"/>
    </row>
    <row r="416" customFormat="false" ht="15" hidden="false" customHeight="false" outlineLevel="0" collapsed="false">
      <c r="I416" s="28" t="n">
        <v>3.94</v>
      </c>
      <c r="J416" s="28" t="n">
        <f aca="false">RC_VOUT*(1-EXP(-I416/RT_TAU))</f>
        <v>3.28549228608254</v>
      </c>
      <c r="L416" s="127" t="n">
        <f aca="false">RC_VOUT*(EXP(-I416/RT_TAU))</f>
        <v>0.0145077139174629</v>
      </c>
      <c r="M416" s="127"/>
    </row>
    <row r="417" customFormat="false" ht="15" hidden="false" customHeight="false" outlineLevel="0" collapsed="false">
      <c r="I417" s="28" t="n">
        <v>3.95</v>
      </c>
      <c r="J417" s="28" t="n">
        <f aca="false">RC_VOUT*(1-EXP(-I417/RT_TAU))</f>
        <v>3.28569074690492</v>
      </c>
      <c r="L417" s="127" t="n">
        <f aca="false">RC_VOUT*(EXP(-I417/RT_TAU))</f>
        <v>0.0143092530950757</v>
      </c>
      <c r="M417" s="127"/>
    </row>
    <row r="418" customFormat="false" ht="15" hidden="false" customHeight="false" outlineLevel="0" collapsed="false">
      <c r="I418" s="28" t="n">
        <v>3.96</v>
      </c>
      <c r="J418" s="28" t="n">
        <f aca="false">RC_VOUT*(1-EXP(-I418/RT_TAU))</f>
        <v>3.28588649284761</v>
      </c>
      <c r="L418" s="127" t="n">
        <f aca="false">RC_VOUT*(EXP(-I418/RT_TAU))</f>
        <v>0.0141135071523895</v>
      </c>
      <c r="M418" s="127"/>
    </row>
    <row r="419" customFormat="false" ht="15" hidden="false" customHeight="false" outlineLevel="0" collapsed="false">
      <c r="I419" s="28" t="n">
        <v>3.97</v>
      </c>
      <c r="J419" s="28" t="n">
        <f aca="false">RC_VOUT*(1-EXP(-I419/RT_TAU))</f>
        <v>3.28607956104927</v>
      </c>
      <c r="L419" s="127" t="n">
        <f aca="false">RC_VOUT*(EXP(-I419/RT_TAU))</f>
        <v>0.0139204389507302</v>
      </c>
      <c r="M419" s="127"/>
    </row>
    <row r="420" customFormat="false" ht="15" hidden="false" customHeight="false" outlineLevel="0" collapsed="false">
      <c r="I420" s="28" t="n">
        <v>3.98</v>
      </c>
      <c r="J420" s="28" t="n">
        <f aca="false">RC_VOUT*(1-EXP(-I420/RT_TAU))</f>
        <v>3.28626998814053</v>
      </c>
      <c r="L420" s="127" t="n">
        <f aca="false">RC_VOUT*(EXP(-I420/RT_TAU))</f>
        <v>0.013730011859469</v>
      </c>
      <c r="M420" s="127"/>
    </row>
    <row r="421" customFormat="false" ht="15" hidden="false" customHeight="false" outlineLevel="0" collapsed="false">
      <c r="I421" s="28" t="n">
        <v>3.99</v>
      </c>
      <c r="J421" s="28" t="n">
        <f aca="false">RC_VOUT*(1-EXP(-I421/RT_TAU))</f>
        <v>3.28645781025093</v>
      </c>
      <c r="L421" s="127" t="n">
        <f aca="false">RC_VOUT*(EXP(-I421/RT_TAU))</f>
        <v>0.0135421897490718</v>
      </c>
      <c r="M421" s="127"/>
    </row>
    <row r="422" customFormat="false" ht="15" hidden="false" customHeight="false" outlineLevel="0" collapsed="false">
      <c r="I422" s="28" t="n">
        <v>4</v>
      </c>
      <c r="J422" s="28" t="n">
        <f aca="false">RC_VOUT*(1-EXP(-I422/RT_TAU))</f>
        <v>3.28664306301575</v>
      </c>
      <c r="L422" s="127" t="n">
        <f aca="false">RC_VOUT*(EXP(-I422/RT_TAU))</f>
        <v>0.0133569369842452</v>
      </c>
      <c r="M422" s="127"/>
    </row>
    <row r="423" customFormat="false" ht="15" hidden="false" customHeight="false" outlineLevel="0" collapsed="false">
      <c r="I423" s="28" t="n">
        <v>4.01</v>
      </c>
      <c r="J423" s="28" t="n">
        <f aca="false">RC_VOUT*(1-EXP(-I423/RT_TAU))</f>
        <v>3.28682578158283</v>
      </c>
      <c r="L423" s="127" t="n">
        <f aca="false">RC_VOUT*(EXP(-I423/RT_TAU))</f>
        <v>0.0131742184171747</v>
      </c>
      <c r="M423" s="127"/>
    </row>
    <row r="424" customFormat="false" ht="15" hidden="false" customHeight="false" outlineLevel="0" collapsed="false">
      <c r="I424" s="28" t="n">
        <v>4.02</v>
      </c>
      <c r="J424" s="28" t="n">
        <f aca="false">RC_VOUT*(1-EXP(-I424/RT_TAU))</f>
        <v>3.28700600061914</v>
      </c>
      <c r="L424" s="127" t="n">
        <f aca="false">RC_VOUT*(EXP(-I424/RT_TAU))</f>
        <v>0.0129939993808568</v>
      </c>
      <c r="M424" s="127"/>
    </row>
    <row r="425" customFormat="false" ht="15" hidden="false" customHeight="false" outlineLevel="0" collapsed="false">
      <c r="I425" s="28" t="n">
        <v>4.03</v>
      </c>
      <c r="J425" s="28" t="n">
        <f aca="false">RC_VOUT*(1-EXP(-I425/RT_TAU))</f>
        <v>3.28718375431748</v>
      </c>
      <c r="L425" s="127" t="n">
        <f aca="false">RC_VOUT*(EXP(-I425/RT_TAU))</f>
        <v>0.0128162456825212</v>
      </c>
      <c r="M425" s="127"/>
    </row>
    <row r="426" customFormat="false" ht="15" hidden="false" customHeight="false" outlineLevel="0" collapsed="false">
      <c r="I426" s="28" t="n">
        <v>4.04</v>
      </c>
      <c r="J426" s="28" t="n">
        <f aca="false">RC_VOUT*(1-EXP(-I426/RT_TAU))</f>
        <v>3.28735907640286</v>
      </c>
      <c r="L426" s="127" t="n">
        <f aca="false">RC_VOUT*(EXP(-I426/RT_TAU))</f>
        <v>0.0126409235971437</v>
      </c>
      <c r="M426" s="127"/>
    </row>
    <row r="427" customFormat="false" ht="15" hidden="false" customHeight="false" outlineLevel="0" collapsed="false">
      <c r="I427" s="28" t="n">
        <v>4.05</v>
      </c>
      <c r="J427" s="28" t="n">
        <f aca="false">RC_VOUT*(1-EXP(-I427/RT_TAU))</f>
        <v>3.28753200013895</v>
      </c>
      <c r="L427" s="127" t="n">
        <f aca="false">RC_VOUT*(EXP(-I427/RT_TAU))</f>
        <v>0.0124679998610475</v>
      </c>
      <c r="M427" s="127"/>
    </row>
    <row r="428" customFormat="false" ht="15" hidden="false" customHeight="false" outlineLevel="0" collapsed="false">
      <c r="I428" s="28" t="n">
        <v>4.06</v>
      </c>
      <c r="J428" s="28" t="n">
        <f aca="false">RC_VOUT*(1-EXP(-I428/RT_TAU))</f>
        <v>3.28770255833441</v>
      </c>
      <c r="L428" s="127" t="n">
        <f aca="false">RC_VOUT*(EXP(-I428/RT_TAU))</f>
        <v>0.012297441665592</v>
      </c>
      <c r="M428" s="127"/>
    </row>
    <row r="429" customFormat="false" ht="15" hidden="false" customHeight="false" outlineLevel="0" collapsed="false">
      <c r="I429" s="28" t="n">
        <v>4.07</v>
      </c>
      <c r="J429" s="28" t="n">
        <f aca="false">RC_VOUT*(1-EXP(-I429/RT_TAU))</f>
        <v>3.28787078334905</v>
      </c>
      <c r="L429" s="127" t="n">
        <f aca="false">RC_VOUT*(EXP(-I429/RT_TAU))</f>
        <v>0.0121292166509482</v>
      </c>
      <c r="M429" s="127"/>
    </row>
    <row r="430" customFormat="false" ht="15" hidden="false" customHeight="false" outlineLevel="0" collapsed="false">
      <c r="I430" s="28" t="n">
        <v>4.08</v>
      </c>
      <c r="J430" s="28" t="n">
        <f aca="false">RC_VOUT*(1-EXP(-I430/RT_TAU))</f>
        <v>3.28803670710004</v>
      </c>
      <c r="L430" s="127" t="n">
        <f aca="false">RC_VOUT*(EXP(-I430/RT_TAU))</f>
        <v>0.0119632928999593</v>
      </c>
      <c r="M430" s="127"/>
    </row>
    <row r="431" customFormat="false" ht="15" hidden="false" customHeight="false" outlineLevel="0" collapsed="false">
      <c r="I431" s="28" t="n">
        <v>4.09</v>
      </c>
      <c r="J431" s="28" t="n">
        <f aca="false">RC_VOUT*(1-EXP(-I431/RT_TAU))</f>
        <v>3.28820036106792</v>
      </c>
      <c r="L431" s="127" t="n">
        <f aca="false">RC_VOUT*(EXP(-I431/RT_TAU))</f>
        <v>0.0117996389320845</v>
      </c>
      <c r="M431" s="127"/>
    </row>
    <row r="432" customFormat="false" ht="15" hidden="false" customHeight="false" outlineLevel="0" collapsed="false">
      <c r="I432" s="28" t="n">
        <v>4.1</v>
      </c>
      <c r="J432" s="28" t="n">
        <f aca="false">RC_VOUT*(1-EXP(-I432/RT_TAU))</f>
        <v>3.28836177630257</v>
      </c>
      <c r="L432" s="127" t="n">
        <f aca="false">RC_VOUT*(EXP(-I432/RT_TAU))</f>
        <v>0.0116382236974269</v>
      </c>
      <c r="M432" s="127"/>
    </row>
    <row r="433" customFormat="false" ht="15" hidden="false" customHeight="false" outlineLevel="0" collapsed="false">
      <c r="I433" s="28" t="n">
        <v>4.11</v>
      </c>
      <c r="J433" s="28" t="n">
        <f aca="false">RC_VOUT*(1-EXP(-I433/RT_TAU))</f>
        <v>3.28852098342916</v>
      </c>
      <c r="L433" s="127" t="n">
        <f aca="false">RC_VOUT*(EXP(-I433/RT_TAU))</f>
        <v>0.0114790165708418</v>
      </c>
      <c r="M433" s="127"/>
    </row>
    <row r="434" customFormat="false" ht="15" hidden="false" customHeight="false" outlineLevel="0" collapsed="false">
      <c r="I434" s="28" t="n">
        <v>4.12</v>
      </c>
      <c r="J434" s="28" t="n">
        <f aca="false">RC_VOUT*(1-EXP(-I434/RT_TAU))</f>
        <v>3.28867801265387</v>
      </c>
      <c r="L434" s="127" t="n">
        <f aca="false">RC_VOUT*(EXP(-I434/RT_TAU))</f>
        <v>0.0113219873461268</v>
      </c>
      <c r="M434" s="127"/>
    </row>
    <row r="435" customFormat="false" ht="15" hidden="false" customHeight="false" outlineLevel="0" collapsed="false">
      <c r="I435" s="28" t="n">
        <v>4.13</v>
      </c>
      <c r="J435" s="28" t="n">
        <f aca="false">RC_VOUT*(1-EXP(-I435/RT_TAU))</f>
        <v>3.28883289376971</v>
      </c>
      <c r="L435" s="127" t="n">
        <f aca="false">RC_VOUT*(EXP(-I435/RT_TAU))</f>
        <v>0.0111671062302906</v>
      </c>
      <c r="M435" s="127"/>
    </row>
    <row r="436" customFormat="false" ht="15" hidden="false" customHeight="false" outlineLevel="0" collapsed="false">
      <c r="I436" s="28" t="n">
        <v>4.14</v>
      </c>
      <c r="J436" s="28" t="n">
        <f aca="false">RC_VOUT*(1-EXP(-I436/RT_TAU))</f>
        <v>3.2889856561621</v>
      </c>
      <c r="L436" s="127" t="n">
        <f aca="false">RC_VOUT*(EXP(-I436/RT_TAU))</f>
        <v>0.0110143438379001</v>
      </c>
      <c r="M436" s="127"/>
    </row>
    <row r="437" customFormat="false" ht="15" hidden="false" customHeight="false" outlineLevel="0" collapsed="false">
      <c r="I437" s="28" t="n">
        <v>4.15</v>
      </c>
      <c r="J437" s="28" t="n">
        <f aca="false">RC_VOUT*(1-EXP(-I437/RT_TAU))</f>
        <v>3.28913632881449</v>
      </c>
      <c r="L437" s="127" t="n">
        <f aca="false">RC_VOUT*(EXP(-I437/RT_TAU))</f>
        <v>0.0108636711855055</v>
      </c>
      <c r="M437" s="127"/>
    </row>
    <row r="438" customFormat="false" ht="15" hidden="false" customHeight="false" outlineLevel="0" collapsed="false">
      <c r="I438" s="28" t="n">
        <v>4.16</v>
      </c>
      <c r="J438" s="28" t="n">
        <f aca="false">RC_VOUT*(1-EXP(-I438/RT_TAU))</f>
        <v>3.28928494031386</v>
      </c>
      <c r="L438" s="127" t="n">
        <f aca="false">RC_VOUT*(EXP(-I438/RT_TAU))</f>
        <v>0.0107150596861414</v>
      </c>
      <c r="M438" s="127"/>
    </row>
    <row r="439" customFormat="false" ht="15" hidden="false" customHeight="false" outlineLevel="0" collapsed="false">
      <c r="I439" s="28" t="n">
        <v>4.17</v>
      </c>
      <c r="J439" s="28" t="n">
        <f aca="false">RC_VOUT*(1-EXP(-I439/RT_TAU))</f>
        <v>3.2894315188561</v>
      </c>
      <c r="L439" s="127" t="n">
        <f aca="false">RC_VOUT*(EXP(-I439/RT_TAU))</f>
        <v>0.0105684811439026</v>
      </c>
      <c r="M439" s="127"/>
    </row>
    <row r="440" customFormat="false" ht="15" hidden="false" customHeight="false" outlineLevel="0" collapsed="false">
      <c r="I440" s="28" t="n">
        <v>4.18</v>
      </c>
      <c r="J440" s="28" t="n">
        <f aca="false">RC_VOUT*(1-EXP(-I440/RT_TAU))</f>
        <v>3.28957609225141</v>
      </c>
      <c r="L440" s="127" t="n">
        <f aca="false">RC_VOUT*(EXP(-I440/RT_TAU))</f>
        <v>0.0104239077485948</v>
      </c>
      <c r="M440" s="127"/>
    </row>
    <row r="441" customFormat="false" ht="15" hidden="false" customHeight="false" outlineLevel="0" collapsed="false">
      <c r="I441" s="28" t="n">
        <v>4.19</v>
      </c>
      <c r="J441" s="28" t="n">
        <f aca="false">RC_VOUT*(1-EXP(-I441/RT_TAU))</f>
        <v>3.28971868792954</v>
      </c>
      <c r="L441" s="127" t="n">
        <f aca="false">RC_VOUT*(EXP(-I441/RT_TAU))</f>
        <v>0.010281312070458</v>
      </c>
      <c r="M441" s="127"/>
    </row>
    <row r="442" customFormat="false" ht="15" hidden="false" customHeight="false" outlineLevel="0" collapsed="false">
      <c r="I442" s="28" t="n">
        <v>4.2</v>
      </c>
      <c r="J442" s="28" t="n">
        <f aca="false">RC_VOUT*(1-EXP(-I442/RT_TAU))</f>
        <v>3.28985933294504</v>
      </c>
      <c r="L442" s="127" t="n">
        <f aca="false">RC_VOUT*(EXP(-I442/RT_TAU))</f>
        <v>0.0101406670549627</v>
      </c>
      <c r="M442" s="127"/>
    </row>
    <row r="443" customFormat="false" ht="15" hidden="false" customHeight="false" outlineLevel="0" collapsed="false">
      <c r="I443" s="28" t="n">
        <v>4.21</v>
      </c>
      <c r="J443" s="28" t="n">
        <f aca="false">RC_VOUT*(1-EXP(-I443/RT_TAU))</f>
        <v>3.28999805398232</v>
      </c>
      <c r="L443" s="127" t="n">
        <f aca="false">RC_VOUT*(EXP(-I443/RT_TAU))</f>
        <v>0.0100019460176765</v>
      </c>
      <c r="M443" s="127"/>
    </row>
    <row r="444" customFormat="false" ht="15" hidden="false" customHeight="false" outlineLevel="0" collapsed="false">
      <c r="I444" s="28" t="n">
        <v>4.22</v>
      </c>
      <c r="J444" s="28" t="n">
        <f aca="false">RC_VOUT*(1-EXP(-I444/RT_TAU))</f>
        <v>3.2901348773608</v>
      </c>
      <c r="L444" s="127" t="n">
        <f aca="false">RC_VOUT*(EXP(-I444/RT_TAU))</f>
        <v>0.00986512263920119</v>
      </c>
      <c r="M444" s="127"/>
    </row>
    <row r="445" customFormat="false" ht="15" hidden="false" customHeight="false" outlineLevel="0" collapsed="false">
      <c r="I445" s="28" t="n">
        <v>4.23</v>
      </c>
      <c r="J445" s="28" t="n">
        <f aca="false">RC_VOUT*(1-EXP(-I445/RT_TAU))</f>
        <v>3.29026982903982</v>
      </c>
      <c r="L445" s="127" t="n">
        <f aca="false">RC_VOUT*(EXP(-I445/RT_TAU))</f>
        <v>0.00973017096017959</v>
      </c>
      <c r="M445" s="127"/>
    </row>
    <row r="446" customFormat="false" ht="15" hidden="false" customHeight="false" outlineLevel="0" collapsed="false">
      <c r="I446" s="28" t="n">
        <v>4.24</v>
      </c>
      <c r="J446" s="28" t="n">
        <f aca="false">RC_VOUT*(1-EXP(-I446/RT_TAU))</f>
        <v>3.29040293462363</v>
      </c>
      <c r="L446" s="127" t="n">
        <f aca="false">RC_VOUT*(EXP(-I446/RT_TAU))</f>
        <v>0.00959706537637008</v>
      </c>
      <c r="M446" s="127"/>
    </row>
    <row r="447" customFormat="false" ht="15" hidden="false" customHeight="false" outlineLevel="0" collapsed="false">
      <c r="I447" s="28" t="n">
        <v>4.25</v>
      </c>
      <c r="J447" s="28" t="n">
        <f aca="false">RC_VOUT*(1-EXP(-I447/RT_TAU))</f>
        <v>3.29053421936621</v>
      </c>
      <c r="L447" s="127" t="n">
        <f aca="false">RC_VOUT*(EXP(-I447/RT_TAU))</f>
        <v>0.00946578063378872</v>
      </c>
      <c r="M447" s="127"/>
    </row>
    <row r="448" customFormat="false" ht="15" hidden="false" customHeight="false" outlineLevel="0" collapsed="false">
      <c r="I448" s="28" t="n">
        <v>4.26</v>
      </c>
      <c r="J448" s="28" t="n">
        <f aca="false">RC_VOUT*(1-EXP(-I448/RT_TAU))</f>
        <v>3.29066370817608</v>
      </c>
      <c r="L448" s="127" t="n">
        <f aca="false">RC_VOUT*(EXP(-I448/RT_TAU))</f>
        <v>0.0093362918239179</v>
      </c>
      <c r="M448" s="127"/>
    </row>
    <row r="449" customFormat="false" ht="15" hidden="false" customHeight="false" outlineLevel="0" collapsed="false">
      <c r="I449" s="28" t="n">
        <v>4.27</v>
      </c>
      <c r="J449" s="28" t="n">
        <f aca="false">RC_VOUT*(1-EXP(-I449/RT_TAU))</f>
        <v>3.29079142562102</v>
      </c>
      <c r="L449" s="127" t="n">
        <f aca="false">RC_VOUT*(EXP(-I449/RT_TAU))</f>
        <v>0.00920857437898046</v>
      </c>
      <c r="M449" s="127"/>
    </row>
    <row r="450" customFormat="false" ht="15" hidden="false" customHeight="false" outlineLevel="0" collapsed="false">
      <c r="I450" s="28" t="n">
        <v>4.28</v>
      </c>
      <c r="J450" s="28" t="n">
        <f aca="false">RC_VOUT*(1-EXP(-I450/RT_TAU))</f>
        <v>3.29091739593272</v>
      </c>
      <c r="L450" s="127" t="n">
        <f aca="false">RC_VOUT*(EXP(-I450/RT_TAU))</f>
        <v>0.00908260406727846</v>
      </c>
      <c r="M450" s="127"/>
    </row>
    <row r="451" customFormat="false" ht="15" hidden="false" customHeight="false" outlineLevel="0" collapsed="false">
      <c r="I451" s="28" t="n">
        <v>4.29</v>
      </c>
      <c r="J451" s="28" t="n">
        <f aca="false">RC_VOUT*(1-EXP(-I451/RT_TAU))</f>
        <v>3.2910416430114</v>
      </c>
      <c r="L451" s="127" t="n">
        <f aca="false">RC_VOUT*(EXP(-I451/RT_TAU))</f>
        <v>0.00895835698859574</v>
      </c>
      <c r="M451" s="127"/>
    </row>
    <row r="452" customFormat="false" ht="15" hidden="false" customHeight="false" outlineLevel="0" collapsed="false">
      <c r="I452" s="28" t="n">
        <v>4.3</v>
      </c>
      <c r="J452" s="28" t="n">
        <f aca="false">RC_VOUT*(1-EXP(-I452/RT_TAU))</f>
        <v>3.29116419043034</v>
      </c>
      <c r="L452" s="127" t="n">
        <f aca="false">RC_VOUT*(EXP(-I452/RT_TAU))</f>
        <v>0.00883580956966334</v>
      </c>
      <c r="M452" s="127"/>
    </row>
    <row r="453" customFormat="false" ht="15" hidden="false" customHeight="false" outlineLevel="0" collapsed="false">
      <c r="I453" s="28" t="n">
        <v>4.31</v>
      </c>
      <c r="J453" s="28" t="n">
        <f aca="false">RC_VOUT*(1-EXP(-I453/RT_TAU))</f>
        <v>3.29128506144031</v>
      </c>
      <c r="L453" s="127" t="n">
        <f aca="false">RC_VOUT*(EXP(-I453/RT_TAU))</f>
        <v>0.00871493855968696</v>
      </c>
      <c r="M453" s="127"/>
    </row>
    <row r="454" customFormat="false" ht="15" hidden="false" customHeight="false" outlineLevel="0" collapsed="false">
      <c r="I454" s="28" t="n">
        <v>4.32</v>
      </c>
      <c r="J454" s="28" t="n">
        <f aca="false">RC_VOUT*(1-EXP(-I454/RT_TAU))</f>
        <v>3.29140427897406</v>
      </c>
      <c r="L454" s="127" t="n">
        <f aca="false">RC_VOUT*(EXP(-I454/RT_TAU))</f>
        <v>0.00859572102593564</v>
      </c>
      <c r="M454" s="127"/>
    </row>
    <row r="455" customFormat="false" ht="15" hidden="false" customHeight="false" outlineLevel="0" collapsed="false">
      <c r="I455" s="28" t="n">
        <v>4.33</v>
      </c>
      <c r="J455" s="28" t="n">
        <f aca="false">RC_VOUT*(1-EXP(-I455/RT_TAU))</f>
        <v>3.29152186565061</v>
      </c>
      <c r="L455" s="127" t="n">
        <f aca="false">RC_VOUT*(EXP(-I455/RT_TAU))</f>
        <v>0.00847813434939078</v>
      </c>
      <c r="M455" s="127"/>
    </row>
    <row r="456" customFormat="false" ht="15" hidden="false" customHeight="false" outlineLevel="0" collapsed="false">
      <c r="I456" s="28" t="n">
        <v>4.34</v>
      </c>
      <c r="J456" s="28" t="n">
        <f aca="false">RC_VOUT*(1-EXP(-I456/RT_TAU))</f>
        <v>3.29163784377955</v>
      </c>
      <c r="L456" s="127" t="n">
        <f aca="false">RC_VOUT*(EXP(-I456/RT_TAU))</f>
        <v>0.00836215622045456</v>
      </c>
      <c r="M456" s="127"/>
    </row>
    <row r="457" customFormat="false" ht="15" hidden="false" customHeight="false" outlineLevel="0" collapsed="false">
      <c r="I457" s="28" t="n">
        <v>4.35</v>
      </c>
      <c r="J457" s="28" t="n">
        <f aca="false">RC_VOUT*(1-EXP(-I457/RT_TAU))</f>
        <v>3.29175223536528</v>
      </c>
      <c r="L457" s="127" t="n">
        <f aca="false">RC_VOUT*(EXP(-I457/RT_TAU))</f>
        <v>0.00824776463471726</v>
      </c>
      <c r="M457" s="127"/>
    </row>
    <row r="458" customFormat="false" ht="15" hidden="false" customHeight="false" outlineLevel="0" collapsed="false">
      <c r="I458" s="28" t="n">
        <v>4.36</v>
      </c>
      <c r="J458" s="28" t="n">
        <f aca="false">RC_VOUT*(1-EXP(-I458/RT_TAU))</f>
        <v>3.29186506211122</v>
      </c>
      <c r="L458" s="127" t="n">
        <f aca="false">RC_VOUT*(EXP(-I458/RT_TAU))</f>
        <v>0.00813493788878233</v>
      </c>
      <c r="M458" s="127"/>
    </row>
    <row r="459" customFormat="false" ht="15" hidden="false" customHeight="false" outlineLevel="0" collapsed="false">
      <c r="I459" s="28" t="n">
        <v>4.37</v>
      </c>
      <c r="J459" s="28" t="n">
        <f aca="false">RC_VOUT*(1-EXP(-I459/RT_TAU))</f>
        <v>3.29197634542385</v>
      </c>
      <c r="L459" s="127" t="n">
        <f aca="false">RC_VOUT*(EXP(-I459/RT_TAU))</f>
        <v>0.00802365457614869</v>
      </c>
      <c r="M459" s="127"/>
    </row>
    <row r="460" customFormat="false" ht="15" hidden="false" customHeight="false" outlineLevel="0" collapsed="false">
      <c r="I460" s="28" t="n">
        <v>4.38</v>
      </c>
      <c r="J460" s="28" t="n">
        <f aca="false">RC_VOUT*(1-EXP(-I460/RT_TAU))</f>
        <v>3.29208610641685</v>
      </c>
      <c r="L460" s="127" t="n">
        <f aca="false">RC_VOUT*(EXP(-I460/RT_TAU))</f>
        <v>0.0079138935831492</v>
      </c>
      <c r="M460" s="127"/>
    </row>
    <row r="461" customFormat="false" ht="15" hidden="false" customHeight="false" outlineLevel="0" collapsed="false">
      <c r="I461" s="28" t="n">
        <v>4.39</v>
      </c>
      <c r="J461" s="28" t="n">
        <f aca="false">RC_VOUT*(1-EXP(-I461/RT_TAU))</f>
        <v>3.29219436591506</v>
      </c>
      <c r="L461" s="127" t="n">
        <f aca="false">RC_VOUT*(EXP(-I461/RT_TAU))</f>
        <v>0.00780563408494486</v>
      </c>
      <c r="M461" s="127"/>
    </row>
    <row r="462" customFormat="false" ht="15" hidden="false" customHeight="false" outlineLevel="0" collapsed="false">
      <c r="I462" s="28" t="n">
        <v>4.4</v>
      </c>
      <c r="J462" s="28" t="n">
        <f aca="false">RC_VOUT*(1-EXP(-I462/RT_TAU))</f>
        <v>3.29230114445843</v>
      </c>
      <c r="L462" s="127" t="n">
        <f aca="false">RC_VOUT*(EXP(-I462/RT_TAU))</f>
        <v>0.00769885554157372</v>
      </c>
      <c r="M462" s="127"/>
    </row>
    <row r="463" customFormat="false" ht="15" hidden="false" customHeight="false" outlineLevel="0" collapsed="false">
      <c r="I463" s="28" t="n">
        <v>4.41</v>
      </c>
      <c r="J463" s="28" t="n">
        <f aca="false">RC_VOUT*(1-EXP(-I463/RT_TAU))</f>
        <v>3.29240646230595</v>
      </c>
      <c r="L463" s="127" t="n">
        <f aca="false">RC_VOUT*(EXP(-I463/RT_TAU))</f>
        <v>0.00759353769405387</v>
      </c>
      <c r="M463" s="127"/>
    </row>
    <row r="464" customFormat="false" ht="15" hidden="false" customHeight="false" outlineLevel="0" collapsed="false">
      <c r="I464" s="28" t="n">
        <v>4.42</v>
      </c>
      <c r="J464" s="28" t="n">
        <f aca="false">RC_VOUT*(1-EXP(-I464/RT_TAU))</f>
        <v>3.29251033943946</v>
      </c>
      <c r="L464" s="127" t="n">
        <f aca="false">RC_VOUT*(EXP(-I464/RT_TAU))</f>
        <v>0.00748966056053967</v>
      </c>
      <c r="M464" s="127"/>
    </row>
    <row r="465" customFormat="false" ht="15" hidden="false" customHeight="false" outlineLevel="0" collapsed="false">
      <c r="I465" s="28" t="n">
        <v>4.43</v>
      </c>
      <c r="J465" s="28" t="n">
        <f aca="false">RC_VOUT*(1-EXP(-I465/RT_TAU))</f>
        <v>3.29261279556747</v>
      </c>
      <c r="L465" s="127" t="n">
        <f aca="false">RC_VOUT*(EXP(-I465/RT_TAU))</f>
        <v>0.00738720443253066</v>
      </c>
      <c r="M465" s="127"/>
    </row>
    <row r="466" customFormat="false" ht="15" hidden="false" customHeight="false" outlineLevel="0" collapsed="false">
      <c r="I466" s="28" t="n">
        <v>4.44</v>
      </c>
      <c r="J466" s="28" t="n">
        <f aca="false">RC_VOUT*(1-EXP(-I466/RT_TAU))</f>
        <v>3.29271385012887</v>
      </c>
      <c r="L466" s="127" t="n">
        <f aca="false">RC_VOUT*(EXP(-I466/RT_TAU))</f>
        <v>0.00728614987113227</v>
      </c>
      <c r="M466" s="127"/>
    </row>
    <row r="467" customFormat="false" ht="15" hidden="false" customHeight="false" outlineLevel="0" collapsed="false">
      <c r="I467" s="28" t="n">
        <v>4.45</v>
      </c>
      <c r="J467" s="28" t="n">
        <f aca="false">RC_VOUT*(1-EXP(-I467/RT_TAU))</f>
        <v>3.29281352229663</v>
      </c>
      <c r="L467" s="127" t="n">
        <f aca="false">RC_VOUT*(EXP(-I467/RT_TAU))</f>
        <v>0.00718647770336773</v>
      </c>
      <c r="M467" s="127"/>
    </row>
    <row r="468" customFormat="false" ht="15" hidden="false" customHeight="false" outlineLevel="0" collapsed="false">
      <c r="I468" s="28" t="n">
        <v>4.46</v>
      </c>
      <c r="J468" s="28" t="n">
        <f aca="false">RC_VOUT*(1-EXP(-I468/RT_TAU))</f>
        <v>3.29291183098146</v>
      </c>
      <c r="L468" s="127" t="n">
        <f aca="false">RC_VOUT*(EXP(-I468/RT_TAU))</f>
        <v>0.00708816901854035</v>
      </c>
      <c r="M468" s="127"/>
    </row>
    <row r="469" customFormat="false" ht="15" hidden="false" customHeight="false" outlineLevel="0" collapsed="false">
      <c r="I469" s="28" t="n">
        <v>4.47</v>
      </c>
      <c r="J469" s="28" t="n">
        <f aca="false">RC_VOUT*(1-EXP(-I469/RT_TAU))</f>
        <v>3.29300879483535</v>
      </c>
      <c r="L469" s="127" t="n">
        <f aca="false">RC_VOUT*(EXP(-I469/RT_TAU))</f>
        <v>0.00699120516464565</v>
      </c>
      <c r="M469" s="127"/>
    </row>
    <row r="470" customFormat="false" ht="15" hidden="false" customHeight="false" outlineLevel="0" collapsed="false">
      <c r="I470" s="28" t="n">
        <v>4.48</v>
      </c>
      <c r="J470" s="28" t="n">
        <f aca="false">RC_VOUT*(1-EXP(-I470/RT_TAU))</f>
        <v>3.29310443225517</v>
      </c>
      <c r="L470" s="127" t="n">
        <f aca="false">RC_VOUT*(EXP(-I470/RT_TAU))</f>
        <v>0.00689556774483251</v>
      </c>
      <c r="M470" s="127"/>
    </row>
    <row r="471" customFormat="false" ht="15" hidden="false" customHeight="false" outlineLevel="0" collapsed="false">
      <c r="I471" s="28" t="n">
        <v>4.49</v>
      </c>
      <c r="J471" s="28" t="n">
        <f aca="false">RC_VOUT*(1-EXP(-I471/RT_TAU))</f>
        <v>3.29319876138609</v>
      </c>
      <c r="L471" s="127" t="n">
        <f aca="false">RC_VOUT*(EXP(-I471/RT_TAU))</f>
        <v>0.0068012386139128</v>
      </c>
      <c r="M471" s="127"/>
    </row>
    <row r="472" customFormat="false" ht="15" hidden="false" customHeight="false" outlineLevel="0" collapsed="false">
      <c r="I472" s="28" t="n">
        <v>4.5</v>
      </c>
      <c r="J472" s="28" t="n">
        <f aca="false">RC_VOUT*(1-EXP(-I472/RT_TAU))</f>
        <v>3.29329180012508</v>
      </c>
      <c r="L472" s="127" t="n">
        <f aca="false">RC_VOUT*(EXP(-I472/RT_TAU))</f>
        <v>0.00670819987491864</v>
      </c>
      <c r="M472" s="127"/>
    </row>
    <row r="473" customFormat="false" ht="15" hidden="false" customHeight="false" outlineLevel="0" collapsed="false">
      <c r="I473" s="28" t="n">
        <v>4.51</v>
      </c>
      <c r="J473" s="28" t="n">
        <f aca="false">RC_VOUT*(1-EXP(-I473/RT_TAU))</f>
        <v>3.29338356612429</v>
      </c>
      <c r="L473" s="127" t="n">
        <f aca="false">RC_VOUT*(EXP(-I473/RT_TAU))</f>
        <v>0.0066164338757069</v>
      </c>
      <c r="M473" s="127"/>
    </row>
    <row r="474" customFormat="false" ht="15" hidden="false" customHeight="false" outlineLevel="0" collapsed="false">
      <c r="I474" s="28" t="n">
        <v>4.52</v>
      </c>
      <c r="J474" s="28" t="n">
        <f aca="false">RC_VOUT*(1-EXP(-I474/RT_TAU))</f>
        <v>3.29347407679439</v>
      </c>
      <c r="L474" s="127" t="n">
        <f aca="false">RC_VOUT*(EXP(-I474/RT_TAU))</f>
        <v>0.00652592320561003</v>
      </c>
      <c r="M474" s="127"/>
    </row>
    <row r="475" customFormat="false" ht="15" hidden="false" customHeight="false" outlineLevel="0" collapsed="false">
      <c r="I475" s="28" t="n">
        <v>4.53</v>
      </c>
      <c r="J475" s="28" t="n">
        <f aca="false">RC_VOUT*(1-EXP(-I475/RT_TAU))</f>
        <v>3.29356334930787</v>
      </c>
      <c r="L475" s="127" t="n">
        <f aca="false">RC_VOUT*(EXP(-I475/RT_TAU))</f>
        <v>0.00643665069213275</v>
      </c>
      <c r="M475" s="127"/>
    </row>
    <row r="476" customFormat="false" ht="15" hidden="false" customHeight="false" outlineLevel="0" collapsed="false">
      <c r="I476" s="28" t="n">
        <v>4.54</v>
      </c>
      <c r="J476" s="28" t="n">
        <f aca="false">RC_VOUT*(1-EXP(-I476/RT_TAU))</f>
        <v>3.29365140060231</v>
      </c>
      <c r="L476" s="127" t="n">
        <f aca="false">RC_VOUT*(EXP(-I476/RT_TAU))</f>
        <v>0.00634859939769399</v>
      </c>
      <c r="M476" s="127"/>
    </row>
    <row r="477" customFormat="false" ht="15" hidden="false" customHeight="false" outlineLevel="0" collapsed="false">
      <c r="I477" s="28" t="n">
        <v>4.55</v>
      </c>
      <c r="J477" s="28" t="n">
        <f aca="false">RC_VOUT*(1-EXP(-I477/RT_TAU))</f>
        <v>3.29373824738359</v>
      </c>
      <c r="L477" s="127" t="n">
        <f aca="false">RC_VOUT*(EXP(-I477/RT_TAU))</f>
        <v>0.00626175261641326</v>
      </c>
      <c r="M477" s="127"/>
    </row>
    <row r="478" customFormat="false" ht="15" hidden="false" customHeight="false" outlineLevel="0" collapsed="false">
      <c r="I478" s="28" t="n">
        <v>4.56</v>
      </c>
      <c r="J478" s="28" t="n">
        <f aca="false">RC_VOUT*(1-EXP(-I478/RT_TAU))</f>
        <v>3.29382390612906</v>
      </c>
      <c r="L478" s="127" t="n">
        <f aca="false">RC_VOUT*(EXP(-I478/RT_TAU))</f>
        <v>0.00617609387094112</v>
      </c>
      <c r="M478" s="127"/>
    </row>
    <row r="479" customFormat="false" ht="15" hidden="false" customHeight="false" outlineLevel="0" collapsed="false">
      <c r="I479" s="28" t="n">
        <v>4.57</v>
      </c>
      <c r="J479" s="28" t="n">
        <f aca="false">RC_VOUT*(1-EXP(-I479/RT_TAU))</f>
        <v>3.29390839309067</v>
      </c>
      <c r="L479" s="127" t="n">
        <f aca="false">RC_VOUT*(EXP(-I479/RT_TAU))</f>
        <v>0.00609160690933291</v>
      </c>
      <c r="M479" s="127"/>
    </row>
    <row r="480" customFormat="false" ht="15" hidden="false" customHeight="false" outlineLevel="0" collapsed="false">
      <c r="I480" s="28" t="n">
        <v>4.58</v>
      </c>
      <c r="J480" s="28" t="n">
        <f aca="false">RC_VOUT*(1-EXP(-I480/RT_TAU))</f>
        <v>3.29399172429803</v>
      </c>
      <c r="L480" s="127" t="n">
        <f aca="false">RC_VOUT*(EXP(-I480/RT_TAU))</f>
        <v>0.00600827570196532</v>
      </c>
      <c r="M480" s="127"/>
    </row>
    <row r="481" customFormat="false" ht="15" hidden="false" customHeight="false" outlineLevel="0" collapsed="false">
      <c r="I481" s="28" t="n">
        <v>4.59</v>
      </c>
      <c r="J481" s="28" t="n">
        <f aca="false">RC_VOUT*(1-EXP(-I481/RT_TAU))</f>
        <v>3.29407391556151</v>
      </c>
      <c r="L481" s="127" t="n">
        <f aca="false">RC_VOUT*(EXP(-I481/RT_TAU))</f>
        <v>0.00592608443849508</v>
      </c>
      <c r="M481" s="127"/>
    </row>
    <row r="482" customFormat="false" ht="15" hidden="false" customHeight="false" outlineLevel="0" collapsed="false">
      <c r="I482" s="28" t="n">
        <v>4.6</v>
      </c>
      <c r="J482" s="28" t="n">
        <f aca="false">RC_VOUT*(1-EXP(-I482/RT_TAU))</f>
        <v>3.29415498247514</v>
      </c>
      <c r="L482" s="127" t="n">
        <f aca="false">RC_VOUT*(EXP(-I482/RT_TAU))</f>
        <v>0.00584501752485929</v>
      </c>
      <c r="M482" s="127"/>
    </row>
    <row r="483" customFormat="false" ht="15" hidden="false" customHeight="false" outlineLevel="0" collapsed="false">
      <c r="I483" s="28" t="n">
        <v>4.61</v>
      </c>
      <c r="J483" s="28" t="n">
        <f aca="false">RC_VOUT*(1-EXP(-I483/RT_TAU))</f>
        <v>3.29423494041968</v>
      </c>
      <c r="L483" s="127" t="n">
        <f aca="false">RC_VOUT*(EXP(-I483/RT_TAU))</f>
        <v>0.00576505958031677</v>
      </c>
      <c r="M483" s="127"/>
    </row>
    <row r="484" customFormat="false" ht="15" hidden="false" customHeight="false" outlineLevel="0" collapsed="false">
      <c r="I484" s="28" t="n">
        <v>4.62</v>
      </c>
      <c r="J484" s="28" t="n">
        <f aca="false">RC_VOUT*(1-EXP(-I484/RT_TAU))</f>
        <v>3.29431380456547</v>
      </c>
      <c r="L484" s="127" t="n">
        <f aca="false">RC_VOUT*(EXP(-I484/RT_TAU))</f>
        <v>0.00568619543452991</v>
      </c>
      <c r="M484" s="127"/>
    </row>
    <row r="485" customFormat="false" ht="15" hidden="false" customHeight="false" outlineLevel="0" collapsed="false">
      <c r="I485" s="28" t="n">
        <v>4.63</v>
      </c>
      <c r="J485" s="28" t="n">
        <f aca="false">RC_VOUT*(1-EXP(-I485/RT_TAU))</f>
        <v>3.29439158987531</v>
      </c>
      <c r="L485" s="127" t="n">
        <f aca="false">RC_VOUT*(EXP(-I485/RT_TAU))</f>
        <v>0.00560841012468638</v>
      </c>
      <c r="M485" s="127"/>
    </row>
    <row r="486" customFormat="false" ht="15" hidden="false" customHeight="false" outlineLevel="0" collapsed="false">
      <c r="I486" s="28" t="n">
        <v>4.64</v>
      </c>
      <c r="J486" s="28" t="n">
        <f aca="false">RC_VOUT*(1-EXP(-I486/RT_TAU))</f>
        <v>3.29446831110734</v>
      </c>
      <c r="L486" s="127" t="n">
        <f aca="false">RC_VOUT*(EXP(-I486/RT_TAU))</f>
        <v>0.00553168889266028</v>
      </c>
      <c r="M486" s="127"/>
    </row>
    <row r="487" customFormat="false" ht="15" hidden="false" customHeight="false" outlineLevel="0" collapsed="false">
      <c r="I487" s="28" t="n">
        <v>4.65</v>
      </c>
      <c r="J487" s="28" t="n">
        <f aca="false">RC_VOUT*(1-EXP(-I487/RT_TAU))</f>
        <v>3.29454398281779</v>
      </c>
      <c r="L487" s="127" t="n">
        <f aca="false">RC_VOUT*(EXP(-I487/RT_TAU))</f>
        <v>0.00545601718221207</v>
      </c>
      <c r="M487" s="127"/>
    </row>
    <row r="488" customFormat="false" ht="15" hidden="false" customHeight="false" outlineLevel="0" collapsed="false">
      <c r="I488" s="28" t="n">
        <v>4.66</v>
      </c>
      <c r="J488" s="28" t="n">
        <f aca="false">RC_VOUT*(1-EXP(-I488/RT_TAU))</f>
        <v>3.29461861936377</v>
      </c>
      <c r="L488" s="127" t="n">
        <f aca="false">RC_VOUT*(EXP(-I488/RT_TAU))</f>
        <v>0.0053813806362269</v>
      </c>
      <c r="M488" s="127"/>
    </row>
    <row r="489" customFormat="false" ht="15" hidden="false" customHeight="false" outlineLevel="0" collapsed="false">
      <c r="I489" s="28" t="n">
        <v>4.67</v>
      </c>
      <c r="J489" s="28" t="n">
        <f aca="false">RC_VOUT*(1-EXP(-I489/RT_TAU))</f>
        <v>3.29469223490601</v>
      </c>
      <c r="L489" s="127" t="n">
        <f aca="false">RC_VOUT*(EXP(-I489/RT_TAU))</f>
        <v>0.00530776509399053</v>
      </c>
      <c r="M489" s="127"/>
    </row>
    <row r="490" customFormat="false" ht="15" hidden="false" customHeight="false" outlineLevel="0" collapsed="false">
      <c r="I490" s="28" t="n">
        <v>4.68</v>
      </c>
      <c r="J490" s="28" t="n">
        <f aca="false">RC_VOUT*(1-EXP(-I490/RT_TAU))</f>
        <v>3.2947648434115</v>
      </c>
      <c r="L490" s="127" t="n">
        <f aca="false">RC_VOUT*(EXP(-I490/RT_TAU))</f>
        <v>0.00523515658850274</v>
      </c>
      <c r="M490" s="127"/>
    </row>
    <row r="491" customFormat="false" ht="15" hidden="false" customHeight="false" outlineLevel="0" collapsed="false">
      <c r="I491" s="28" t="n">
        <v>4.69</v>
      </c>
      <c r="J491" s="28" t="n">
        <f aca="false">RC_VOUT*(1-EXP(-I491/RT_TAU))</f>
        <v>3.29483645865617</v>
      </c>
      <c r="L491" s="127" t="n">
        <f aca="false">RC_VOUT*(EXP(-I491/RT_TAU))</f>
        <v>0.00516354134382732</v>
      </c>
      <c r="M491" s="127"/>
    </row>
    <row r="492" customFormat="false" ht="15" hidden="false" customHeight="false" outlineLevel="0" collapsed="false">
      <c r="I492" s="28" t="n">
        <v>4.7</v>
      </c>
      <c r="J492" s="28" t="n">
        <f aca="false">RC_VOUT*(1-EXP(-I492/RT_TAU))</f>
        <v>3.29490709422752</v>
      </c>
      <c r="L492" s="127" t="n">
        <f aca="false">RC_VOUT*(EXP(-I492/RT_TAU))</f>
        <v>0.00509290577247842</v>
      </c>
      <c r="M492" s="127"/>
    </row>
    <row r="493" customFormat="false" ht="15" hidden="false" customHeight="false" outlineLevel="0" collapsed="false">
      <c r="I493" s="28" t="n">
        <v>4.71</v>
      </c>
      <c r="J493" s="28" t="n">
        <f aca="false">RC_VOUT*(1-EXP(-I493/RT_TAU))</f>
        <v>3.29497676352716</v>
      </c>
      <c r="L493" s="127" t="n">
        <f aca="false">RC_VOUT*(EXP(-I493/RT_TAU))</f>
        <v>0.00502323647284259</v>
      </c>
      <c r="M493" s="127"/>
    </row>
    <row r="494" customFormat="false" ht="15" hidden="false" customHeight="false" outlineLevel="0" collapsed="false">
      <c r="I494" s="28" t="n">
        <v>4.72</v>
      </c>
      <c r="J494" s="28" t="n">
        <f aca="false">RC_VOUT*(1-EXP(-I494/RT_TAU))</f>
        <v>3.29504547977336</v>
      </c>
      <c r="L494" s="127" t="n">
        <f aca="false">RC_VOUT*(EXP(-I494/RT_TAU))</f>
        <v>0.0049545202266361</v>
      </c>
      <c r="M494" s="127"/>
    </row>
    <row r="495" customFormat="false" ht="15" hidden="false" customHeight="false" outlineLevel="0" collapsed="false">
      <c r="I495" s="28" t="n">
        <v>4.73</v>
      </c>
      <c r="J495" s="28" t="n">
        <f aca="false">RC_VOUT*(1-EXP(-I495/RT_TAU))</f>
        <v>3.2951132560036</v>
      </c>
      <c r="L495" s="127" t="n">
        <f aca="false">RC_VOUT*(EXP(-I495/RT_TAU))</f>
        <v>0.00488674399639705</v>
      </c>
      <c r="M495" s="127"/>
    </row>
    <row r="496" customFormat="false" ht="15" hidden="false" customHeight="false" outlineLevel="0" collapsed="false">
      <c r="I496" s="28" t="n">
        <v>4.74</v>
      </c>
      <c r="J496" s="28" t="n">
        <f aca="false">RC_VOUT*(1-EXP(-I496/RT_TAU))</f>
        <v>3.29518010507699</v>
      </c>
      <c r="L496" s="127" t="n">
        <f aca="false">RC_VOUT*(EXP(-I496/RT_TAU))</f>
        <v>0.0048198949230118</v>
      </c>
      <c r="M496" s="127"/>
    </row>
    <row r="497" customFormat="false" ht="15" hidden="false" customHeight="false" outlineLevel="0" collapsed="false">
      <c r="I497" s="28" t="n">
        <v>4.75</v>
      </c>
      <c r="J497" s="28" t="n">
        <f aca="false">RC_VOUT*(1-EXP(-I497/RT_TAU))</f>
        <v>3.29524603967672</v>
      </c>
      <c r="L497" s="127" t="n">
        <f aca="false">RC_VOUT*(EXP(-I497/RT_TAU))</f>
        <v>0.00475396032327521</v>
      </c>
      <c r="M497" s="127"/>
    </row>
    <row r="498" customFormat="false" ht="15" hidden="false" customHeight="false" outlineLevel="0" collapsed="false">
      <c r="I498" s="28" t="n">
        <v>4.76</v>
      </c>
      <c r="J498" s="28" t="n">
        <f aca="false">RC_VOUT*(1-EXP(-I498/RT_TAU))</f>
        <v>3.29531107231252</v>
      </c>
      <c r="L498" s="127" t="n">
        <f aca="false">RC_VOUT*(EXP(-I498/RT_TAU))</f>
        <v>0.00468892768748429</v>
      </c>
      <c r="M498" s="127"/>
    </row>
    <row r="499" customFormat="false" ht="15" hidden="false" customHeight="false" outlineLevel="0" collapsed="false">
      <c r="I499" s="28" t="n">
        <v>4.77</v>
      </c>
      <c r="J499" s="28" t="n">
        <f aca="false">RC_VOUT*(1-EXP(-I499/RT_TAU))</f>
        <v>3.29537521532294</v>
      </c>
      <c r="L499" s="127" t="n">
        <f aca="false">RC_VOUT*(EXP(-I499/RT_TAU))</f>
        <v>0.0046247846770647</v>
      </c>
      <c r="M499" s="127"/>
    </row>
    <row r="500" customFormat="false" ht="15" hidden="false" customHeight="false" outlineLevel="0" collapsed="false">
      <c r="I500" s="28" t="n">
        <v>4.78</v>
      </c>
      <c r="J500" s="28" t="n">
        <f aca="false">RC_VOUT*(1-EXP(-I500/RT_TAU))</f>
        <v>3.29543848087777</v>
      </c>
      <c r="L500" s="127" t="n">
        <f aca="false">RC_VOUT*(EXP(-I500/RT_TAU))</f>
        <v>0.00456151912222982</v>
      </c>
      <c r="M500" s="127"/>
    </row>
    <row r="501" customFormat="false" ht="15" hidden="false" customHeight="false" outlineLevel="0" collapsed="false">
      <c r="I501" s="28" t="n">
        <v>4.79</v>
      </c>
      <c r="J501" s="28" t="n">
        <f aca="false">RC_VOUT*(1-EXP(-I501/RT_TAU))</f>
        <v>3.29550088098033</v>
      </c>
      <c r="L501" s="127" t="n">
        <f aca="false">RC_VOUT*(EXP(-I501/RT_TAU))</f>
        <v>0.00449911901967175</v>
      </c>
      <c r="M501" s="127"/>
    </row>
    <row r="502" customFormat="false" ht="15" hidden="false" customHeight="false" outlineLevel="0" collapsed="false">
      <c r="I502" s="28" t="n">
        <v>4.8</v>
      </c>
      <c r="J502" s="28" t="n">
        <f aca="false">RC_VOUT*(1-EXP(-I502/RT_TAU))</f>
        <v>3.29556242746972</v>
      </c>
      <c r="L502" s="127" t="n">
        <f aca="false">RC_VOUT*(EXP(-I502/RT_TAU))</f>
        <v>0.00443757253028398</v>
      </c>
      <c r="M502" s="127"/>
    </row>
    <row r="503" customFormat="false" ht="15" hidden="false" customHeight="false" outlineLevel="0" collapsed="false">
      <c r="I503" s="28" t="n">
        <v>4.81</v>
      </c>
      <c r="J503" s="28" t="n">
        <f aca="false">RC_VOUT*(1-EXP(-I503/RT_TAU))</f>
        <v>3.29562313202308</v>
      </c>
      <c r="L503" s="127" t="n">
        <f aca="false">RC_VOUT*(EXP(-I503/RT_TAU))</f>
        <v>0.00437686797691511</v>
      </c>
      <c r="M503" s="127"/>
    </row>
    <row r="504" customFormat="false" ht="15" hidden="false" customHeight="false" outlineLevel="0" collapsed="false">
      <c r="I504" s="28" t="n">
        <v>4.82</v>
      </c>
      <c r="J504" s="28" t="n">
        <f aca="false">RC_VOUT*(1-EXP(-I504/RT_TAU))</f>
        <v>3.29568300615785</v>
      </c>
      <c r="L504" s="127" t="n">
        <f aca="false">RC_VOUT*(EXP(-I504/RT_TAU))</f>
        <v>0.00431699384215338</v>
      </c>
      <c r="M504" s="127"/>
    </row>
    <row r="505" customFormat="false" ht="15" hidden="false" customHeight="false" outlineLevel="0" collapsed="false">
      <c r="I505" s="28" t="n">
        <v>4.83</v>
      </c>
      <c r="J505" s="28" t="n">
        <f aca="false">RC_VOUT*(1-EXP(-I505/RT_TAU))</f>
        <v>3.29574206123386</v>
      </c>
      <c r="L505" s="127" t="n">
        <f aca="false">RC_VOUT*(EXP(-I505/RT_TAU))</f>
        <v>0.0042579387661415</v>
      </c>
      <c r="M505" s="127"/>
    </row>
    <row r="506" customFormat="false" ht="15" hidden="false" customHeight="false" outlineLevel="0" collapsed="false">
      <c r="I506" s="28" t="n">
        <v>4.84</v>
      </c>
      <c r="J506" s="28" t="n">
        <f aca="false">RC_VOUT*(1-EXP(-I506/RT_TAU))</f>
        <v>3.29580030845558</v>
      </c>
      <c r="L506" s="127" t="n">
        <f aca="false">RC_VOUT*(EXP(-I506/RT_TAU))</f>
        <v>0.00419969154442137</v>
      </c>
      <c r="M506" s="127"/>
    </row>
    <row r="507" customFormat="false" ht="15" hidden="false" customHeight="false" outlineLevel="0" collapsed="false">
      <c r="I507" s="28" t="n">
        <v>4.85</v>
      </c>
      <c r="J507" s="28" t="n">
        <f aca="false">RC_VOUT*(1-EXP(-I507/RT_TAU))</f>
        <v>3.29585775887419</v>
      </c>
      <c r="L507" s="127" t="n">
        <f aca="false">RC_VOUT*(EXP(-I507/RT_TAU))</f>
        <v>0.00414224112580819</v>
      </c>
      <c r="M507" s="127"/>
    </row>
    <row r="508" customFormat="false" ht="15" hidden="false" customHeight="false" outlineLevel="0" collapsed="false">
      <c r="I508" s="28" t="n">
        <v>4.86</v>
      </c>
      <c r="J508" s="28" t="n">
        <f aca="false">RC_VOUT*(1-EXP(-I508/RT_TAU))</f>
        <v>3.29591442338971</v>
      </c>
      <c r="L508" s="127" t="n">
        <f aca="false">RC_VOUT*(EXP(-I508/RT_TAU))</f>
        <v>0.00408557661029383</v>
      </c>
      <c r="M508" s="127"/>
    </row>
    <row r="509" customFormat="false" ht="15" hidden="false" customHeight="false" outlineLevel="0" collapsed="false">
      <c r="I509" s="28" t="n">
        <v>4.87</v>
      </c>
      <c r="J509" s="28" t="n">
        <f aca="false">RC_VOUT*(1-EXP(-I509/RT_TAU))</f>
        <v>3.29597031275302</v>
      </c>
      <c r="L509" s="127" t="n">
        <f aca="false">RC_VOUT*(EXP(-I509/RT_TAU))</f>
        <v>0.00402968724697871</v>
      </c>
      <c r="M509" s="127"/>
    </row>
    <row r="510" customFormat="false" ht="15" hidden="false" customHeight="false" outlineLevel="0" collapsed="false">
      <c r="I510" s="28" t="n">
        <v>4.88</v>
      </c>
      <c r="J510" s="28" t="n">
        <f aca="false">RC_VOUT*(1-EXP(-I510/RT_TAU))</f>
        <v>3.29602543756797</v>
      </c>
      <c r="L510" s="127" t="n">
        <f aca="false">RC_VOUT*(EXP(-I510/RT_TAU))</f>
        <v>0.00397456243203209</v>
      </c>
      <c r="M510" s="127"/>
    </row>
    <row r="511" customFormat="false" ht="15" hidden="false" customHeight="false" outlineLevel="0" collapsed="false">
      <c r="I511" s="28" t="n">
        <v>4.89</v>
      </c>
      <c r="J511" s="28" t="n">
        <f aca="false">RC_VOUT*(1-EXP(-I511/RT_TAU))</f>
        <v>3.29607980829332</v>
      </c>
      <c r="L511" s="127" t="n">
        <f aca="false">RC_VOUT*(EXP(-I511/RT_TAU))</f>
        <v>0.00392019170668019</v>
      </c>
      <c r="M511" s="127"/>
    </row>
    <row r="512" customFormat="false" ht="15" hidden="false" customHeight="false" outlineLevel="0" collapsed="false">
      <c r="I512" s="28" t="n">
        <v>4.9</v>
      </c>
      <c r="J512" s="28" t="n">
        <f aca="false">RC_VOUT*(1-EXP(-I512/RT_TAU))</f>
        <v>3.29613343524478</v>
      </c>
      <c r="L512" s="127" t="n">
        <f aca="false">RC_VOUT*(EXP(-I512/RT_TAU))</f>
        <v>0.00386656475522185</v>
      </c>
      <c r="M512" s="127"/>
    </row>
    <row r="513" customFormat="false" ht="15" hidden="false" customHeight="false" outlineLevel="0" collapsed="false">
      <c r="I513" s="28" t="n">
        <v>4.91</v>
      </c>
      <c r="J513" s="28" t="n">
        <f aca="false">RC_VOUT*(1-EXP(-I513/RT_TAU))</f>
        <v>3.29618632859693</v>
      </c>
      <c r="L513" s="127" t="n">
        <f aca="false">RC_VOUT*(EXP(-I513/RT_TAU))</f>
        <v>0.00381367140307138</v>
      </c>
      <c r="M513" s="127"/>
    </row>
    <row r="514" customFormat="false" ht="15" hidden="false" customHeight="false" outlineLevel="0" collapsed="false">
      <c r="I514" s="28" t="n">
        <v>4.92</v>
      </c>
      <c r="J514" s="28" t="n">
        <f aca="false">RC_VOUT*(1-EXP(-I514/RT_TAU))</f>
        <v>3.29623849838517</v>
      </c>
      <c r="L514" s="127" t="n">
        <f aca="false">RC_VOUT*(EXP(-I514/RT_TAU))</f>
        <v>0.0037615016148281</v>
      </c>
      <c r="M514" s="127"/>
    </row>
    <row r="515" customFormat="false" ht="15" hidden="false" customHeight="false" outlineLevel="0" collapsed="false">
      <c r="I515" s="28" t="n">
        <v>4.93</v>
      </c>
      <c r="J515" s="28" t="n">
        <f aca="false">RC_VOUT*(1-EXP(-I515/RT_TAU))</f>
        <v>3.29628995450763</v>
      </c>
      <c r="L515" s="127" t="n">
        <f aca="false">RC_VOUT*(EXP(-I515/RT_TAU))</f>
        <v>0.00371004549237237</v>
      </c>
      <c r="M515" s="127"/>
    </row>
    <row r="516" customFormat="false" ht="15" hidden="false" customHeight="false" outlineLevel="0" collapsed="false">
      <c r="I516" s="28" t="n">
        <v>4.94</v>
      </c>
      <c r="J516" s="28" t="n">
        <f aca="false">RC_VOUT*(1-EXP(-I516/RT_TAU))</f>
        <v>3.29634070672701</v>
      </c>
      <c r="L516" s="127" t="n">
        <f aca="false">RC_VOUT*(EXP(-I516/RT_TAU))</f>
        <v>0.00365929327298763</v>
      </c>
      <c r="M516" s="127"/>
    </row>
    <row r="517" customFormat="false" ht="15" hidden="false" customHeight="false" outlineLevel="0" collapsed="false">
      <c r="I517" s="28" t="n">
        <v>4.95</v>
      </c>
      <c r="J517" s="28" t="n">
        <f aca="false">RC_VOUT*(1-EXP(-I517/RT_TAU))</f>
        <v>3.29639076467249</v>
      </c>
      <c r="L517" s="127" t="n">
        <f aca="false">RC_VOUT*(EXP(-I517/RT_TAU))</f>
        <v>0.00360923532750809</v>
      </c>
      <c r="M517" s="127"/>
    </row>
    <row r="518" customFormat="false" ht="15" hidden="false" customHeight="false" outlineLevel="0" collapsed="false">
      <c r="I518" s="28" t="n">
        <v>4.96</v>
      </c>
      <c r="J518" s="28" t="n">
        <f aca="false">RC_VOUT*(1-EXP(-I518/RT_TAU))</f>
        <v>3.29644013784151</v>
      </c>
      <c r="L518" s="127" t="n">
        <f aca="false">RC_VOUT*(EXP(-I518/RT_TAU))</f>
        <v>0.00355986215849185</v>
      </c>
      <c r="M518" s="127"/>
    </row>
    <row r="519" customFormat="false" ht="15" hidden="false" customHeight="false" outlineLevel="0" collapsed="false">
      <c r="I519" s="28" t="n">
        <v>4.97</v>
      </c>
      <c r="J519" s="28" t="n">
        <f aca="false">RC_VOUT*(1-EXP(-I519/RT_TAU))</f>
        <v>3.29648883560158</v>
      </c>
      <c r="L519" s="127" t="n">
        <f aca="false">RC_VOUT*(EXP(-I519/RT_TAU))</f>
        <v>0.00351116439841892</v>
      </c>
      <c r="M519" s="127"/>
    </row>
    <row r="520" customFormat="false" ht="15" hidden="false" customHeight="false" outlineLevel="0" collapsed="false">
      <c r="I520" s="28" t="n">
        <v>4.98</v>
      </c>
      <c r="J520" s="28" t="n">
        <f aca="false">RC_VOUT*(1-EXP(-I520/RT_TAU))</f>
        <v>3.29653686719209</v>
      </c>
      <c r="L520" s="127" t="n">
        <f aca="false">RC_VOUT*(EXP(-I520/RT_TAU))</f>
        <v>0.00346313280791394</v>
      </c>
      <c r="M520" s="127"/>
    </row>
    <row r="521" customFormat="false" ht="15" hidden="false" customHeight="false" outlineLevel="0" collapsed="false">
      <c r="I521" s="28" t="n">
        <v>4.99</v>
      </c>
      <c r="J521" s="28" t="n">
        <f aca="false">RC_VOUT*(1-EXP(-I521/RT_TAU))</f>
        <v>3.29658424172601</v>
      </c>
      <c r="L521" s="127" t="n">
        <f aca="false">RC_VOUT*(EXP(-I521/RT_TAU))</f>
        <v>0.00341575827399324</v>
      </c>
      <c r="M521" s="127"/>
    </row>
    <row r="522" customFormat="false" ht="15" hidden="false" customHeight="false" outlineLevel="0" collapsed="false">
      <c r="I522" s="28" t="n">
        <v>5</v>
      </c>
      <c r="J522" s="28" t="n">
        <f aca="false">RC_VOUT*(1-EXP(-I522/RT_TAU))</f>
        <v>3.29663096819166</v>
      </c>
      <c r="L522" s="127" t="n">
        <f aca="false">RC_VOUT*(EXP(-I522/RT_TAU))</f>
        <v>0.00336903180833578</v>
      </c>
      <c r="M522" s="127"/>
    </row>
    <row r="523" customFormat="false" ht="15" hidden="false" customHeight="false" outlineLevel="0" collapsed="false">
      <c r="I523" s="28" t="n">
        <v>5.01</v>
      </c>
      <c r="J523" s="28" t="n">
        <f aca="false">RC_VOUT*(1-EXP(-I523/RT_TAU))</f>
        <v>3.29667705545442</v>
      </c>
      <c r="L523" s="127" t="n">
        <f aca="false">RC_VOUT*(EXP(-I523/RT_TAU))</f>
        <v>0.00332294454557785</v>
      </c>
      <c r="M523" s="127"/>
    </row>
    <row r="524" customFormat="false" ht="15" hidden="false" customHeight="false" outlineLevel="0" collapsed="false">
      <c r="I524" s="28" t="n">
        <v>5.02</v>
      </c>
      <c r="J524" s="28" t="n">
        <f aca="false">RC_VOUT*(1-EXP(-I524/RT_TAU))</f>
        <v>3.29672251225837</v>
      </c>
      <c r="L524" s="127" t="n">
        <f aca="false">RC_VOUT*(EXP(-I524/RT_TAU))</f>
        <v>0.00327748774163104</v>
      </c>
      <c r="M524" s="127"/>
    </row>
    <row r="525" customFormat="false" ht="15" hidden="false" customHeight="false" outlineLevel="0" collapsed="false">
      <c r="I525" s="28" t="n">
        <v>5.03</v>
      </c>
      <c r="J525" s="28" t="n">
        <f aca="false">RC_VOUT*(1-EXP(-I525/RT_TAU))</f>
        <v>3.29676734722798</v>
      </c>
      <c r="L525" s="127" t="n">
        <f aca="false">RC_VOUT*(EXP(-I525/RT_TAU))</f>
        <v>0.00323265277202324</v>
      </c>
      <c r="M525" s="127"/>
    </row>
    <row r="526" customFormat="false" ht="15" hidden="false" customHeight="false" outlineLevel="0" collapsed="false">
      <c r="I526" s="28" t="n">
        <v>5.04</v>
      </c>
      <c r="J526" s="28" t="n">
        <f aca="false">RC_VOUT*(1-EXP(-I526/RT_TAU))</f>
        <v>3.29681156886974</v>
      </c>
      <c r="L526" s="127" t="n">
        <f aca="false">RC_VOUT*(EXP(-I526/RT_TAU))</f>
        <v>0.00318843113026232</v>
      </c>
      <c r="M526" s="127"/>
    </row>
    <row r="527" customFormat="false" ht="15" hidden="false" customHeight="false" outlineLevel="0" collapsed="false">
      <c r="I527" s="28" t="n">
        <v>5.05</v>
      </c>
      <c r="J527" s="28" t="n">
        <f aca="false">RC_VOUT*(1-EXP(-I527/RT_TAU))</f>
        <v>3.29685518557378</v>
      </c>
      <c r="L527" s="127" t="n">
        <f aca="false">RC_VOUT*(EXP(-I527/RT_TAU))</f>
        <v>0.0031448144262222</v>
      </c>
      <c r="M527" s="127"/>
    </row>
    <row r="528" customFormat="false" ht="15" hidden="false" customHeight="false" outlineLevel="0" collapsed="false">
      <c r="I528" s="28" t="n">
        <v>5.06</v>
      </c>
      <c r="J528" s="28" t="n">
        <f aca="false">RC_VOUT*(1-EXP(-I528/RT_TAU))</f>
        <v>3.29689820561545</v>
      </c>
      <c r="L528" s="127" t="n">
        <f aca="false">RC_VOUT*(EXP(-I528/RT_TAU))</f>
        <v>0.00310179438455099</v>
      </c>
      <c r="M528" s="127"/>
    </row>
    <row r="529" customFormat="false" ht="15" hidden="false" customHeight="false" outlineLevel="0" collapsed="false">
      <c r="I529" s="28" t="n">
        <v>5.07</v>
      </c>
      <c r="J529" s="28" t="n">
        <f aca="false">RC_VOUT*(1-EXP(-I529/RT_TAU))</f>
        <v>3.2969406371569</v>
      </c>
      <c r="L529" s="127" t="n">
        <f aca="false">RC_VOUT*(EXP(-I529/RT_TAU))</f>
        <v>0.00305936284310096</v>
      </c>
      <c r="M529" s="127"/>
    </row>
    <row r="530" customFormat="false" ht="15" hidden="false" customHeight="false" outlineLevel="0" collapsed="false">
      <c r="I530" s="28" t="n">
        <v>5.08</v>
      </c>
      <c r="J530" s="28" t="n">
        <f aca="false">RC_VOUT*(1-EXP(-I530/RT_TAU))</f>
        <v>3.29698248824862</v>
      </c>
      <c r="L530" s="127" t="n">
        <f aca="false">RC_VOUT*(EXP(-I530/RT_TAU))</f>
        <v>0.00301751175137989</v>
      </c>
      <c r="M530" s="127"/>
    </row>
    <row r="531" customFormat="false" ht="15" hidden="false" customHeight="false" outlineLevel="0" collapsed="false">
      <c r="I531" s="28" t="n">
        <v>5.09</v>
      </c>
      <c r="J531" s="28" t="n">
        <f aca="false">RC_VOUT*(1-EXP(-I531/RT_TAU))</f>
        <v>3.29702376683098</v>
      </c>
      <c r="L531" s="127" t="n">
        <f aca="false">RC_VOUT*(EXP(-I531/RT_TAU))</f>
        <v>0.00297623316902371</v>
      </c>
      <c r="M531" s="127"/>
    </row>
    <row r="532" customFormat="false" ht="15" hidden="false" customHeight="false" outlineLevel="0" collapsed="false">
      <c r="I532" s="28" t="n">
        <v>5.1</v>
      </c>
      <c r="J532" s="28" t="n">
        <f aca="false">RC_VOUT*(1-EXP(-I532/RT_TAU))</f>
        <v>3.29706448073571</v>
      </c>
      <c r="L532" s="127" t="n">
        <f aca="false">RC_VOUT*(EXP(-I532/RT_TAU))</f>
        <v>0.00293551926428993</v>
      </c>
      <c r="M532" s="127"/>
    </row>
    <row r="533" customFormat="false" ht="15" hidden="false" customHeight="false" outlineLevel="0" collapsed="false">
      <c r="I533" s="28" t="n">
        <v>5.11</v>
      </c>
      <c r="J533" s="28" t="n">
        <f aca="false">RC_VOUT*(1-EXP(-I533/RT_TAU))</f>
        <v>3.29710463768743</v>
      </c>
      <c r="L533" s="127" t="n">
        <f aca="false">RC_VOUT*(EXP(-I533/RT_TAU))</f>
        <v>0.00289536231257177</v>
      </c>
      <c r="M533" s="127"/>
    </row>
    <row r="534" customFormat="false" ht="15" hidden="false" customHeight="false" outlineLevel="0" collapsed="false">
      <c r="I534" s="28" t="n">
        <v>5.12</v>
      </c>
      <c r="J534" s="28" t="n">
        <f aca="false">RC_VOUT*(1-EXP(-I534/RT_TAU))</f>
        <v>3.29714424530507</v>
      </c>
      <c r="L534" s="127" t="n">
        <f aca="false">RC_VOUT*(EXP(-I534/RT_TAU))</f>
        <v>0.00285575469493256</v>
      </c>
      <c r="M534" s="127"/>
    </row>
    <row r="535" customFormat="false" ht="15" hidden="false" customHeight="false" outlineLevel="0" collapsed="false">
      <c r="I535" s="28" t="n">
        <v>5.13</v>
      </c>
      <c r="J535" s="28" t="n">
        <f aca="false">RC_VOUT*(1-EXP(-I535/RT_TAU))</f>
        <v>3.29718331110334</v>
      </c>
      <c r="L535" s="127" t="n">
        <f aca="false">RC_VOUT*(EXP(-I535/RT_TAU))</f>
        <v>0.00281668889666022</v>
      </c>
      <c r="M535" s="127"/>
    </row>
    <row r="536" customFormat="false" ht="15" hidden="false" customHeight="false" outlineLevel="0" collapsed="false">
      <c r="I536" s="28" t="n">
        <v>5.14</v>
      </c>
      <c r="J536" s="28" t="n">
        <f aca="false">RC_VOUT*(1-EXP(-I536/RT_TAU))</f>
        <v>3.29722184249416</v>
      </c>
      <c r="L536" s="127" t="n">
        <f aca="false">RC_VOUT*(EXP(-I536/RT_TAU))</f>
        <v>0.00277815750584149</v>
      </c>
      <c r="M536" s="127"/>
    </row>
    <row r="537" customFormat="false" ht="15" hidden="false" customHeight="false" outlineLevel="0" collapsed="false">
      <c r="I537" s="28" t="n">
        <v>5.15</v>
      </c>
      <c r="J537" s="28" t="n">
        <f aca="false">RC_VOUT*(1-EXP(-I537/RT_TAU))</f>
        <v>3.29725984678804</v>
      </c>
      <c r="L537" s="127" t="n">
        <f aca="false">RC_VOUT*(EXP(-I537/RT_TAU))</f>
        <v>0.00274015321195568</v>
      </c>
      <c r="M537" s="127"/>
    </row>
    <row r="538" customFormat="false" ht="15" hidden="false" customHeight="false" outlineLevel="0" collapsed="false">
      <c r="I538" s="28" t="n">
        <v>5.16</v>
      </c>
      <c r="J538" s="28" t="n">
        <f aca="false">RC_VOUT*(1-EXP(-I538/RT_TAU))</f>
        <v>3.29729733119551</v>
      </c>
      <c r="L538" s="127" t="n">
        <f aca="false">RC_VOUT*(EXP(-I538/RT_TAU))</f>
        <v>0.00270266880448766</v>
      </c>
      <c r="M538" s="127"/>
    </row>
    <row r="539" customFormat="false" ht="15" hidden="false" customHeight="false" outlineLevel="0" collapsed="false">
      <c r="I539" s="28" t="n">
        <v>5.17</v>
      </c>
      <c r="J539" s="28" t="n">
        <f aca="false">RC_VOUT*(1-EXP(-I539/RT_TAU))</f>
        <v>3.29733430282844</v>
      </c>
      <c r="L539" s="127" t="n">
        <f aca="false">RC_VOUT*(EXP(-I539/RT_TAU))</f>
        <v>0.0026656971715598</v>
      </c>
      <c r="M539" s="127"/>
    </row>
    <row r="540" customFormat="false" ht="15" hidden="false" customHeight="false" outlineLevel="0" collapsed="false">
      <c r="I540" s="28" t="n">
        <v>5.18</v>
      </c>
      <c r="J540" s="28" t="n">
        <f aca="false">RC_VOUT*(1-EXP(-I540/RT_TAU))</f>
        <v>3.29737076870142</v>
      </c>
      <c r="L540" s="127" t="n">
        <f aca="false">RC_VOUT*(EXP(-I540/RT_TAU))</f>
        <v>0.00262923129858265</v>
      </c>
      <c r="M540" s="127"/>
    </row>
    <row r="541" customFormat="false" ht="15" hidden="false" customHeight="false" outlineLevel="0" collapsed="false">
      <c r="I541" s="28" t="n">
        <v>5.19</v>
      </c>
      <c r="J541" s="28" t="n">
        <f aca="false">RC_VOUT*(1-EXP(-I541/RT_TAU))</f>
        <v>3.29740673573308</v>
      </c>
      <c r="L541" s="127" t="n">
        <f aca="false">RC_VOUT*(EXP(-I541/RT_TAU))</f>
        <v>0.00259326426692408</v>
      </c>
      <c r="M541" s="127"/>
    </row>
    <row r="542" customFormat="false" ht="15" hidden="false" customHeight="false" outlineLevel="0" collapsed="false">
      <c r="I542" s="28" t="n">
        <v>5.2</v>
      </c>
      <c r="J542" s="28" t="n">
        <f aca="false">RC_VOUT*(1-EXP(-I542/RT_TAU))</f>
        <v>3.2974422107474</v>
      </c>
      <c r="L542" s="127" t="n">
        <f aca="false">RC_VOUT*(EXP(-I542/RT_TAU))</f>
        <v>0.00255778925259659</v>
      </c>
      <c r="M542" s="127"/>
    </row>
    <row r="543" customFormat="false" ht="15" hidden="false" customHeight="false" outlineLevel="0" collapsed="false">
      <c r="I543" s="28" t="n">
        <v>5.21</v>
      </c>
      <c r="J543" s="28" t="n">
        <f aca="false">RC_VOUT*(1-EXP(-I543/RT_TAU))</f>
        <v>3.29747720047504</v>
      </c>
      <c r="L543" s="127" t="n">
        <f aca="false">RC_VOUT*(EXP(-I543/RT_TAU))</f>
        <v>0.00252279952496263</v>
      </c>
      <c r="M543" s="127"/>
    </row>
    <row r="544" customFormat="false" ht="15" hidden="false" customHeight="false" outlineLevel="0" collapsed="false">
      <c r="I544" s="28" t="n">
        <v>5.22</v>
      </c>
      <c r="J544" s="28" t="n">
        <f aca="false">RC_VOUT*(1-EXP(-I544/RT_TAU))</f>
        <v>3.29751171155454</v>
      </c>
      <c r="L544" s="127" t="n">
        <f aca="false">RC_VOUT*(EXP(-I544/RT_TAU))</f>
        <v>0.00248828844545758</v>
      </c>
      <c r="M544" s="127"/>
    </row>
    <row r="545" customFormat="false" ht="15" hidden="false" customHeight="false" outlineLevel="0" collapsed="false">
      <c r="I545" s="28" t="n">
        <v>5.23</v>
      </c>
      <c r="J545" s="28" t="n">
        <f aca="false">RC_VOUT*(1-EXP(-I545/RT_TAU))</f>
        <v>3.29754575053367</v>
      </c>
      <c r="L545" s="127" t="n">
        <f aca="false">RC_VOUT*(EXP(-I545/RT_TAU))</f>
        <v>0.00245424946633022</v>
      </c>
      <c r="M545" s="127"/>
    </row>
    <row r="546" customFormat="false" ht="15" hidden="false" customHeight="false" outlineLevel="0" collapsed="false">
      <c r="I546" s="28" t="n">
        <v>5.24</v>
      </c>
      <c r="J546" s="28" t="n">
        <f aca="false">RC_VOUT*(1-EXP(-I546/RT_TAU))</f>
        <v>3.2975793238706</v>
      </c>
      <c r="L546" s="127" t="n">
        <f aca="false">RC_VOUT*(EXP(-I546/RT_TAU))</f>
        <v>0.00242067612940049</v>
      </c>
      <c r="M546" s="127"/>
    </row>
    <row r="547" customFormat="false" ht="15" hidden="false" customHeight="false" outlineLevel="0" collapsed="false">
      <c r="I547" s="28" t="n">
        <v>5.25</v>
      </c>
      <c r="J547" s="28" t="n">
        <f aca="false">RC_VOUT*(1-EXP(-I547/RT_TAU))</f>
        <v>3.29761243793517</v>
      </c>
      <c r="L547" s="127" t="n">
        <f aca="false">RC_VOUT*(EXP(-I547/RT_TAU))</f>
        <v>0.00238756206483407</v>
      </c>
      <c r="M547" s="127"/>
    </row>
    <row r="548" customFormat="false" ht="15" hidden="false" customHeight="false" outlineLevel="0" collapsed="false">
      <c r="I548" s="28" t="n">
        <v>5.26</v>
      </c>
      <c r="J548" s="28" t="n">
        <f aca="false">RC_VOUT*(1-EXP(-I548/RT_TAU))</f>
        <v>3.29764509901007</v>
      </c>
      <c r="L548" s="127" t="n">
        <f aca="false">RC_VOUT*(EXP(-I548/RT_TAU))</f>
        <v>0.00235490098993398</v>
      </c>
      <c r="M548" s="127"/>
    </row>
    <row r="549" customFormat="false" ht="15" hidden="false" customHeight="false" outlineLevel="0" collapsed="false">
      <c r="I549" s="28" t="n">
        <v>5.27</v>
      </c>
      <c r="J549" s="28" t="n">
        <f aca="false">RC_VOUT*(1-EXP(-I549/RT_TAU))</f>
        <v>3.29767731329205</v>
      </c>
      <c r="L549" s="127" t="n">
        <f aca="false">RC_VOUT*(EXP(-I549/RT_TAU))</f>
        <v>0.00232268670794843</v>
      </c>
      <c r="M549" s="127"/>
    </row>
    <row r="550" customFormat="false" ht="15" hidden="false" customHeight="false" outlineLevel="0" collapsed="false">
      <c r="I550" s="28" t="n">
        <v>5.28</v>
      </c>
      <c r="J550" s="28" t="n">
        <f aca="false">RC_VOUT*(1-EXP(-I550/RT_TAU))</f>
        <v>3.2977090868931</v>
      </c>
      <c r="L550" s="127" t="n">
        <f aca="false">RC_VOUT*(EXP(-I550/RT_TAU))</f>
        <v>0.00229091310689524</v>
      </c>
      <c r="M550" s="127"/>
    </row>
    <row r="551" customFormat="false" ht="15" hidden="false" customHeight="false" outlineLevel="0" collapsed="false">
      <c r="I551" s="28" t="n">
        <v>5.29</v>
      </c>
      <c r="J551" s="28" t="n">
        <f aca="false">RC_VOUT*(1-EXP(-I551/RT_TAU))</f>
        <v>3.2977404258416</v>
      </c>
      <c r="L551" s="127" t="n">
        <f aca="false">RC_VOUT*(EXP(-I551/RT_TAU))</f>
        <v>0.00225957415840214</v>
      </c>
      <c r="M551" s="127"/>
    </row>
    <row r="552" customFormat="false" ht="15" hidden="false" customHeight="false" outlineLevel="0" collapsed="false">
      <c r="I552" s="28" t="n">
        <v>5.3</v>
      </c>
      <c r="J552" s="28" t="n">
        <f aca="false">RC_VOUT*(1-EXP(-I552/RT_TAU))</f>
        <v>3.29777133608344</v>
      </c>
      <c r="L552" s="127" t="n">
        <f aca="false">RC_VOUT*(EXP(-I552/RT_TAU))</f>
        <v>0.00222866391656303</v>
      </c>
      <c r="M552" s="127"/>
    </row>
    <row r="553" customFormat="false" ht="15" hidden="false" customHeight="false" outlineLevel="0" collapsed="false">
      <c r="I553" s="28" t="n">
        <v>5.31</v>
      </c>
      <c r="J553" s="28" t="n">
        <f aca="false">RC_VOUT*(1-EXP(-I553/RT_TAU))</f>
        <v>3.29780182348319</v>
      </c>
      <c r="L553" s="127" t="n">
        <f aca="false">RC_VOUT*(EXP(-I553/RT_TAU))</f>
        <v>0.0021981765168099</v>
      </c>
      <c r="M553" s="127"/>
    </row>
    <row r="554" customFormat="false" ht="15" hidden="false" customHeight="false" outlineLevel="0" collapsed="false">
      <c r="I554" s="28" t="n">
        <v>5.32</v>
      </c>
      <c r="J554" s="28" t="n">
        <f aca="false">RC_VOUT*(1-EXP(-I554/RT_TAU))</f>
        <v>3.2978318938252</v>
      </c>
      <c r="L554" s="127" t="n">
        <f aca="false">RC_VOUT*(EXP(-I554/RT_TAU))</f>
        <v>0.0021681061748001</v>
      </c>
      <c r="M554" s="127"/>
    </row>
    <row r="555" customFormat="false" ht="15" hidden="false" customHeight="false" outlineLevel="0" collapsed="false">
      <c r="I555" s="28" t="n">
        <v>5.33</v>
      </c>
      <c r="J555" s="28" t="n">
        <f aca="false">RC_VOUT*(1-EXP(-I555/RT_TAU))</f>
        <v>3.29786155281468</v>
      </c>
      <c r="L555" s="127" t="n">
        <f aca="false">RC_VOUT*(EXP(-I555/RT_TAU))</f>
        <v>0.00213844718531895</v>
      </c>
      <c r="M555" s="127"/>
    </row>
    <row r="556" customFormat="false" ht="15" hidden="false" customHeight="false" outlineLevel="0" collapsed="false">
      <c r="I556" s="28" t="n">
        <v>5.34</v>
      </c>
      <c r="J556" s="28" t="n">
        <f aca="false">RC_VOUT*(1-EXP(-I556/RT_TAU))</f>
        <v>3.2978908060788</v>
      </c>
      <c r="L556" s="127" t="n">
        <f aca="false">RC_VOUT*(EXP(-I556/RT_TAU))</f>
        <v>0.00210919392119723</v>
      </c>
      <c r="M556" s="127"/>
    </row>
    <row r="557" customFormat="false" ht="15" hidden="false" customHeight="false" outlineLevel="0" collapsed="false">
      <c r="I557" s="28" t="n">
        <v>5.35</v>
      </c>
      <c r="J557" s="28" t="n">
        <f aca="false">RC_VOUT*(1-EXP(-I557/RT_TAU))</f>
        <v>3.29791965916776</v>
      </c>
      <c r="L557" s="127" t="n">
        <f aca="false">RC_VOUT*(EXP(-I557/RT_TAU))</f>
        <v>0.00208034083224356</v>
      </c>
      <c r="M557" s="127"/>
    </row>
    <row r="558" customFormat="false" ht="15" hidden="false" customHeight="false" outlineLevel="0" collapsed="false">
      <c r="I558" s="28" t="n">
        <v>5.36</v>
      </c>
      <c r="J558" s="28" t="n">
        <f aca="false">RC_VOUT*(1-EXP(-I558/RT_TAU))</f>
        <v>3.29794811755581</v>
      </c>
      <c r="L558" s="127" t="n">
        <f aca="false">RC_VOUT*(EXP(-I558/RT_TAU))</f>
        <v>0.00205188244419141</v>
      </c>
      <c r="M558" s="127"/>
    </row>
    <row r="559" customFormat="false" ht="15" hidden="false" customHeight="false" outlineLevel="0" collapsed="false">
      <c r="I559" s="28" t="n">
        <v>5.37</v>
      </c>
      <c r="J559" s="28" t="n">
        <f aca="false">RC_VOUT*(1-EXP(-I559/RT_TAU))</f>
        <v>3.29797618664234</v>
      </c>
      <c r="L559" s="127" t="n">
        <f aca="false">RC_VOUT*(EXP(-I559/RT_TAU))</f>
        <v>0.00202381335766042</v>
      </c>
      <c r="M559" s="127"/>
    </row>
    <row r="560" customFormat="false" ht="15" hidden="false" customHeight="false" outlineLevel="0" collapsed="false">
      <c r="I560" s="28" t="n">
        <v>5.38</v>
      </c>
      <c r="J560" s="28" t="n">
        <f aca="false">RC_VOUT*(1-EXP(-I560/RT_TAU))</f>
        <v>3.29800387175287</v>
      </c>
      <c r="L560" s="127" t="n">
        <f aca="false">RC_VOUT*(EXP(-I560/RT_TAU))</f>
        <v>0.00199612824713201</v>
      </c>
      <c r="M560" s="127"/>
    </row>
    <row r="561" customFormat="false" ht="15" hidden="false" customHeight="false" outlineLevel="0" collapsed="false">
      <c r="I561" s="28" t="n">
        <v>5.39</v>
      </c>
      <c r="J561" s="28" t="n">
        <f aca="false">RC_VOUT*(1-EXP(-I561/RT_TAU))</f>
        <v>3.29803117814006</v>
      </c>
      <c r="L561" s="127" t="n">
        <f aca="false">RC_VOUT*(EXP(-I561/RT_TAU))</f>
        <v>0.00196882185993897</v>
      </c>
      <c r="M561" s="127"/>
    </row>
    <row r="562" customFormat="false" ht="15" hidden="false" customHeight="false" outlineLevel="0" collapsed="false">
      <c r="I562" s="28" t="n">
        <v>5.4</v>
      </c>
      <c r="J562" s="28" t="n">
        <f aca="false">RC_VOUT*(1-EXP(-I562/RT_TAU))</f>
        <v>3.29805811098473</v>
      </c>
      <c r="L562" s="127" t="n">
        <f aca="false">RC_VOUT*(EXP(-I562/RT_TAU))</f>
        <v>0.00194188901526886</v>
      </c>
      <c r="M562" s="127"/>
    </row>
    <row r="563" customFormat="false" ht="15" hidden="false" customHeight="false" outlineLevel="0" collapsed="false">
      <c r="I563" s="28" t="n">
        <v>5.41</v>
      </c>
      <c r="J563" s="28" t="n">
        <f aca="false">RC_VOUT*(1-EXP(-I563/RT_TAU))</f>
        <v>3.29808467539682</v>
      </c>
      <c r="L563" s="127" t="n">
        <f aca="false">RC_VOUT*(EXP(-I563/RT_TAU))</f>
        <v>0.00191532460318109</v>
      </c>
      <c r="M563" s="127"/>
    </row>
    <row r="564" customFormat="false" ht="15" hidden="false" customHeight="false" outlineLevel="0" collapsed="false">
      <c r="I564" s="28" t="n">
        <v>5.42</v>
      </c>
      <c r="J564" s="28" t="n">
        <f aca="false">RC_VOUT*(1-EXP(-I564/RT_TAU))</f>
        <v>3.29811087641636</v>
      </c>
      <c r="L564" s="127" t="n">
        <f aca="false">RC_VOUT*(EXP(-I564/RT_TAU))</f>
        <v>0.0018891235836374</v>
      </c>
      <c r="M564" s="127"/>
    </row>
    <row r="565" customFormat="false" ht="15" hidden="false" customHeight="false" outlineLevel="0" collapsed="false">
      <c r="I565" s="28" t="n">
        <v>5.43</v>
      </c>
      <c r="J565" s="28" t="n">
        <f aca="false">RC_VOUT*(1-EXP(-I565/RT_TAU))</f>
        <v>3.29813671901445</v>
      </c>
      <c r="L565" s="127" t="n">
        <f aca="false">RC_VOUT*(EXP(-I565/RT_TAU))</f>
        <v>0.0018632809855456</v>
      </c>
      <c r="M565" s="127"/>
    </row>
    <row r="566" customFormat="false" ht="15" hidden="false" customHeight="false" outlineLevel="0" collapsed="false">
      <c r="I566" s="28" t="n">
        <v>5.44</v>
      </c>
      <c r="J566" s="28" t="n">
        <f aca="false">RC_VOUT*(1-EXP(-I566/RT_TAU))</f>
        <v>3.29816220809418</v>
      </c>
      <c r="L566" s="127" t="n">
        <f aca="false">RC_VOUT*(EXP(-I566/RT_TAU))</f>
        <v>0.00183779190581646</v>
      </c>
      <c r="M566" s="127"/>
    </row>
    <row r="567" customFormat="false" ht="15" hidden="false" customHeight="false" outlineLevel="0" collapsed="false">
      <c r="I567" s="28" t="n">
        <v>5.45</v>
      </c>
      <c r="J567" s="28" t="n">
        <f aca="false">RC_VOUT*(1-EXP(-I567/RT_TAU))</f>
        <v>3.29818734849157</v>
      </c>
      <c r="L567" s="127" t="n">
        <f aca="false">RC_VOUT*(EXP(-I567/RT_TAU))</f>
        <v>0.00181265150843339</v>
      </c>
      <c r="M567" s="127"/>
    </row>
    <row r="568" customFormat="false" ht="15" hidden="false" customHeight="false" outlineLevel="0" collapsed="false">
      <c r="I568" s="28" t="n">
        <v>5.46</v>
      </c>
      <c r="J568" s="28" t="n">
        <f aca="false">RC_VOUT*(1-EXP(-I568/RT_TAU))</f>
        <v>3.29821214497647</v>
      </c>
      <c r="L568" s="127" t="n">
        <f aca="false">RC_VOUT*(EXP(-I568/RT_TAU))</f>
        <v>0.00178785502353496</v>
      </c>
      <c r="M568" s="127"/>
    </row>
    <row r="569" customFormat="false" ht="15" hidden="false" customHeight="false" outlineLevel="0" collapsed="false">
      <c r="I569" s="28" t="n">
        <v>5.47</v>
      </c>
      <c r="J569" s="28" t="n">
        <f aca="false">RC_VOUT*(1-EXP(-I569/RT_TAU))</f>
        <v>3.29823660225349</v>
      </c>
      <c r="L569" s="127" t="n">
        <f aca="false">RC_VOUT*(EXP(-I569/RT_TAU))</f>
        <v>0.00176339774650989</v>
      </c>
      <c r="M569" s="127"/>
    </row>
    <row r="570" customFormat="false" ht="15" hidden="false" customHeight="false" outlineLevel="0" collapsed="false">
      <c r="I570" s="28" t="n">
        <v>5.48</v>
      </c>
      <c r="J570" s="28" t="n">
        <f aca="false">RC_VOUT*(1-EXP(-I570/RT_TAU))</f>
        <v>3.2982607249629</v>
      </c>
      <c r="L570" s="127" t="n">
        <f aca="false">RC_VOUT*(EXP(-I570/RT_TAU))</f>
        <v>0.00173927503710446</v>
      </c>
      <c r="M570" s="127"/>
    </row>
    <row r="571" customFormat="false" ht="15" hidden="false" customHeight="false" outlineLevel="0" collapsed="false">
      <c r="I571" s="28" t="n">
        <v>5.49</v>
      </c>
      <c r="J571" s="28" t="n">
        <f aca="false">RC_VOUT*(1-EXP(-I571/RT_TAU))</f>
        <v>3.29828451768146</v>
      </c>
      <c r="L571" s="127" t="n">
        <f aca="false">RC_VOUT*(EXP(-I571/RT_TAU))</f>
        <v>0.00171548231854211</v>
      </c>
      <c r="M571" s="127"/>
    </row>
    <row r="572" customFormat="false" ht="15" hidden="false" customHeight="false" outlineLevel="0" collapsed="false">
      <c r="I572" s="28" t="n">
        <v>5.5</v>
      </c>
      <c r="J572" s="28" t="n">
        <f aca="false">RC_VOUT*(1-EXP(-I572/RT_TAU))</f>
        <v>3.29830798492334</v>
      </c>
      <c r="L572" s="127" t="n">
        <f aca="false">RC_VOUT*(EXP(-I572/RT_TAU))</f>
        <v>0.00169201507665511</v>
      </c>
      <c r="M572" s="127"/>
    </row>
    <row r="573" customFormat="false" ht="15" hidden="false" customHeight="false" outlineLevel="0" collapsed="false">
      <c r="I573" s="28" t="n">
        <v>5.51</v>
      </c>
      <c r="J573" s="28" t="n">
        <f aca="false">RC_VOUT*(1-EXP(-I573/RT_TAU))</f>
        <v>3.29833113114097</v>
      </c>
      <c r="L573" s="127" t="n">
        <f aca="false">RC_VOUT*(EXP(-I573/RT_TAU))</f>
        <v>0.00166886885902806</v>
      </c>
      <c r="M573" s="127"/>
    </row>
    <row r="574" customFormat="false" ht="15" hidden="false" customHeight="false" outlineLevel="0" collapsed="false">
      <c r="I574" s="28" t="n">
        <v>5.52</v>
      </c>
      <c r="J574" s="28" t="n">
        <f aca="false">RC_VOUT*(1-EXP(-I574/RT_TAU))</f>
        <v>3.29835396072585</v>
      </c>
      <c r="L574" s="127" t="n">
        <f aca="false">RC_VOUT*(EXP(-I574/RT_TAU))</f>
        <v>0.00164603927415319</v>
      </c>
      <c r="M574" s="127"/>
    </row>
    <row r="575" customFormat="false" ht="15" hidden="false" customHeight="false" outlineLevel="0" collapsed="false">
      <c r="I575" s="28" t="n">
        <v>5.53</v>
      </c>
      <c r="J575" s="28" t="n">
        <f aca="false">RC_VOUT*(1-EXP(-I575/RT_TAU))</f>
        <v>3.2983764780094</v>
      </c>
      <c r="L575" s="127" t="n">
        <f aca="false">RC_VOUT*(EXP(-I575/RT_TAU))</f>
        <v>0.0016235219905971</v>
      </c>
      <c r="M575" s="127"/>
    </row>
    <row r="576" customFormat="false" ht="15" hidden="false" customHeight="false" outlineLevel="0" collapsed="false">
      <c r="I576" s="28" t="n">
        <v>5.54</v>
      </c>
      <c r="J576" s="28" t="n">
        <f aca="false">RC_VOUT*(1-EXP(-I576/RT_TAU))</f>
        <v>3.29839868726382</v>
      </c>
      <c r="L576" s="127" t="n">
        <f aca="false">RC_VOUT*(EXP(-I576/RT_TAU))</f>
        <v>0.00160131273617902</v>
      </c>
      <c r="M576" s="127"/>
    </row>
    <row r="577" customFormat="false" ht="15" hidden="false" customHeight="false" outlineLevel="0" collapsed="false">
      <c r="I577" s="28" t="n">
        <v>5.55</v>
      </c>
      <c r="J577" s="28" t="n">
        <f aca="false">RC_VOUT*(1-EXP(-I577/RT_TAU))</f>
        <v>3.29842059270284</v>
      </c>
      <c r="L577" s="127" t="n">
        <f aca="false">RC_VOUT*(EXP(-I577/RT_TAU))</f>
        <v>0.00157940729716022</v>
      </c>
      <c r="M577" s="127"/>
    </row>
    <row r="578" customFormat="false" ht="15" hidden="false" customHeight="false" outlineLevel="0" collapsed="false">
      <c r="I578" s="28" t="n">
        <v>5.56</v>
      </c>
      <c r="J578" s="28" t="n">
        <f aca="false">RC_VOUT*(1-EXP(-I578/RT_TAU))</f>
        <v>3.29844219848256</v>
      </c>
      <c r="L578" s="127" t="n">
        <f aca="false">RC_VOUT*(EXP(-I578/RT_TAU))</f>
        <v>0.00155780151744455</v>
      </c>
      <c r="M578" s="127"/>
    </row>
    <row r="579" customFormat="false" ht="15" hidden="false" customHeight="false" outlineLevel="0" collapsed="false">
      <c r="I579" s="28" t="n">
        <v>5.57</v>
      </c>
      <c r="J579" s="28" t="n">
        <f aca="false">RC_VOUT*(1-EXP(-I579/RT_TAU))</f>
        <v>3.29846350870221</v>
      </c>
      <c r="L579" s="127" t="n">
        <f aca="false">RC_VOUT*(EXP(-I579/RT_TAU))</f>
        <v>0.00153649129778989</v>
      </c>
      <c r="M579" s="127"/>
    </row>
    <row r="580" customFormat="false" ht="15" hidden="false" customHeight="false" outlineLevel="0" collapsed="false">
      <c r="I580" s="28" t="n">
        <v>5.58</v>
      </c>
      <c r="J580" s="28" t="n">
        <f aca="false">RC_VOUT*(1-EXP(-I580/RT_TAU))</f>
        <v>3.29848452740497</v>
      </c>
      <c r="L580" s="127" t="n">
        <f aca="false">RC_VOUT*(EXP(-I580/RT_TAU))</f>
        <v>0.00151547259503044</v>
      </c>
      <c r="M580" s="127"/>
    </row>
    <row r="581" customFormat="false" ht="15" hidden="false" customHeight="false" outlineLevel="0" collapsed="false">
      <c r="I581" s="28" t="n">
        <v>5.59</v>
      </c>
      <c r="J581" s="28" t="n">
        <f aca="false">RC_VOUT*(1-EXP(-I581/RT_TAU))</f>
        <v>3.29850525857869</v>
      </c>
      <c r="L581" s="127" t="n">
        <f aca="false">RC_VOUT*(EXP(-I581/RT_TAU))</f>
        <v>0.00149474142130962</v>
      </c>
      <c r="M581" s="127"/>
    </row>
    <row r="582" customFormat="false" ht="15" hidden="false" customHeight="false" outlineLevel="0" collapsed="false">
      <c r="I582" s="28" t="n">
        <v>5.6</v>
      </c>
      <c r="J582" s="28" t="n">
        <f aca="false">RC_VOUT*(1-EXP(-I582/RT_TAU))</f>
        <v>3.29852570615668</v>
      </c>
      <c r="L582" s="127" t="n">
        <f aca="false">RC_VOUT*(EXP(-I582/RT_TAU))</f>
        <v>0.00147429384332338</v>
      </c>
      <c r="M582" s="127"/>
    </row>
    <row r="583" customFormat="false" ht="15" hidden="false" customHeight="false" outlineLevel="0" collapsed="false">
      <c r="I583" s="28" t="n">
        <v>5.61</v>
      </c>
      <c r="J583" s="28" t="n">
        <f aca="false">RC_VOUT*(1-EXP(-I583/RT_TAU))</f>
        <v>3.29854587401843</v>
      </c>
      <c r="L583" s="127" t="n">
        <f aca="false">RC_VOUT*(EXP(-I583/RT_TAU))</f>
        <v>0.00145412598157404</v>
      </c>
      <c r="M583" s="127"/>
    </row>
    <row r="584" customFormat="false" ht="15" hidden="false" customHeight="false" outlineLevel="0" collapsed="false">
      <c r="I584" s="28" t="n">
        <v>5.62</v>
      </c>
      <c r="J584" s="28" t="n">
        <f aca="false">RC_VOUT*(1-EXP(-I584/RT_TAU))</f>
        <v>3.29856576599037</v>
      </c>
      <c r="L584" s="127" t="n">
        <f aca="false">RC_VOUT*(EXP(-I584/RT_TAU))</f>
        <v>0.00143423400963417</v>
      </c>
      <c r="M584" s="127"/>
    </row>
    <row r="585" customFormat="false" ht="15" hidden="false" customHeight="false" outlineLevel="0" collapsed="false">
      <c r="I585" s="28" t="n">
        <v>5.63</v>
      </c>
      <c r="J585" s="28" t="n">
        <f aca="false">RC_VOUT*(1-EXP(-I585/RT_TAU))</f>
        <v>3.29858538584658</v>
      </c>
      <c r="L585" s="127" t="n">
        <f aca="false">RC_VOUT*(EXP(-I585/RT_TAU))</f>
        <v>0.00141461415342064</v>
      </c>
      <c r="M585" s="127"/>
    </row>
    <row r="586" customFormat="false" ht="15" hidden="false" customHeight="false" outlineLevel="0" collapsed="false">
      <c r="I586" s="28" t="n">
        <v>5.64</v>
      </c>
      <c r="J586" s="28" t="n">
        <f aca="false">RC_VOUT*(1-EXP(-I586/RT_TAU))</f>
        <v>3.29860473730952</v>
      </c>
      <c r="L586" s="127" t="n">
        <f aca="false">RC_VOUT*(EXP(-I586/RT_TAU))</f>
        <v>0.00139526269047854</v>
      </c>
      <c r="M586" s="127"/>
    </row>
    <row r="587" customFormat="false" ht="15" hidden="false" customHeight="false" outlineLevel="0" collapsed="false">
      <c r="I587" s="28" t="n">
        <v>5.65</v>
      </c>
      <c r="J587" s="28" t="n">
        <f aca="false">RC_VOUT*(1-EXP(-I587/RT_TAU))</f>
        <v>3.29862382405072</v>
      </c>
      <c r="L587" s="127" t="n">
        <f aca="false">RC_VOUT*(EXP(-I587/RT_TAU))</f>
        <v>0.00137617594927493</v>
      </c>
      <c r="M587" s="127"/>
    </row>
    <row r="588" customFormat="false" ht="15" hidden="false" customHeight="false" outlineLevel="0" collapsed="false">
      <c r="I588" s="28" t="n">
        <v>5.66</v>
      </c>
      <c r="J588" s="28" t="n">
        <f aca="false">RC_VOUT*(1-EXP(-I588/RT_TAU))</f>
        <v>3.2986426496915</v>
      </c>
      <c r="L588" s="127" t="n">
        <f aca="false">RC_VOUT*(EXP(-I588/RT_TAU))</f>
        <v>0.00135735030850228</v>
      </c>
      <c r="M588" s="127"/>
    </row>
    <row r="589" customFormat="false" ht="15" hidden="false" customHeight="false" outlineLevel="0" collapsed="false">
      <c r="I589" s="28" t="n">
        <v>5.67</v>
      </c>
      <c r="J589" s="28" t="n">
        <f aca="false">RC_VOUT*(1-EXP(-I589/RT_TAU))</f>
        <v>3.29866121780361</v>
      </c>
      <c r="L589" s="127" t="n">
        <f aca="false">RC_VOUT*(EXP(-I589/RT_TAU))</f>
        <v>0.00133878219639134</v>
      </c>
      <c r="M589" s="127"/>
    </row>
    <row r="590" customFormat="false" ht="15" hidden="false" customHeight="false" outlineLevel="0" collapsed="false">
      <c r="I590" s="28" t="n">
        <v>5.68</v>
      </c>
      <c r="J590" s="28" t="n">
        <f aca="false">RC_VOUT*(1-EXP(-I590/RT_TAU))</f>
        <v>3.29867953190997</v>
      </c>
      <c r="L590" s="127" t="n">
        <f aca="false">RC_VOUT*(EXP(-I590/RT_TAU))</f>
        <v>0.00132046809003352</v>
      </c>
      <c r="M590" s="127"/>
    </row>
    <row r="591" customFormat="false" ht="15" hidden="false" customHeight="false" outlineLevel="0" collapsed="false">
      <c r="I591" s="28" t="n">
        <v>5.69</v>
      </c>
      <c r="J591" s="28" t="n">
        <f aca="false">RC_VOUT*(1-EXP(-I591/RT_TAU))</f>
        <v>3.29869759548529</v>
      </c>
      <c r="L591" s="127" t="n">
        <f aca="false">RC_VOUT*(EXP(-I591/RT_TAU))</f>
        <v>0.00130240451471249</v>
      </c>
      <c r="M591" s="127"/>
    </row>
    <row r="592" customFormat="false" ht="15" hidden="false" customHeight="false" outlineLevel="0" collapsed="false">
      <c r="I592" s="28" t="n">
        <v>5.7</v>
      </c>
      <c r="J592" s="28" t="n">
        <f aca="false">RC_VOUT*(1-EXP(-I592/RT_TAU))</f>
        <v>3.29871541195676</v>
      </c>
      <c r="L592" s="127" t="n">
        <f aca="false">RC_VOUT*(EXP(-I592/RT_TAU))</f>
        <v>0.00128458804324488</v>
      </c>
      <c r="M592" s="127"/>
    </row>
    <row r="593" customFormat="false" ht="15" hidden="false" customHeight="false" outlineLevel="0" collapsed="false">
      <c r="I593" s="28" t="n">
        <v>5.71</v>
      </c>
      <c r="J593" s="28" t="n">
        <f aca="false">RC_VOUT*(1-EXP(-I593/RT_TAU))</f>
        <v>3.29873298470467</v>
      </c>
      <c r="L593" s="127" t="n">
        <f aca="false">RC_VOUT*(EXP(-I593/RT_TAU))</f>
        <v>0.00126701529533011</v>
      </c>
      <c r="M593" s="127"/>
    </row>
    <row r="594" customFormat="false" ht="15" hidden="false" customHeight="false" outlineLevel="0" collapsed="false">
      <c r="I594" s="28" t="n">
        <v>5.72</v>
      </c>
      <c r="J594" s="28" t="n">
        <f aca="false">RC_VOUT*(1-EXP(-I594/RT_TAU))</f>
        <v>3.29875031706309</v>
      </c>
      <c r="L594" s="127" t="n">
        <f aca="false">RC_VOUT*(EXP(-I594/RT_TAU))</f>
        <v>0.00124968293690901</v>
      </c>
      <c r="M594" s="127"/>
    </row>
    <row r="595" customFormat="false" ht="15" hidden="false" customHeight="false" outlineLevel="0" collapsed="false">
      <c r="I595" s="28" t="n">
        <v>5.73</v>
      </c>
      <c r="J595" s="28" t="n">
        <f aca="false">RC_VOUT*(1-EXP(-I595/RT_TAU))</f>
        <v>3.29876741232047</v>
      </c>
      <c r="L595" s="127" t="n">
        <f aca="false">RC_VOUT*(EXP(-I595/RT_TAU))</f>
        <v>0.00123258767953123</v>
      </c>
      <c r="M595" s="127"/>
    </row>
    <row r="596" customFormat="false" ht="15" hidden="false" customHeight="false" outlineLevel="0" collapsed="false">
      <c r="I596" s="28" t="n">
        <v>5.74</v>
      </c>
      <c r="J596" s="28" t="n">
        <f aca="false">RC_VOUT*(1-EXP(-I596/RT_TAU))</f>
        <v>3.29878427372027</v>
      </c>
      <c r="L596" s="127" t="n">
        <f aca="false">RC_VOUT*(EXP(-I596/RT_TAU))</f>
        <v>0.00121572627973138</v>
      </c>
      <c r="M596" s="127"/>
    </row>
    <row r="597" customFormat="false" ht="15" hidden="false" customHeight="false" outlineLevel="0" collapsed="false">
      <c r="I597" s="28" t="n">
        <v>5.75</v>
      </c>
      <c r="J597" s="28" t="n">
        <f aca="false">RC_VOUT*(1-EXP(-I597/RT_TAU))</f>
        <v>3.29880090446159</v>
      </c>
      <c r="L597" s="127" t="n">
        <f aca="false">RC_VOUT*(EXP(-I597/RT_TAU))</f>
        <v>0.00119909553841363</v>
      </c>
      <c r="M597" s="127"/>
    </row>
    <row r="598" customFormat="false" ht="15" hidden="false" customHeight="false" outlineLevel="0" collapsed="false">
      <c r="I598" s="28" t="n">
        <v>5.76</v>
      </c>
      <c r="J598" s="28" t="n">
        <f aca="false">RC_VOUT*(1-EXP(-I598/RT_TAU))</f>
        <v>3.29881730769976</v>
      </c>
      <c r="L598" s="127" t="n">
        <f aca="false">RC_VOUT*(EXP(-I598/RT_TAU))</f>
        <v>0.00118269230024474</v>
      </c>
      <c r="M598" s="127"/>
    </row>
    <row r="599" customFormat="false" ht="15" hidden="false" customHeight="false" outlineLevel="0" collapsed="false">
      <c r="I599" s="28" t="n">
        <v>5.77</v>
      </c>
      <c r="J599" s="28" t="n">
        <f aca="false">RC_VOUT*(1-EXP(-I599/RT_TAU))</f>
        <v>3.29883348654694</v>
      </c>
      <c r="L599" s="127" t="n">
        <f aca="false">RC_VOUT*(EXP(-I599/RT_TAU))</f>
        <v>0.00116651345305538</v>
      </c>
      <c r="M599" s="127"/>
    </row>
    <row r="600" customFormat="false" ht="15" hidden="false" customHeight="false" outlineLevel="0" collapsed="false">
      <c r="I600" s="28" t="n">
        <v>5.78</v>
      </c>
      <c r="J600" s="28" t="n">
        <f aca="false">RC_VOUT*(1-EXP(-I600/RT_TAU))</f>
        <v>3.29884944407275</v>
      </c>
      <c r="L600" s="127" t="n">
        <f aca="false">RC_VOUT*(EXP(-I600/RT_TAU))</f>
        <v>0.00115055592724971</v>
      </c>
      <c r="M600" s="127"/>
    </row>
    <row r="601" customFormat="false" ht="15" hidden="false" customHeight="false" outlineLevel="0" collapsed="false">
      <c r="I601" s="28" t="n">
        <v>5.79</v>
      </c>
      <c r="J601" s="28" t="n">
        <f aca="false">RC_VOUT*(1-EXP(-I601/RT_TAU))</f>
        <v>3.29886518330478</v>
      </c>
      <c r="L601" s="127" t="n">
        <f aca="false">RC_VOUT*(EXP(-I601/RT_TAU))</f>
        <v>0.00113481669522298</v>
      </c>
      <c r="M601" s="127"/>
    </row>
    <row r="602" customFormat="false" ht="15" hidden="false" customHeight="false" outlineLevel="0" collapsed="false">
      <c r="I602" s="28" t="n">
        <v>5.8</v>
      </c>
      <c r="J602" s="28" t="n">
        <f aca="false">RC_VOUT*(1-EXP(-I602/RT_TAU))</f>
        <v>3.29888070722921</v>
      </c>
      <c r="L602" s="127" t="n">
        <f aca="false">RC_VOUT*(EXP(-I602/RT_TAU))</f>
        <v>0.00111929277078705</v>
      </c>
      <c r="M602" s="127"/>
    </row>
    <row r="603" customFormat="false" ht="15" hidden="false" customHeight="false" outlineLevel="0" collapsed="false">
      <c r="I603" s="28" t="n">
        <v>5.81</v>
      </c>
      <c r="J603" s="28" t="n">
        <f aca="false">RC_VOUT*(1-EXP(-I603/RT_TAU))</f>
        <v>3.2988960187914</v>
      </c>
      <c r="L603" s="127" t="n">
        <f aca="false">RC_VOUT*(EXP(-I603/RT_TAU))</f>
        <v>0.00110398120860391</v>
      </c>
      <c r="M603" s="127"/>
    </row>
    <row r="604" customFormat="false" ht="15" hidden="false" customHeight="false" outlineLevel="0" collapsed="false">
      <c r="I604" s="28" t="n">
        <v>5.82</v>
      </c>
      <c r="J604" s="28" t="n">
        <f aca="false">RC_VOUT*(1-EXP(-I604/RT_TAU))</f>
        <v>3.29891112089637</v>
      </c>
      <c r="L604" s="127" t="n">
        <f aca="false">RC_VOUT*(EXP(-I604/RT_TAU))</f>
        <v>0.00108887910362679</v>
      </c>
      <c r="M604" s="127"/>
    </row>
    <row r="605" customFormat="false" ht="15" hidden="false" customHeight="false" outlineLevel="0" collapsed="false">
      <c r="I605" s="28" t="n">
        <v>5.83</v>
      </c>
      <c r="J605" s="28" t="n">
        <f aca="false">RC_VOUT*(1-EXP(-I605/RT_TAU))</f>
        <v>3.29892601640945</v>
      </c>
      <c r="L605" s="127" t="n">
        <f aca="false">RC_VOUT*(EXP(-I605/RT_TAU))</f>
        <v>0.00107398359054903</v>
      </c>
      <c r="M605" s="127"/>
    </row>
    <row r="606" customFormat="false" ht="15" hidden="false" customHeight="false" outlineLevel="0" collapsed="false">
      <c r="I606" s="28" t="n">
        <v>5.84</v>
      </c>
      <c r="J606" s="28" t="n">
        <f aca="false">RC_VOUT*(1-EXP(-I606/RT_TAU))</f>
        <v>3.29894070815674</v>
      </c>
      <c r="L606" s="127" t="n">
        <f aca="false">RC_VOUT*(EXP(-I606/RT_TAU))</f>
        <v>0.00105929184326042</v>
      </c>
      <c r="M606" s="127"/>
    </row>
    <row r="607" customFormat="false" ht="15" hidden="false" customHeight="false" outlineLevel="0" collapsed="false">
      <c r="I607" s="28" t="n">
        <v>5.85</v>
      </c>
      <c r="J607" s="28" t="n">
        <f aca="false">RC_VOUT*(1-EXP(-I607/RT_TAU))</f>
        <v>3.29895519892569</v>
      </c>
      <c r="L607" s="127" t="n">
        <f aca="false">RC_VOUT*(EXP(-I607/RT_TAU))</f>
        <v>0.00104480107431105</v>
      </c>
      <c r="M607" s="127"/>
    </row>
    <row r="608" customFormat="false" ht="15" hidden="false" customHeight="false" outlineLevel="0" collapsed="false">
      <c r="I608" s="28" t="n">
        <v>5.86</v>
      </c>
      <c r="J608" s="28" t="n">
        <f aca="false">RC_VOUT*(1-EXP(-I608/RT_TAU))</f>
        <v>3.29896949146562</v>
      </c>
      <c r="L608" s="127" t="n">
        <f aca="false">RC_VOUT*(EXP(-I608/RT_TAU))</f>
        <v>0.0010305085343824</v>
      </c>
      <c r="M608" s="127"/>
    </row>
    <row r="609" customFormat="false" ht="15" hidden="false" customHeight="false" outlineLevel="0" collapsed="false">
      <c r="I609" s="28" t="n">
        <v>5.87</v>
      </c>
      <c r="J609" s="28" t="n">
        <f aca="false">RC_VOUT*(1-EXP(-I609/RT_TAU))</f>
        <v>3.29898358848823</v>
      </c>
      <c r="L609" s="127" t="n">
        <f aca="false">RC_VOUT*(EXP(-I609/RT_TAU))</f>
        <v>0.00101641151176574</v>
      </c>
      <c r="M609" s="127"/>
    </row>
    <row r="610" customFormat="false" ht="15" hidden="false" customHeight="false" outlineLevel="0" collapsed="false">
      <c r="I610" s="28" t="n">
        <v>5.88</v>
      </c>
      <c r="J610" s="28" t="n">
        <f aca="false">RC_VOUT*(1-EXP(-I610/RT_TAU))</f>
        <v>3.29899749266815</v>
      </c>
      <c r="L610" s="127" t="n">
        <f aca="false">RC_VOUT*(EXP(-I610/RT_TAU))</f>
        <v>0.00100250733184763</v>
      </c>
      <c r="M610" s="127"/>
    </row>
    <row r="611" customFormat="false" ht="15" hidden="false" customHeight="false" outlineLevel="0" collapsed="false">
      <c r="I611" s="28" t="n">
        <v>5.89</v>
      </c>
      <c r="J611" s="28" t="n">
        <f aca="false">RC_VOUT*(1-EXP(-I611/RT_TAU))</f>
        <v>3.2990112066434</v>
      </c>
      <c r="L611" s="127" t="n">
        <f aca="false">RC_VOUT*(EXP(-I611/RT_TAU))</f>
        <v>0.000988793356602488</v>
      </c>
      <c r="M611" s="127"/>
    </row>
    <row r="612" customFormat="false" ht="15" hidden="false" customHeight="false" outlineLevel="0" collapsed="false">
      <c r="I612" s="28" t="n">
        <v>5.9</v>
      </c>
      <c r="J612" s="28" t="n">
        <f aca="false">RC_VOUT*(1-EXP(-I612/RT_TAU))</f>
        <v>3.29902473301591</v>
      </c>
      <c r="L612" s="127" t="n">
        <f aca="false">RC_VOUT*(EXP(-I612/RT_TAU))</f>
        <v>0.000975266984092058</v>
      </c>
      <c r="M612" s="127"/>
    </row>
    <row r="613" customFormat="false" ht="15" hidden="false" customHeight="false" outlineLevel="0" collapsed="false">
      <c r="I613" s="28" t="n">
        <v>5.91</v>
      </c>
      <c r="J613" s="28" t="n">
        <f aca="false">RC_VOUT*(1-EXP(-I613/RT_TAU))</f>
        <v>3.29903807435203</v>
      </c>
      <c r="L613" s="127" t="n">
        <f aca="false">RC_VOUT*(EXP(-I613/RT_TAU))</f>
        <v>0.00096192564797176</v>
      </c>
      <c r="M613" s="127"/>
    </row>
    <row r="614" customFormat="false" ht="15" hidden="false" customHeight="false" outlineLevel="0" collapsed="false">
      <c r="I614" s="28" t="n">
        <v>5.92</v>
      </c>
      <c r="J614" s="28" t="n">
        <f aca="false">RC_VOUT*(1-EXP(-I614/RT_TAU))</f>
        <v>3.299051233183</v>
      </c>
      <c r="L614" s="127" t="n">
        <f aca="false">RC_VOUT*(EXP(-I614/RT_TAU))</f>
        <v>0.000948766817003772</v>
      </c>
      <c r="M614" s="127"/>
    </row>
    <row r="615" customFormat="false" ht="15" hidden="false" customHeight="false" outlineLevel="0" collapsed="false">
      <c r="I615" s="28" t="n">
        <v>5.93</v>
      </c>
      <c r="J615" s="28" t="n">
        <f aca="false">RC_VOUT*(1-EXP(-I615/RT_TAU))</f>
        <v>3.29906421200542</v>
      </c>
      <c r="L615" s="127" t="n">
        <f aca="false">RC_VOUT*(EXP(-I615/RT_TAU))</f>
        <v>0.000935787994576787</v>
      </c>
      <c r="M615" s="127"/>
    </row>
    <row r="616" customFormat="false" ht="15" hidden="false" customHeight="false" outlineLevel="0" collapsed="false">
      <c r="I616" s="28" t="n">
        <v>5.94</v>
      </c>
      <c r="J616" s="28" t="n">
        <f aca="false">RC_VOUT*(1-EXP(-I616/RT_TAU))</f>
        <v>3.29907701328177</v>
      </c>
      <c r="L616" s="127" t="n">
        <f aca="false">RC_VOUT*(EXP(-I616/RT_TAU))</f>
        <v>0.000922986718232328</v>
      </c>
      <c r="M616" s="127"/>
    </row>
    <row r="617" customFormat="false" ht="15" hidden="false" customHeight="false" outlineLevel="0" collapsed="false">
      <c r="I617" s="28" t="n">
        <v>5.95</v>
      </c>
      <c r="J617" s="28" t="n">
        <f aca="false">RC_VOUT*(1-EXP(-I617/RT_TAU))</f>
        <v>3.2990896394408</v>
      </c>
      <c r="L617" s="127" t="n">
        <f aca="false">RC_VOUT*(EXP(-I617/RT_TAU))</f>
        <v>0.000910360559197557</v>
      </c>
      <c r="M617" s="127"/>
    </row>
    <row r="618" customFormat="false" ht="15" hidden="false" customHeight="false" outlineLevel="0" collapsed="false">
      <c r="I618" s="28" t="n">
        <v>5.96</v>
      </c>
      <c r="J618" s="28" t="n">
        <f aca="false">RC_VOUT*(1-EXP(-I618/RT_TAU))</f>
        <v>3.29910209287808</v>
      </c>
      <c r="L618" s="127" t="n">
        <f aca="false">RC_VOUT*(EXP(-I618/RT_TAU))</f>
        <v>0.000897907121924456</v>
      </c>
      <c r="M618" s="127"/>
    </row>
    <row r="619" customFormat="false" ht="15" hidden="false" customHeight="false" outlineLevel="0" collapsed="false">
      <c r="I619" s="28" t="n">
        <v>5.97</v>
      </c>
      <c r="J619" s="28" t="n">
        <f aca="false">RC_VOUT*(1-EXP(-I619/RT_TAU))</f>
        <v>3.29911437595636</v>
      </c>
      <c r="L619" s="127" t="n">
        <f aca="false">RC_VOUT*(EXP(-I619/RT_TAU))</f>
        <v>0.000885624043635329</v>
      </c>
      <c r="M619" s="127"/>
    </row>
    <row r="620" customFormat="false" ht="15" hidden="false" customHeight="false" outlineLevel="0" collapsed="false">
      <c r="I620" s="28" t="n">
        <v>5.98</v>
      </c>
      <c r="J620" s="28" t="n">
        <f aca="false">RC_VOUT*(1-EXP(-I620/RT_TAU))</f>
        <v>3.29912649100613</v>
      </c>
      <c r="L620" s="127" t="n">
        <f aca="false">RC_VOUT*(EXP(-I620/RT_TAU))</f>
        <v>0.000873508993874513</v>
      </c>
      <c r="M620" s="127"/>
    </row>
    <row r="621" customFormat="false" ht="15" hidden="false" customHeight="false" outlineLevel="0" collapsed="false">
      <c r="I621" s="28" t="n">
        <v>5.99</v>
      </c>
      <c r="J621" s="28" t="n">
        <f aca="false">RC_VOUT*(1-EXP(-I621/RT_TAU))</f>
        <v>3.29913844032593</v>
      </c>
      <c r="L621" s="127" t="n">
        <f aca="false">RC_VOUT*(EXP(-I621/RT_TAU))</f>
        <v>0.000861559674066222</v>
      </c>
      <c r="M621" s="127"/>
    </row>
    <row r="622" customFormat="false" ht="15" hidden="false" customHeight="false" outlineLevel="0" collapsed="false">
      <c r="I622" s="28" t="n">
        <v>6</v>
      </c>
      <c r="J622" s="28" t="n">
        <f aca="false">RC_VOUT*(1-EXP(-I622/RT_TAU))</f>
        <v>3.29915022618292</v>
      </c>
      <c r="L622" s="127" t="n">
        <f aca="false">RC_VOUT*(EXP(-I622/RT_TAU))</f>
        <v>0.000849773817078442</v>
      </c>
      <c r="M622" s="127"/>
    </row>
  </sheetData>
  <mergeCells count="608">
    <mergeCell ref="C3:C4"/>
    <mergeCell ref="D3:E4"/>
    <mergeCell ref="C5:C6"/>
    <mergeCell ref="I5:I6"/>
    <mergeCell ref="C7:C11"/>
    <mergeCell ref="D7:E11"/>
    <mergeCell ref="F7:F1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L113:M113"/>
    <mergeCell ref="L114:M114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132:M132"/>
    <mergeCell ref="L133:M133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L149:M149"/>
    <mergeCell ref="L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6:M166"/>
    <mergeCell ref="L167:M167"/>
    <mergeCell ref="L168:M168"/>
    <mergeCell ref="L169:M169"/>
    <mergeCell ref="L170:M170"/>
    <mergeCell ref="L171:M171"/>
    <mergeCell ref="L172:M172"/>
    <mergeCell ref="L173:M173"/>
    <mergeCell ref="L174:M174"/>
    <mergeCell ref="L175:M175"/>
    <mergeCell ref="L176:M176"/>
    <mergeCell ref="L177:M177"/>
    <mergeCell ref="L178:M178"/>
    <mergeCell ref="L179:M179"/>
    <mergeCell ref="L180:M180"/>
    <mergeCell ref="L181:M181"/>
    <mergeCell ref="L182:M182"/>
    <mergeCell ref="L183:M183"/>
    <mergeCell ref="L184:M184"/>
    <mergeCell ref="L185:M185"/>
    <mergeCell ref="L186:M186"/>
    <mergeCell ref="L187:M187"/>
    <mergeCell ref="L188:M188"/>
    <mergeCell ref="L189:M189"/>
    <mergeCell ref="L190:M190"/>
    <mergeCell ref="L191:M191"/>
    <mergeCell ref="L192:M192"/>
    <mergeCell ref="L193:M193"/>
    <mergeCell ref="L194:M194"/>
    <mergeCell ref="L195:M195"/>
    <mergeCell ref="L196:M196"/>
    <mergeCell ref="L197:M197"/>
    <mergeCell ref="L198:M198"/>
    <mergeCell ref="L199:M199"/>
    <mergeCell ref="L200:M200"/>
    <mergeCell ref="L201:M201"/>
    <mergeCell ref="L202:M202"/>
    <mergeCell ref="L203:M203"/>
    <mergeCell ref="L204:M204"/>
    <mergeCell ref="L205:M205"/>
    <mergeCell ref="L206:M206"/>
    <mergeCell ref="L207:M207"/>
    <mergeCell ref="L208:M208"/>
    <mergeCell ref="L209:M209"/>
    <mergeCell ref="L210:M210"/>
    <mergeCell ref="L211:M211"/>
    <mergeCell ref="L212:M212"/>
    <mergeCell ref="L213:M213"/>
    <mergeCell ref="L214:M214"/>
    <mergeCell ref="L215:M215"/>
    <mergeCell ref="L216:M216"/>
    <mergeCell ref="L217:M217"/>
    <mergeCell ref="L218:M218"/>
    <mergeCell ref="L219:M219"/>
    <mergeCell ref="L220:M220"/>
    <mergeCell ref="L221:M221"/>
    <mergeCell ref="L222:M222"/>
    <mergeCell ref="L223:M223"/>
    <mergeCell ref="L224:M224"/>
    <mergeCell ref="L225:M225"/>
    <mergeCell ref="L226:M226"/>
    <mergeCell ref="L227:M227"/>
    <mergeCell ref="L228:M228"/>
    <mergeCell ref="L229:M229"/>
    <mergeCell ref="L230:M230"/>
    <mergeCell ref="L231:M231"/>
    <mergeCell ref="L232:M232"/>
    <mergeCell ref="L233:M233"/>
    <mergeCell ref="L234:M234"/>
    <mergeCell ref="L235:M235"/>
    <mergeCell ref="L236:M236"/>
    <mergeCell ref="L237:M237"/>
    <mergeCell ref="L238:M238"/>
    <mergeCell ref="L239:M239"/>
    <mergeCell ref="L240:M240"/>
    <mergeCell ref="L241:M241"/>
    <mergeCell ref="L242:M242"/>
    <mergeCell ref="L243:M243"/>
    <mergeCell ref="L244:M244"/>
    <mergeCell ref="L245:M245"/>
    <mergeCell ref="L246:M246"/>
    <mergeCell ref="L247:M247"/>
    <mergeCell ref="L248:M248"/>
    <mergeCell ref="L249:M249"/>
    <mergeCell ref="L250:M250"/>
    <mergeCell ref="L251:M251"/>
    <mergeCell ref="L252:M252"/>
    <mergeCell ref="L253:M253"/>
    <mergeCell ref="L254:M254"/>
    <mergeCell ref="L255:M255"/>
    <mergeCell ref="L256:M256"/>
    <mergeCell ref="L257:M257"/>
    <mergeCell ref="L258:M258"/>
    <mergeCell ref="L259:M259"/>
    <mergeCell ref="L260:M260"/>
    <mergeCell ref="L261:M261"/>
    <mergeCell ref="L262:M262"/>
    <mergeCell ref="L263:M263"/>
    <mergeCell ref="L264:M264"/>
    <mergeCell ref="L265:M265"/>
    <mergeCell ref="L266:M266"/>
    <mergeCell ref="L267:M267"/>
    <mergeCell ref="L268:M268"/>
    <mergeCell ref="L269:M269"/>
    <mergeCell ref="L270:M270"/>
    <mergeCell ref="L271:M271"/>
    <mergeCell ref="L272:M272"/>
    <mergeCell ref="L273:M273"/>
    <mergeCell ref="L274:M274"/>
    <mergeCell ref="L275:M275"/>
    <mergeCell ref="L276:M276"/>
    <mergeCell ref="L277:M277"/>
    <mergeCell ref="L278:M278"/>
    <mergeCell ref="L279:M279"/>
    <mergeCell ref="L280:M280"/>
    <mergeCell ref="L281:M281"/>
    <mergeCell ref="L282:M282"/>
    <mergeCell ref="L283:M283"/>
    <mergeCell ref="L284:M284"/>
    <mergeCell ref="L285:M285"/>
    <mergeCell ref="L286:M286"/>
    <mergeCell ref="L287:M287"/>
    <mergeCell ref="L288:M288"/>
    <mergeCell ref="L289:M289"/>
    <mergeCell ref="L290:M290"/>
    <mergeCell ref="L291:M291"/>
    <mergeCell ref="L292:M292"/>
    <mergeCell ref="L293:M293"/>
    <mergeCell ref="L294:M294"/>
    <mergeCell ref="L295:M295"/>
    <mergeCell ref="L296:M296"/>
    <mergeCell ref="L297:M297"/>
    <mergeCell ref="L298:M298"/>
    <mergeCell ref="L299:M299"/>
    <mergeCell ref="L300:M300"/>
    <mergeCell ref="L301:M301"/>
    <mergeCell ref="L302:M302"/>
    <mergeCell ref="L303:M303"/>
    <mergeCell ref="L304:M304"/>
    <mergeCell ref="L305:M305"/>
    <mergeCell ref="L306:M306"/>
    <mergeCell ref="L307:M307"/>
    <mergeCell ref="L308:M308"/>
    <mergeCell ref="L309:M309"/>
    <mergeCell ref="L310:M310"/>
    <mergeCell ref="L311:M311"/>
    <mergeCell ref="L312:M312"/>
    <mergeCell ref="L313:M313"/>
    <mergeCell ref="L314:M314"/>
    <mergeCell ref="L315:M315"/>
    <mergeCell ref="L316:M316"/>
    <mergeCell ref="L317:M317"/>
    <mergeCell ref="L318:M318"/>
    <mergeCell ref="L319:M319"/>
    <mergeCell ref="L320:M320"/>
    <mergeCell ref="L321:M321"/>
    <mergeCell ref="L322:M322"/>
    <mergeCell ref="L323:M323"/>
    <mergeCell ref="L324:M324"/>
    <mergeCell ref="L325:M325"/>
    <mergeCell ref="L326:M326"/>
    <mergeCell ref="L327:M327"/>
    <mergeCell ref="L328:M328"/>
    <mergeCell ref="L329:M329"/>
    <mergeCell ref="L330:M330"/>
    <mergeCell ref="L331:M331"/>
    <mergeCell ref="L332:M332"/>
    <mergeCell ref="L333:M333"/>
    <mergeCell ref="L334:M334"/>
    <mergeCell ref="L335:M335"/>
    <mergeCell ref="L336:M336"/>
    <mergeCell ref="L337:M337"/>
    <mergeCell ref="L338:M338"/>
    <mergeCell ref="L339:M339"/>
    <mergeCell ref="L340:M340"/>
    <mergeCell ref="L341:M341"/>
    <mergeCell ref="L342:M342"/>
    <mergeCell ref="L343:M343"/>
    <mergeCell ref="L344:M344"/>
    <mergeCell ref="L345:M345"/>
    <mergeCell ref="L346:M346"/>
    <mergeCell ref="L347:M347"/>
    <mergeCell ref="L348:M348"/>
    <mergeCell ref="L349:M349"/>
    <mergeCell ref="L350:M350"/>
    <mergeCell ref="L351:M351"/>
    <mergeCell ref="L352:M352"/>
    <mergeCell ref="L353:M353"/>
    <mergeCell ref="L354:M354"/>
    <mergeCell ref="L355:M355"/>
    <mergeCell ref="L356:M356"/>
    <mergeCell ref="L357:M357"/>
    <mergeCell ref="L358:M358"/>
    <mergeCell ref="L359:M359"/>
    <mergeCell ref="L360:M360"/>
    <mergeCell ref="L361:M361"/>
    <mergeCell ref="L362:M362"/>
    <mergeCell ref="L363:M363"/>
    <mergeCell ref="L364:M364"/>
    <mergeCell ref="L365:M365"/>
    <mergeCell ref="L366:M366"/>
    <mergeCell ref="L367:M367"/>
    <mergeCell ref="L368:M368"/>
    <mergeCell ref="L369:M369"/>
    <mergeCell ref="L370:M370"/>
    <mergeCell ref="L371:M371"/>
    <mergeCell ref="L372:M372"/>
    <mergeCell ref="L373:M373"/>
    <mergeCell ref="L374:M374"/>
    <mergeCell ref="L375:M375"/>
    <mergeCell ref="L376:M376"/>
    <mergeCell ref="L377:M377"/>
    <mergeCell ref="L378:M378"/>
    <mergeCell ref="L379:M379"/>
    <mergeCell ref="L380:M380"/>
    <mergeCell ref="L381:M381"/>
    <mergeCell ref="L382:M382"/>
    <mergeCell ref="L383:M383"/>
    <mergeCell ref="L384:M384"/>
    <mergeCell ref="L385:M385"/>
    <mergeCell ref="L386:M386"/>
    <mergeCell ref="L387:M387"/>
    <mergeCell ref="L388:M388"/>
    <mergeCell ref="L389:M389"/>
    <mergeCell ref="L390:M390"/>
    <mergeCell ref="L391:M391"/>
    <mergeCell ref="L392:M392"/>
    <mergeCell ref="L393:M393"/>
    <mergeCell ref="L394:M394"/>
    <mergeCell ref="L395:M395"/>
    <mergeCell ref="L396:M396"/>
    <mergeCell ref="L397:M397"/>
    <mergeCell ref="L398:M398"/>
    <mergeCell ref="L399:M399"/>
    <mergeCell ref="L400:M400"/>
    <mergeCell ref="L401:M401"/>
    <mergeCell ref="L402:M402"/>
    <mergeCell ref="L403:M403"/>
    <mergeCell ref="L404:M404"/>
    <mergeCell ref="L405:M405"/>
    <mergeCell ref="L406:M406"/>
    <mergeCell ref="L407:M407"/>
    <mergeCell ref="L408:M408"/>
    <mergeCell ref="L409:M409"/>
    <mergeCell ref="L410:M410"/>
    <mergeCell ref="L411:M411"/>
    <mergeCell ref="L412:M412"/>
    <mergeCell ref="L413:M413"/>
    <mergeCell ref="L414:M414"/>
    <mergeCell ref="L415:M415"/>
    <mergeCell ref="L416:M416"/>
    <mergeCell ref="L417:M417"/>
    <mergeCell ref="L418:M418"/>
    <mergeCell ref="L419:M419"/>
    <mergeCell ref="L420:M420"/>
    <mergeCell ref="L421:M421"/>
    <mergeCell ref="L422:M422"/>
    <mergeCell ref="L423:M423"/>
    <mergeCell ref="L424:M424"/>
    <mergeCell ref="L425:M425"/>
    <mergeCell ref="L426:M426"/>
    <mergeCell ref="L427:M427"/>
    <mergeCell ref="L428:M428"/>
    <mergeCell ref="L429:M429"/>
    <mergeCell ref="L430:M430"/>
    <mergeCell ref="L431:M431"/>
    <mergeCell ref="L432:M432"/>
    <mergeCell ref="L433:M433"/>
    <mergeCell ref="L434:M434"/>
    <mergeCell ref="L435:M435"/>
    <mergeCell ref="L436:M436"/>
    <mergeCell ref="L437:M437"/>
    <mergeCell ref="L438:M438"/>
    <mergeCell ref="L439:M439"/>
    <mergeCell ref="L440:M440"/>
    <mergeCell ref="L441:M441"/>
    <mergeCell ref="L442:M442"/>
    <mergeCell ref="L443:M443"/>
    <mergeCell ref="L444:M444"/>
    <mergeCell ref="L445:M445"/>
    <mergeCell ref="L446:M446"/>
    <mergeCell ref="L447:M447"/>
    <mergeCell ref="L448:M448"/>
    <mergeCell ref="L449:M449"/>
    <mergeCell ref="L450:M450"/>
    <mergeCell ref="L451:M451"/>
    <mergeCell ref="L452:M452"/>
    <mergeCell ref="L453:M453"/>
    <mergeCell ref="L454:M454"/>
    <mergeCell ref="L455:M455"/>
    <mergeCell ref="L456:M456"/>
    <mergeCell ref="L457:M457"/>
    <mergeCell ref="L458:M458"/>
    <mergeCell ref="L459:M459"/>
    <mergeCell ref="L460:M460"/>
    <mergeCell ref="L461:M461"/>
    <mergeCell ref="L462:M462"/>
    <mergeCell ref="L463:M463"/>
    <mergeCell ref="L464:M464"/>
    <mergeCell ref="L465:M465"/>
    <mergeCell ref="L466:M466"/>
    <mergeCell ref="L467:M467"/>
    <mergeCell ref="L468:M468"/>
    <mergeCell ref="L469:M469"/>
    <mergeCell ref="L470:M470"/>
    <mergeCell ref="L471:M471"/>
    <mergeCell ref="L472:M472"/>
    <mergeCell ref="L473:M473"/>
    <mergeCell ref="L474:M474"/>
    <mergeCell ref="L475:M475"/>
    <mergeCell ref="L476:M476"/>
    <mergeCell ref="L477:M477"/>
    <mergeCell ref="L478:M478"/>
    <mergeCell ref="L479:M479"/>
    <mergeCell ref="L480:M480"/>
    <mergeCell ref="L481:M481"/>
    <mergeCell ref="L482:M482"/>
    <mergeCell ref="L483:M483"/>
    <mergeCell ref="L484:M484"/>
    <mergeCell ref="L485:M485"/>
    <mergeCell ref="L486:M486"/>
    <mergeCell ref="L487:M487"/>
    <mergeCell ref="L488:M488"/>
    <mergeCell ref="L489:M489"/>
    <mergeCell ref="L490:M490"/>
    <mergeCell ref="L491:M491"/>
    <mergeCell ref="L492:M492"/>
    <mergeCell ref="L493:M493"/>
    <mergeCell ref="L494:M494"/>
    <mergeCell ref="L495:M495"/>
    <mergeCell ref="L496:M496"/>
    <mergeCell ref="L497:M497"/>
    <mergeCell ref="L498:M498"/>
    <mergeCell ref="L499:M499"/>
    <mergeCell ref="L500:M500"/>
    <mergeCell ref="L501:M501"/>
    <mergeCell ref="L502:M502"/>
    <mergeCell ref="L503:M503"/>
    <mergeCell ref="L504:M504"/>
    <mergeCell ref="L505:M505"/>
    <mergeCell ref="L506:M506"/>
    <mergeCell ref="L507:M507"/>
    <mergeCell ref="L508:M508"/>
    <mergeCell ref="L509:M509"/>
    <mergeCell ref="L510:M510"/>
    <mergeCell ref="L511:M511"/>
    <mergeCell ref="L512:M512"/>
    <mergeCell ref="L513:M513"/>
    <mergeCell ref="L514:M514"/>
    <mergeCell ref="L515:M515"/>
    <mergeCell ref="L516:M516"/>
    <mergeCell ref="L517:M517"/>
    <mergeCell ref="L518:M518"/>
    <mergeCell ref="L519:M519"/>
    <mergeCell ref="L520:M520"/>
    <mergeCell ref="L521:M521"/>
    <mergeCell ref="L522:M522"/>
    <mergeCell ref="L523:M523"/>
    <mergeCell ref="L524:M524"/>
    <mergeCell ref="L525:M525"/>
    <mergeCell ref="L526:M526"/>
    <mergeCell ref="L527:M527"/>
    <mergeCell ref="L528:M528"/>
    <mergeCell ref="L529:M529"/>
    <mergeCell ref="L530:M530"/>
    <mergeCell ref="L531:M531"/>
    <mergeCell ref="L532:M532"/>
    <mergeCell ref="L533:M533"/>
    <mergeCell ref="L534:M534"/>
    <mergeCell ref="L535:M535"/>
    <mergeCell ref="L536:M536"/>
    <mergeCell ref="L537:M537"/>
    <mergeCell ref="L538:M538"/>
    <mergeCell ref="L539:M539"/>
    <mergeCell ref="L540:M540"/>
    <mergeCell ref="L541:M541"/>
    <mergeCell ref="L542:M542"/>
    <mergeCell ref="L543:M543"/>
    <mergeCell ref="L544:M544"/>
    <mergeCell ref="L545:M545"/>
    <mergeCell ref="L546:M546"/>
    <mergeCell ref="L547:M547"/>
    <mergeCell ref="L548:M548"/>
    <mergeCell ref="L549:M549"/>
    <mergeCell ref="L550:M550"/>
    <mergeCell ref="L551:M551"/>
    <mergeCell ref="L552:M552"/>
    <mergeCell ref="L553:M553"/>
    <mergeCell ref="L554:M554"/>
    <mergeCell ref="L555:M555"/>
    <mergeCell ref="L556:M556"/>
    <mergeCell ref="L557:M557"/>
    <mergeCell ref="L558:M558"/>
    <mergeCell ref="L559:M559"/>
    <mergeCell ref="L560:M560"/>
    <mergeCell ref="L561:M561"/>
    <mergeCell ref="L562:M562"/>
    <mergeCell ref="L563:M563"/>
    <mergeCell ref="L564:M564"/>
    <mergeCell ref="L565:M565"/>
    <mergeCell ref="L566:M566"/>
    <mergeCell ref="L567:M567"/>
    <mergeCell ref="L568:M568"/>
    <mergeCell ref="L569:M569"/>
    <mergeCell ref="L570:M570"/>
    <mergeCell ref="L571:M571"/>
    <mergeCell ref="L572:M572"/>
    <mergeCell ref="L573:M573"/>
    <mergeCell ref="L574:M574"/>
    <mergeCell ref="L575:M575"/>
    <mergeCell ref="L576:M576"/>
    <mergeCell ref="L577:M577"/>
    <mergeCell ref="L578:M578"/>
    <mergeCell ref="L579:M579"/>
    <mergeCell ref="L580:M580"/>
    <mergeCell ref="L581:M581"/>
    <mergeCell ref="L582:M582"/>
    <mergeCell ref="L583:M583"/>
    <mergeCell ref="L584:M584"/>
    <mergeCell ref="L585:M585"/>
    <mergeCell ref="L586:M586"/>
    <mergeCell ref="L587:M587"/>
    <mergeCell ref="L588:M588"/>
    <mergeCell ref="L589:M589"/>
    <mergeCell ref="L590:M590"/>
    <mergeCell ref="L591:M591"/>
    <mergeCell ref="L592:M592"/>
    <mergeCell ref="L593:M593"/>
    <mergeCell ref="L594:M594"/>
    <mergeCell ref="L595:M595"/>
    <mergeCell ref="L596:M596"/>
    <mergeCell ref="L597:M597"/>
    <mergeCell ref="L598:M598"/>
    <mergeCell ref="L599:M599"/>
    <mergeCell ref="L600:M600"/>
    <mergeCell ref="L601:M601"/>
    <mergeCell ref="L602:M602"/>
    <mergeCell ref="L603:M603"/>
    <mergeCell ref="L604:M604"/>
    <mergeCell ref="L605:M605"/>
    <mergeCell ref="L606:M606"/>
    <mergeCell ref="L607:M607"/>
    <mergeCell ref="L608:M608"/>
    <mergeCell ref="L609:M609"/>
    <mergeCell ref="L610:M610"/>
    <mergeCell ref="L611:M611"/>
    <mergeCell ref="L612:M612"/>
    <mergeCell ref="L613:M613"/>
    <mergeCell ref="L614:M614"/>
    <mergeCell ref="L615:M615"/>
    <mergeCell ref="L616:M616"/>
    <mergeCell ref="L617:M617"/>
    <mergeCell ref="L618:M618"/>
    <mergeCell ref="L619:M619"/>
    <mergeCell ref="L620:M620"/>
    <mergeCell ref="L621:M621"/>
    <mergeCell ref="L622:M6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7.89453125" defaultRowHeight="15" zeroHeight="false" outlineLevelRow="0" outlineLevelCol="0"/>
  <cols>
    <col collapsed="false" customWidth="true" hidden="false" outlineLevel="0" max="1" min="1" style="1" width="11.18"/>
    <col collapsed="false" customWidth="true" hidden="false" outlineLevel="0" max="3" min="3" style="1" width="14.69"/>
  </cols>
  <sheetData>
    <row r="2" customFormat="false" ht="15" hidden="false" customHeight="false" outlineLevel="0" collapsed="false">
      <c r="C2" s="128" t="s">
        <v>71</v>
      </c>
      <c r="D2" s="128"/>
      <c r="E2" s="128"/>
    </row>
    <row r="3" customFormat="false" ht="13.8" hidden="false" customHeight="false" outlineLevel="0" collapsed="false">
      <c r="A3" s="35" t="s">
        <v>72</v>
      </c>
      <c r="B3" s="28" t="n">
        <v>0</v>
      </c>
      <c r="C3" s="35" t="s">
        <v>73</v>
      </c>
      <c r="D3" s="28" t="n">
        <v>11</v>
      </c>
      <c r="E3" s="55" t="n">
        <f aca="false">STEP+1</f>
        <v>12</v>
      </c>
      <c r="F3" s="128" t="s">
        <v>74</v>
      </c>
    </row>
    <row r="4" customFormat="false" ht="15" hidden="false" customHeight="false" outlineLevel="0" collapsed="false">
      <c r="A4" s="35" t="s">
        <v>75</v>
      </c>
      <c r="B4" s="28" t="n">
        <v>1023</v>
      </c>
      <c r="C4" s="129" t="s">
        <v>76</v>
      </c>
      <c r="D4" s="55" t="n">
        <f aca="false">(HIGH_LIMIT-LOW_LIMIT)/(STEPS-1)*STEP+LOW_LIMIT</f>
        <v>937.75</v>
      </c>
      <c r="E4" s="55" t="n">
        <f aca="false">(HIGH_LIMIT-LOW_LIMIT)/(STEPS-1)*STEP1+LOW_LIMIT</f>
        <v>1023</v>
      </c>
      <c r="F4" s="55" t="n">
        <f aca="false">(D4+E4)/2</f>
        <v>980.375</v>
      </c>
    </row>
    <row r="5" customFormat="false" ht="15" hidden="false" customHeight="false" outlineLevel="0" collapsed="false">
      <c r="A5" s="35" t="s">
        <v>77</v>
      </c>
      <c r="B5" s="28" t="n">
        <v>13</v>
      </c>
    </row>
  </sheetData>
  <mergeCells count="1">
    <mergeCell ref="C2:E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7.89453125" defaultRowHeight="15" zeroHeight="false" outlineLevelRow="0" outlineLevelCol="0"/>
  <cols>
    <col collapsed="false" customWidth="true" hidden="false" outlineLevel="0" max="1" min="1" style="1" width="17.03"/>
    <col collapsed="false" customWidth="true" hidden="false" outlineLevel="0" max="2" min="2" style="1" width="12.09"/>
    <col collapsed="false" customWidth="true" hidden="false" outlineLevel="0" max="3" min="3" style="1" width="1.95"/>
    <col collapsed="false" customWidth="true" hidden="false" outlineLevel="0" max="4" min="4" style="1" width="20.28"/>
    <col collapsed="false" customWidth="true" hidden="false" outlineLevel="0" max="5" min="5" style="1" width="16.51"/>
  </cols>
  <sheetData>
    <row r="1" customFormat="false" ht="15" hidden="false" customHeight="true" outlineLevel="0" collapsed="false">
      <c r="A1" s="130" t="s">
        <v>78</v>
      </c>
      <c r="B1" s="130"/>
      <c r="C1" s="130"/>
      <c r="D1" s="130"/>
      <c r="E1" s="130"/>
    </row>
    <row r="2" customFormat="false" ht="15.75" hidden="false" customHeight="false" outlineLevel="0" collapsed="false"/>
    <row r="3" customFormat="false" ht="18.75" hidden="false" customHeight="false" outlineLevel="0" collapsed="false">
      <c r="A3" s="35" t="s">
        <v>79</v>
      </c>
      <c r="B3" s="131" t="n">
        <v>16000000</v>
      </c>
      <c r="D3" s="35" t="s">
        <v>80</v>
      </c>
      <c r="E3" s="55" t="n">
        <f aca="false">(TMR2PR2+1)*4*(1/CLOCKIN)*TMR2PRESCALER*1000000</f>
        <v>64</v>
      </c>
    </row>
    <row r="4" customFormat="false" ht="15" hidden="false" customHeight="false" outlineLevel="0" collapsed="false">
      <c r="A4" s="35" t="s">
        <v>81</v>
      </c>
      <c r="B4" s="55" t="n">
        <f aca="false">CLOCKIN/4</f>
        <v>4000000</v>
      </c>
      <c r="D4" s="35" t="s">
        <v>82</v>
      </c>
      <c r="E4" s="55" t="n">
        <f aca="false">1000000/PWM_PERIOD</f>
        <v>15625</v>
      </c>
    </row>
    <row r="5" customFormat="false" ht="18.75" hidden="false" customHeight="false" outlineLevel="0" collapsed="false">
      <c r="A5" s="35" t="s">
        <v>83</v>
      </c>
      <c r="B5" s="55" t="n">
        <f aca="false">1000000/CLOCKOUT</f>
        <v>0.25</v>
      </c>
      <c r="D5" s="35" t="s">
        <v>84</v>
      </c>
      <c r="E5" s="55" t="n">
        <f aca="false">(CCPR1L*4+DCxB)*(1/CLOCKIN)*TMR2PRESCALER*1000000</f>
        <v>3.1875</v>
      </c>
    </row>
    <row r="6" customFormat="false" ht="15.75" hidden="false" customHeight="false" outlineLevel="0" collapsed="false">
      <c r="A6" s="35" t="s">
        <v>85</v>
      </c>
      <c r="B6" s="131" t="n">
        <v>255</v>
      </c>
      <c r="D6" s="35" t="s">
        <v>86</v>
      </c>
      <c r="E6" s="55" t="n">
        <f aca="false">(CCPR1L*4+DCxB)/(4*(TMR2PR2+1))</f>
        <v>0.0498046875</v>
      </c>
      <c r="L6" s="30" t="s">
        <v>87</v>
      </c>
      <c r="M6" s="132" t="n">
        <v>37987</v>
      </c>
    </row>
    <row r="7" customFormat="false" ht="15.75" hidden="false" customHeight="false" outlineLevel="0" collapsed="false">
      <c r="A7" s="35" t="s">
        <v>88</v>
      </c>
      <c r="B7" s="131" t="n">
        <v>1</v>
      </c>
      <c r="D7" s="35" t="s">
        <v>89</v>
      </c>
      <c r="E7" s="55" t="n">
        <f aca="false">LOG(4*(TMR2PR2+1))/LOG(2)</f>
        <v>10</v>
      </c>
      <c r="I7" s="133" t="n">
        <v>0.05</v>
      </c>
      <c r="J7" s="28" t="n">
        <f aca="false">I7*1023</f>
        <v>51.15</v>
      </c>
      <c r="K7" s="28" t="n">
        <f aca="false">J7/4</f>
        <v>12.7875</v>
      </c>
      <c r="L7" s="134" t="n">
        <v>248</v>
      </c>
      <c r="M7" s="1" t="n">
        <v>0</v>
      </c>
    </row>
    <row r="8" customFormat="false" ht="15.75" hidden="true" customHeight="false" outlineLevel="0" collapsed="false">
      <c r="A8" s="35"/>
      <c r="B8" s="131" t="n">
        <v>1</v>
      </c>
      <c r="I8" s="135"/>
      <c r="J8" s="28"/>
      <c r="K8" s="28"/>
      <c r="L8" s="28"/>
    </row>
    <row r="9" customFormat="false" ht="15.75" hidden="true" customHeight="false" outlineLevel="0" collapsed="false">
      <c r="A9" s="35"/>
      <c r="B9" s="131" t="n">
        <v>4</v>
      </c>
      <c r="I9" s="135"/>
      <c r="J9" s="28"/>
      <c r="K9" s="28"/>
      <c r="L9" s="28"/>
    </row>
    <row r="10" customFormat="false" ht="15.75" hidden="true" customHeight="false" outlineLevel="0" collapsed="false">
      <c r="A10" s="35"/>
      <c r="B10" s="131" t="n">
        <v>16</v>
      </c>
      <c r="I10" s="135"/>
      <c r="J10" s="28"/>
      <c r="K10" s="28"/>
      <c r="L10" s="28"/>
    </row>
    <row r="11" customFormat="false" ht="15.75" hidden="true" customHeight="false" outlineLevel="0" collapsed="false">
      <c r="A11" s="35"/>
      <c r="B11" s="131" t="n">
        <v>64</v>
      </c>
      <c r="I11" s="135"/>
      <c r="J11" s="28"/>
      <c r="K11" s="28"/>
      <c r="L11" s="28"/>
    </row>
    <row r="12" customFormat="false" ht="15.75" hidden="false" customHeight="false" outlineLevel="0" collapsed="false">
      <c r="A12" s="35" t="s">
        <v>90</v>
      </c>
      <c r="B12" s="131" t="n">
        <v>12</v>
      </c>
      <c r="D12" s="35" t="s">
        <v>91</v>
      </c>
      <c r="E12" s="55" t="n">
        <f aca="false">(0*4+1)*(1/CLOCKIN)*TMR2PRESCALER*1000000</f>
        <v>0.0625</v>
      </c>
      <c r="I12" s="133" t="n">
        <v>0.06</v>
      </c>
      <c r="J12" s="28" t="n">
        <f aca="false">I12*1023</f>
        <v>61.38</v>
      </c>
      <c r="K12" s="28" t="n">
        <f aca="false">J12/4</f>
        <v>15.345</v>
      </c>
      <c r="L12" s="134" t="n">
        <v>251</v>
      </c>
      <c r="M12" s="1" t="n">
        <v>0</v>
      </c>
    </row>
    <row r="13" customFormat="false" ht="15.75" hidden="false" customHeight="false" outlineLevel="0" collapsed="false">
      <c r="A13" s="35" t="s">
        <v>92</v>
      </c>
      <c r="B13" s="131" t="n">
        <v>3</v>
      </c>
      <c r="D13" s="35" t="s">
        <v>93</v>
      </c>
      <c r="E13" s="55" t="n">
        <f aca="false">CCPR1L*4+DCxB</f>
        <v>51</v>
      </c>
      <c r="I13" s="133" t="n">
        <v>0.07</v>
      </c>
      <c r="J13" s="28" t="n">
        <f aca="false">I13*1023</f>
        <v>71.61</v>
      </c>
      <c r="K13" s="28" t="n">
        <f aca="false">J13/4</f>
        <v>17.9025</v>
      </c>
      <c r="L13" s="134" t="n">
        <v>253</v>
      </c>
      <c r="M13" s="1" t="n">
        <v>0</v>
      </c>
    </row>
    <row r="14" customFormat="false" ht="8.25" hidden="false" customHeight="true" outlineLevel="0" collapsed="false">
      <c r="I14" s="135"/>
      <c r="J14" s="28"/>
      <c r="K14" s="28"/>
      <c r="L14" s="28"/>
    </row>
    <row r="15" customFormat="false" ht="15" hidden="false" customHeight="true" outlineLevel="0" collapsed="false">
      <c r="A15" s="130" t="s">
        <v>94</v>
      </c>
      <c r="B15" s="130"/>
      <c r="C15" s="130"/>
      <c r="D15" s="130"/>
      <c r="E15" s="130"/>
      <c r="I15" s="133" t="n">
        <v>0.08</v>
      </c>
      <c r="J15" s="28" t="n">
        <f aca="false">I15*1023</f>
        <v>81.84</v>
      </c>
      <c r="K15" s="28" t="n">
        <f aca="false">J15/4</f>
        <v>20.46</v>
      </c>
      <c r="L15" s="28" t="n">
        <v>0</v>
      </c>
      <c r="M15" s="1" t="n">
        <v>0</v>
      </c>
    </row>
    <row r="16" customFormat="false" ht="15" hidden="false" customHeight="false" outlineLevel="0" collapsed="false">
      <c r="A16" s="130"/>
      <c r="B16" s="130"/>
      <c r="C16" s="130"/>
      <c r="D16" s="130"/>
      <c r="E16" s="130"/>
      <c r="I16" s="133" t="n">
        <v>0.09</v>
      </c>
      <c r="J16" s="28" t="n">
        <f aca="false">I16*1023</f>
        <v>92.07</v>
      </c>
      <c r="K16" s="28" t="n">
        <f aca="false">J16/4</f>
        <v>23.0175</v>
      </c>
      <c r="L16" s="28" t="n">
        <v>3</v>
      </c>
      <c r="M16" s="1" t="n">
        <v>3</v>
      </c>
    </row>
    <row r="17" customFormat="false" ht="15" hidden="false" customHeight="false" outlineLevel="0" collapsed="false">
      <c r="A17" s="130"/>
      <c r="B17" s="130"/>
      <c r="C17" s="130"/>
      <c r="D17" s="130"/>
      <c r="E17" s="130"/>
      <c r="I17" s="133" t="n">
        <v>0.1</v>
      </c>
      <c r="J17" s="28" t="n">
        <f aca="false">I17*1023</f>
        <v>102.3</v>
      </c>
      <c r="K17" s="28" t="n">
        <f aca="false">J17/4</f>
        <v>25.575</v>
      </c>
      <c r="L17" s="28" t="n">
        <v>5</v>
      </c>
      <c r="M17" s="1" t="n">
        <v>5</v>
      </c>
    </row>
    <row r="18" customFormat="false" ht="15.75" hidden="false" customHeight="false" outlineLevel="0" collapsed="false">
      <c r="I18" s="133" t="n">
        <v>0.11</v>
      </c>
      <c r="J18" s="28" t="n">
        <f aca="false">I18*1023</f>
        <v>112.53</v>
      </c>
      <c r="K18" s="28" t="n">
        <f aca="false">J18/4</f>
        <v>28.1325</v>
      </c>
      <c r="L18" s="28" t="n">
        <v>8</v>
      </c>
      <c r="M18" s="1" t="n">
        <v>8</v>
      </c>
    </row>
    <row r="19" customFormat="false" ht="15.75" hidden="false" customHeight="false" outlineLevel="0" collapsed="false">
      <c r="A19" s="136" t="s">
        <v>95</v>
      </c>
      <c r="B19" s="136"/>
      <c r="C19" s="136"/>
      <c r="D19" s="136"/>
      <c r="E19" s="136"/>
      <c r="F19" s="137"/>
      <c r="G19" s="138"/>
      <c r="H19" s="138"/>
      <c r="I19" s="133" t="n">
        <v>0.12</v>
      </c>
      <c r="J19" s="28" t="n">
        <f aca="false">I19*1023</f>
        <v>122.76</v>
      </c>
      <c r="K19" s="28" t="n">
        <f aca="false">J19/4</f>
        <v>30.69</v>
      </c>
      <c r="L19" s="28" t="n">
        <v>10</v>
      </c>
      <c r="M19" s="1" t="n">
        <v>10</v>
      </c>
    </row>
    <row r="20" customFormat="false" ht="15" hidden="false" customHeight="false" outlineLevel="0" collapsed="false">
      <c r="I20" s="133" t="n">
        <v>0.13</v>
      </c>
      <c r="J20" s="28" t="n">
        <f aca="false">I20*1023</f>
        <v>132.99</v>
      </c>
      <c r="K20" s="28" t="n">
        <f aca="false">J20/4</f>
        <v>33.2475</v>
      </c>
      <c r="L20" s="28" t="n">
        <v>13</v>
      </c>
      <c r="M20" s="1" t="n">
        <v>13</v>
      </c>
    </row>
    <row r="21" customFormat="false" ht="15" hidden="false" customHeight="false" outlineLevel="0" collapsed="false">
      <c r="I21" s="133" t="n">
        <v>0.14</v>
      </c>
      <c r="J21" s="28" t="n">
        <f aca="false">I21*1023</f>
        <v>143.22</v>
      </c>
      <c r="K21" s="28" t="n">
        <f aca="false">J21/4</f>
        <v>35.805</v>
      </c>
      <c r="L21" s="28" t="n">
        <v>15</v>
      </c>
    </row>
    <row r="22" customFormat="false" ht="15" hidden="false" customHeight="false" outlineLevel="0" collapsed="false">
      <c r="I22" s="133" t="n">
        <v>0.15</v>
      </c>
      <c r="J22" s="28" t="n">
        <f aca="false">I22*1023</f>
        <v>153.45</v>
      </c>
      <c r="K22" s="28" t="n">
        <f aca="false">J22/4</f>
        <v>38.3625</v>
      </c>
      <c r="L22" s="28" t="n">
        <v>18</v>
      </c>
    </row>
    <row r="23" customFormat="false" ht="15" hidden="false" customHeight="false" outlineLevel="0" collapsed="false">
      <c r="D23" s="139"/>
      <c r="I23" s="133" t="n">
        <v>0.16</v>
      </c>
      <c r="J23" s="28" t="n">
        <f aca="false">I23*1023</f>
        <v>163.68</v>
      </c>
      <c r="K23" s="28" t="n">
        <f aca="false">J23/4</f>
        <v>40.92</v>
      </c>
      <c r="L23" s="28" t="n">
        <v>20</v>
      </c>
    </row>
    <row r="24" customFormat="false" ht="15" hidden="false" customHeight="false" outlineLevel="0" collapsed="false">
      <c r="I24" s="133" t="n">
        <v>0.17</v>
      </c>
      <c r="J24" s="28" t="n">
        <f aca="false">I24*1023</f>
        <v>173.91</v>
      </c>
      <c r="K24" s="28" t="n">
        <f aca="false">J24/4</f>
        <v>43.4775</v>
      </c>
      <c r="L24" s="28" t="n">
        <v>23</v>
      </c>
    </row>
    <row r="25" customFormat="false" ht="15" hidden="false" customHeight="false" outlineLevel="0" collapsed="false">
      <c r="I25" s="133" t="n">
        <v>0.18</v>
      </c>
      <c r="J25" s="28" t="n">
        <f aca="false">I25*1023</f>
        <v>184.14</v>
      </c>
      <c r="K25" s="28" t="n">
        <f aca="false">J25/4</f>
        <v>46.035</v>
      </c>
      <c r="L25" s="28" t="n">
        <v>59</v>
      </c>
    </row>
    <row r="26" customFormat="false" ht="15" hidden="false" customHeight="false" outlineLevel="0" collapsed="false">
      <c r="I26" s="133" t="n">
        <v>0.079</v>
      </c>
      <c r="J26" s="28" t="n">
        <f aca="false">I26*1023</f>
        <v>80.817</v>
      </c>
      <c r="K26" s="28" t="n">
        <f aca="false">J26/4</f>
        <v>20.20425</v>
      </c>
      <c r="L26" s="28" t="n">
        <v>59</v>
      </c>
    </row>
  </sheetData>
  <mergeCells count="3">
    <mergeCell ref="A1:E1"/>
    <mergeCell ref="A15:E17"/>
    <mergeCell ref="A19:E19"/>
  </mergeCells>
  <dataValidations count="2">
    <dataValidation allowBlank="true" error="Invalid Selection for TMR2 Prescaler" errorStyle="stop" errorTitle="Error" operator="between" prompt="Choose value for TMR2 prescaler" promptTitle="TIMER2 prescaler" showDropDown="false" showErrorMessage="true" showInputMessage="true" sqref="B7" type="list">
      <formula1>$B$8:$B$11</formula1>
      <formula2>0</formula2>
    </dataValidation>
    <dataValidation allowBlank="true" error="Invalid value entered. Please one of 0, 1, 2, 3." errorStyle="stop" errorTitle="Inavlid value" operator="between" prompt="The value must be from 0 to 3 (two bits value)" promptTitle="Enter value for DC[1:0]B" showDropDown="false" showErrorMessage="true" showInputMessage="true" sqref="B13" type="whole">
      <formula1>0</formula1>
      <formula2>3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7.89453125" defaultRowHeight="15" zeroHeight="false" outlineLevelRow="0" outlineLevelCol="0"/>
  <cols>
    <col collapsed="false" customWidth="true" hidden="false" outlineLevel="0" max="1" min="1" style="1" width="5.72"/>
    <col collapsed="false" customWidth="true" hidden="false" outlineLevel="0" max="2" min="2" style="1" width="9.36"/>
    <col collapsed="false" customWidth="true" hidden="false" outlineLevel="0" max="3" min="3" style="1" width="11.05"/>
    <col collapsed="false" customWidth="true" hidden="false" outlineLevel="0" max="4" min="4" style="1" width="3.38"/>
  </cols>
  <sheetData>
    <row r="1" customFormat="false" ht="15" hidden="false" customHeight="false" outlineLevel="0" collapsed="false">
      <c r="A1" s="140" t="s">
        <v>96</v>
      </c>
    </row>
    <row r="3" customFormat="false" ht="15" hidden="false" customHeight="false" outlineLevel="0" collapsed="false">
      <c r="B3" s="35" t="s">
        <v>97</v>
      </c>
      <c r="C3" s="27" t="n">
        <v>5</v>
      </c>
      <c r="D3" s="10" t="s">
        <v>18</v>
      </c>
    </row>
    <row r="4" customFormat="false" ht="15" hidden="false" customHeight="false" outlineLevel="0" collapsed="false">
      <c r="B4" s="35" t="s">
        <v>98</v>
      </c>
      <c r="C4" s="27" t="n">
        <v>0</v>
      </c>
      <c r="D4" s="10" t="s">
        <v>18</v>
      </c>
    </row>
    <row r="5" customFormat="false" ht="15" hidden="false" customHeight="false" outlineLevel="0" collapsed="false">
      <c r="B5" s="35" t="s">
        <v>99</v>
      </c>
      <c r="C5" s="28" t="n">
        <v>5000</v>
      </c>
      <c r="D5" s="10" t="s">
        <v>58</v>
      </c>
    </row>
    <row r="6" customFormat="false" ht="15" hidden="false" customHeight="false" outlineLevel="0" collapsed="false">
      <c r="B6" s="35" t="s">
        <v>100</v>
      </c>
      <c r="C6" s="28" t="n">
        <v>32</v>
      </c>
      <c r="D6" s="10"/>
    </row>
    <row r="7" customFormat="false" ht="15" hidden="false" customHeight="false" outlineLevel="0" collapsed="false">
      <c r="B7" s="35" t="s">
        <v>101</v>
      </c>
      <c r="C7" s="55" t="n">
        <f aca="false">(DAC_VSOURCEP-DAC_VSOURCEM)*DAC_CR4_0/(2^5)+DAC_VSOURCEM</f>
        <v>5</v>
      </c>
      <c r="D7" s="10" t="s">
        <v>18</v>
      </c>
    </row>
    <row r="8" customFormat="false" ht="15" hidden="false" customHeight="false" outlineLevel="0" collapsed="false">
      <c r="B8" s="35" t="s">
        <v>102</v>
      </c>
      <c r="C8" s="55" t="n">
        <v>1000</v>
      </c>
      <c r="D8" s="10" t="s">
        <v>58</v>
      </c>
    </row>
    <row r="9" customFormat="false" ht="15" hidden="false" customHeight="false" outlineLevel="0" collapsed="false">
      <c r="B9" s="10" t="s">
        <v>103</v>
      </c>
      <c r="C9" s="141" t="n">
        <f aca="false">(DAC_VSOURCEP-DAC_VSOURCEM)/(DAC_RLOAD+DAC_CR+(2^5*DAC_CR-(DAC_CR*DAC_CR4_0)))</f>
        <v>0.000833333333333333</v>
      </c>
      <c r="D9" s="10" t="s">
        <v>20</v>
      </c>
    </row>
    <row r="10" customFormat="false" ht="15" hidden="false" customHeight="false" outlineLevel="0" collapsed="false">
      <c r="B10" s="10"/>
      <c r="C10" s="55" t="n">
        <f aca="false">C9*1000</f>
        <v>0.833333333333333</v>
      </c>
      <c r="D10" s="10" t="s">
        <v>104</v>
      </c>
    </row>
  </sheetData>
  <mergeCells count="1">
    <mergeCell ref="B9:B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7.89453125" defaultRowHeight="15" zeroHeight="false" outlineLevelRow="0" outlineLevelCol="0"/>
  <cols>
    <col collapsed="false" customWidth="true" hidden="false" outlineLevel="0" max="3" min="3" style="1" width="2.34"/>
  </cols>
  <sheetData>
    <row r="1" customFormat="false" ht="15" hidden="false" customHeight="false" outlineLevel="0" collapsed="false">
      <c r="A1" s="140" t="s">
        <v>105</v>
      </c>
    </row>
    <row r="3" customFormat="false" ht="18" hidden="false" customHeight="false" outlineLevel="0" collapsed="false">
      <c r="A3" s="142" t="s">
        <v>106</v>
      </c>
      <c r="B3" s="1" t="n">
        <v>325</v>
      </c>
      <c r="C3" s="143" t="s">
        <v>18</v>
      </c>
    </row>
    <row r="4" customFormat="false" ht="18" hidden="false" customHeight="false" outlineLevel="0" collapsed="false">
      <c r="A4" s="142" t="s">
        <v>107</v>
      </c>
      <c r="B4" s="1" t="n">
        <v>0.75</v>
      </c>
      <c r="C4" s="143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7.89453125" defaultRowHeight="15" zeroHeight="false" outlineLevelRow="0" outlineLevelCol="0"/>
  <cols>
    <col collapsed="false" customWidth="true" hidden="false" outlineLevel="0" max="3" min="3" style="1" width="2.2"/>
  </cols>
  <sheetData>
    <row r="1" customFormat="false" ht="15" hidden="false" customHeight="false" outlineLevel="0" collapsed="false">
      <c r="A1" s="142" t="s">
        <v>108</v>
      </c>
    </row>
    <row r="2" customFormat="false" ht="15.75" hidden="false" customHeight="false" outlineLevel="0" collapsed="false"/>
    <row r="3" customFormat="false" ht="15.75" hidden="false" customHeight="false" outlineLevel="0" collapsed="false">
      <c r="A3" s="22" t="s">
        <v>109</v>
      </c>
      <c r="B3" s="144" t="n">
        <v>10</v>
      </c>
      <c r="C3" s="34" t="s">
        <v>15</v>
      </c>
    </row>
    <row r="4" customFormat="false" ht="15.75" hidden="false" customHeight="false" outlineLevel="0" collapsed="false">
      <c r="A4" s="22" t="s">
        <v>110</v>
      </c>
      <c r="B4" s="145" t="n">
        <v>5</v>
      </c>
      <c r="C4" s="34" t="s">
        <v>15</v>
      </c>
    </row>
    <row r="5" customFormat="false" ht="15.75" hidden="false" customHeight="false" outlineLevel="0" collapsed="false">
      <c r="A5" s="22" t="s">
        <v>111</v>
      </c>
      <c r="B5" s="145" t="n">
        <v>10</v>
      </c>
      <c r="C5" s="34" t="s">
        <v>18</v>
      </c>
    </row>
    <row r="6" customFormat="false" ht="15" hidden="false" customHeight="false" outlineLevel="0" collapsed="false">
      <c r="A6" s="146" t="s">
        <v>112</v>
      </c>
      <c r="B6" s="55" t="n">
        <f aca="false">(P_R1*P_R2)/(P_R1+P_R2)</f>
        <v>3.33333333333333</v>
      </c>
      <c r="C6" s="10" t="s">
        <v>15</v>
      </c>
      <c r="F6" s="1"/>
    </row>
    <row r="7" customFormat="false" ht="15" hidden="false" customHeight="false" outlineLevel="0" collapsed="false">
      <c r="A7" s="146" t="s">
        <v>113</v>
      </c>
      <c r="B7" s="55" t="n">
        <f aca="false">P_VOLTAGE/P_TOTALR</f>
        <v>3</v>
      </c>
      <c r="C7" s="10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11542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2009-12-18T12:09:38Z</dcterms:created>
  <dc:creator> Ivan Cenov</dc:creator>
  <dc:description/>
  <dc:language>ja-JP</dc:language>
  <cp:lastModifiedBy/>
  <cp:lastPrinted>2018-04-26T11:07:06Z</cp:lastPrinted>
  <dcterms:modified xsi:type="dcterms:W3CDTF">2024-03-26T17:16:53Z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