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drawings/drawing3.xml" ContentType="application/vnd.openxmlformats-officedocument.drawing+xml"/>
  <Override PartName="/xl/comments1.xml" ContentType="application/vnd.openxmlformats-officedocument.spreadsheetml.comments+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4385" yWindow="-15" windowWidth="14430" windowHeight="11235" tabRatio="798" firstSheet="1" activeTab="4"/>
  </bookViews>
  <sheets>
    <sheet name="MP_new" sheetId="1" r:id="rId1"/>
    <sheet name="10 YEAR PROJECTION" sheetId="2" r:id="rId2"/>
    <sheet name="MP Analysis Input" sheetId="3" r:id="rId3"/>
    <sheet name="Constraints Input" sheetId="4" r:id="rId4"/>
    <sheet name="As-Built HV &amp; WD" sheetId="5" r:id="rId5"/>
    <sheet name="Design HV &amp; WD" sheetId="6" r:id="rId6"/>
    <sheet name="Cost Analysis Input" sheetId="7" r:id="rId7"/>
    <sheet name="Area Summary" sheetId="8" r:id="rId8"/>
    <sheet name="Step Analysis" sheetId="9" r:id="rId9"/>
  </sheets>
  <externalReferences>
    <externalReference r:id="rId10"/>
  </externalReferences>
  <definedNames>
    <definedName name="_AMO_UniqueIdentifier" hidden="1">"'d18ae339-bd5c-4eb0-a530-922ea196e844'"</definedName>
    <definedName name="mwdcase">[1]GlobalAssumptions!$E$37</definedName>
    <definedName name="_xlnm.Print_Area" localSheetId="1">'10 YEAR PROJECTION'!$A$4:$U$51</definedName>
    <definedName name="_xlnm.Print_Area" localSheetId="8">'Step Analysis'!$C$1:$AD$52</definedName>
    <definedName name="_xlnm.Print_Titles" localSheetId="1">'10 YEAR PROJECTION'!$4:$5</definedName>
    <definedName name="_xlnm.Print_Titles" localSheetId="8">'Step Analysis'!$8:$9</definedName>
  </definedNames>
  <calcPr calcId="145621"/>
</workbook>
</file>

<file path=xl/calcChain.xml><?xml version="1.0" encoding="utf-8"?>
<calcChain xmlns="http://schemas.openxmlformats.org/spreadsheetml/2006/main">
  <c r="I266" i="5" l="1"/>
  <c r="I267" i="5"/>
  <c r="I268" i="5"/>
  <c r="I269" i="5"/>
  <c r="I270" i="5"/>
  <c r="I271" i="5"/>
  <c r="I272" i="5"/>
  <c r="I273" i="5"/>
  <c r="I264" i="5"/>
  <c r="I265" i="5"/>
  <c r="L267" i="5"/>
  <c r="C167" i="1" l="1"/>
  <c r="I167" i="1"/>
  <c r="C163" i="1"/>
  <c r="I163" i="1"/>
  <c r="I161" i="1"/>
  <c r="C161" i="1"/>
  <c r="I68" i="1"/>
  <c r="C68" i="1"/>
  <c r="I60" i="1"/>
  <c r="C60" i="1"/>
  <c r="A11" i="9" l="1"/>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10" i="9"/>
  <c r="AL51" i="9" l="1"/>
  <c r="P51" i="9"/>
  <c r="O51" i="9"/>
  <c r="N51" i="9"/>
  <c r="AL50" i="9"/>
  <c r="O50" i="9"/>
  <c r="AL49" i="9"/>
  <c r="O49" i="9"/>
  <c r="AL48" i="9"/>
  <c r="O48" i="9"/>
  <c r="AL47" i="9"/>
  <c r="O47" i="9"/>
  <c r="AL46" i="9"/>
  <c r="O46" i="9"/>
  <c r="AL45" i="9"/>
  <c r="O45" i="9"/>
  <c r="AL44" i="9"/>
  <c r="O44" i="9"/>
  <c r="AL43" i="9"/>
  <c r="O43" i="9"/>
  <c r="AL42" i="9"/>
  <c r="O42" i="9"/>
  <c r="AL41" i="9"/>
  <c r="O41" i="9"/>
  <c r="AL40" i="9"/>
  <c r="O40" i="9"/>
  <c r="AL39" i="9"/>
  <c r="O39" i="9"/>
  <c r="AL38" i="9"/>
  <c r="O38" i="9"/>
  <c r="AL37" i="9"/>
  <c r="O37" i="9"/>
  <c r="AL36" i="9"/>
  <c r="O36" i="9"/>
  <c r="AL35" i="9"/>
  <c r="O35" i="9"/>
  <c r="BH50" i="9" s="1"/>
  <c r="BE50" i="9" s="1"/>
  <c r="P50" i="9" s="1"/>
  <c r="AL34" i="9"/>
  <c r="O34" i="9"/>
  <c r="BH49" i="9" s="1"/>
  <c r="BE49" i="9" s="1"/>
  <c r="P49" i="9" s="1"/>
  <c r="AL33" i="9"/>
  <c r="O33" i="9"/>
  <c r="BH48" i="9" s="1"/>
  <c r="BE48" i="9" s="1"/>
  <c r="P48" i="9" s="1"/>
  <c r="AL32" i="9"/>
  <c r="O32" i="9"/>
  <c r="BH47" i="9" s="1"/>
  <c r="BE47" i="9" s="1"/>
  <c r="P47" i="9" s="1"/>
  <c r="AL31" i="9"/>
  <c r="O31" i="9"/>
  <c r="BH46" i="9" s="1"/>
  <c r="BE46" i="9" s="1"/>
  <c r="P46" i="9" s="1"/>
  <c r="AL30" i="9"/>
  <c r="AN30" i="9" s="1"/>
  <c r="AN31" i="9" s="1"/>
  <c r="AN32" i="9" s="1"/>
  <c r="AN33" i="9" s="1"/>
  <c r="AN34" i="9" s="1"/>
  <c r="AN35" i="9" s="1"/>
  <c r="AN36" i="9" s="1"/>
  <c r="AN37" i="9" s="1"/>
  <c r="AN38" i="9" s="1"/>
  <c r="AN39" i="9" s="1"/>
  <c r="AN40" i="9" s="1"/>
  <c r="AN41" i="9" s="1"/>
  <c r="AN42" i="9" s="1"/>
  <c r="AN43" i="9" s="1"/>
  <c r="AN44" i="9" s="1"/>
  <c r="AN45" i="9" s="1"/>
  <c r="AN46" i="9" s="1"/>
  <c r="AN47" i="9" s="1"/>
  <c r="AN48" i="9" s="1"/>
  <c r="AN49" i="9" s="1"/>
  <c r="AN50" i="9" s="1"/>
  <c r="AN51" i="9" s="1"/>
  <c r="O30" i="9"/>
  <c r="BH45" i="9" s="1"/>
  <c r="BE45" i="9" s="1"/>
  <c r="P45" i="9" s="1"/>
  <c r="O29" i="9"/>
  <c r="BH44" i="9" s="1"/>
  <c r="BE44" i="9" s="1"/>
  <c r="P44" i="9" s="1"/>
  <c r="O28" i="9"/>
  <c r="BH43" i="9" s="1"/>
  <c r="BE43" i="9" s="1"/>
  <c r="P43" i="9" s="1"/>
  <c r="O27" i="9"/>
  <c r="BH42" i="9" s="1"/>
  <c r="BE42" i="9" s="1"/>
  <c r="P42" i="9" s="1"/>
  <c r="O26" i="9"/>
  <c r="BH41" i="9" s="1"/>
  <c r="BE41" i="9" s="1"/>
  <c r="P41" i="9" s="1"/>
  <c r="O25" i="9"/>
  <c r="O24" i="9"/>
  <c r="O23" i="9"/>
  <c r="O22" i="9"/>
  <c r="O21" i="9"/>
  <c r="O20" i="9"/>
  <c r="O19" i="9"/>
  <c r="O18" i="9"/>
  <c r="O17" i="9"/>
  <c r="O16" i="9"/>
  <c r="O15" i="9"/>
  <c r="O14" i="9"/>
  <c r="O13" i="9"/>
  <c r="O12" i="9"/>
  <c r="O11" i="9"/>
  <c r="AK10" i="9"/>
  <c r="AK11" i="9" s="1"/>
  <c r="AK12" i="9" s="1"/>
  <c r="AK13" i="9" s="1"/>
  <c r="AK14" i="9" s="1"/>
  <c r="AK15" i="9" s="1"/>
  <c r="AK16" i="9" s="1"/>
  <c r="AK17" i="9" s="1"/>
  <c r="AK18" i="9" s="1"/>
  <c r="AK19" i="9" s="1"/>
  <c r="AK20" i="9" s="1"/>
  <c r="AK21" i="9" s="1"/>
  <c r="AK22" i="9" s="1"/>
  <c r="AK23" i="9" s="1"/>
  <c r="AK24" i="9" s="1"/>
  <c r="AK25" i="9" s="1"/>
  <c r="AK26" i="9" s="1"/>
  <c r="AK27" i="9" s="1"/>
  <c r="AK28" i="9" s="1"/>
  <c r="AK29" i="9" s="1"/>
  <c r="AK30" i="9" s="1"/>
  <c r="AK31" i="9" s="1"/>
  <c r="AK32" i="9" s="1"/>
  <c r="AK33" i="9" s="1"/>
  <c r="AK34" i="9" s="1"/>
  <c r="AK35" i="9" s="1"/>
  <c r="AK36" i="9" s="1"/>
  <c r="AK37" i="9" s="1"/>
  <c r="AK38" i="9" s="1"/>
  <c r="AK39" i="9" s="1"/>
  <c r="AK40" i="9" s="1"/>
  <c r="AK41" i="9" s="1"/>
  <c r="AK42" i="9" s="1"/>
  <c r="AK43" i="9" s="1"/>
  <c r="AK44" i="9" s="1"/>
  <c r="AK45" i="9" s="1"/>
  <c r="AK46" i="9" s="1"/>
  <c r="AK47" i="9" s="1"/>
  <c r="AK48" i="9" s="1"/>
  <c r="AK49" i="9" s="1"/>
  <c r="AK50" i="9" s="1"/>
  <c r="AK51" i="9" s="1"/>
  <c r="AH10" i="9"/>
  <c r="AH11" i="9" s="1"/>
  <c r="AH12" i="9" s="1"/>
  <c r="AH13" i="9" s="1"/>
  <c r="AH14" i="9" s="1"/>
  <c r="AH15" i="9" s="1"/>
  <c r="AH16" i="9" s="1"/>
  <c r="AH17" i="9" s="1"/>
  <c r="AH18" i="9" s="1"/>
  <c r="AH19" i="9" s="1"/>
  <c r="AH20" i="9" s="1"/>
  <c r="AH21" i="9" s="1"/>
  <c r="AH22" i="9" s="1"/>
  <c r="AH23" i="9" s="1"/>
  <c r="AH24" i="9" s="1"/>
  <c r="AH25" i="9" s="1"/>
  <c r="AH26" i="9" s="1"/>
  <c r="AH27" i="9" s="1"/>
  <c r="AH28" i="9" s="1"/>
  <c r="AH29" i="9" s="1"/>
  <c r="AH30" i="9" s="1"/>
  <c r="AH31" i="9" s="1"/>
  <c r="AH32" i="9" s="1"/>
  <c r="AH33" i="9" s="1"/>
  <c r="AH34" i="9" s="1"/>
  <c r="AH35" i="9" s="1"/>
  <c r="AH36" i="9" s="1"/>
  <c r="AH37" i="9" s="1"/>
  <c r="AH38" i="9" s="1"/>
  <c r="AH39" i="9" s="1"/>
  <c r="AH40" i="9" s="1"/>
  <c r="AH41" i="9" s="1"/>
  <c r="AH42" i="9" s="1"/>
  <c r="AH43" i="9" s="1"/>
  <c r="AH44" i="9" s="1"/>
  <c r="AH45" i="9" s="1"/>
  <c r="AH46" i="9" s="1"/>
  <c r="AH47" i="9" s="1"/>
  <c r="AH48" i="9" s="1"/>
  <c r="AH49" i="9" s="1"/>
  <c r="AH50" i="9" s="1"/>
  <c r="AH51" i="9" s="1"/>
  <c r="O10" i="9"/>
  <c r="BI9" i="9"/>
  <c r="BE9" i="9"/>
  <c r="AQ9" i="9"/>
  <c r="V9" i="9"/>
  <c r="P9" i="9"/>
  <c r="O9" i="9"/>
  <c r="N9" i="9"/>
  <c r="E9" i="9"/>
  <c r="H9" i="9" s="1"/>
  <c r="K9" i="9" s="1"/>
  <c r="B9" i="9"/>
  <c r="B10" i="9" s="1"/>
  <c r="BE8" i="9"/>
  <c r="AQ8" i="9"/>
  <c r="AI8" i="9"/>
  <c r="C7" i="9"/>
  <c r="B48" i="8"/>
  <c r="B42" i="8"/>
  <c r="B41" i="8"/>
  <c r="B46" i="8" s="1"/>
  <c r="B47" i="8" s="1"/>
  <c r="A40" i="8"/>
  <c r="A39" i="8"/>
  <c r="A38" i="8"/>
  <c r="A37" i="8"/>
  <c r="A36" i="8"/>
  <c r="A35" i="8"/>
  <c r="A34" i="8"/>
  <c r="A33" i="8"/>
  <c r="A32" i="8"/>
  <c r="A31" i="8"/>
  <c r="G27" i="8"/>
  <c r="F27" i="8"/>
  <c r="E27" i="8"/>
  <c r="D27" i="8"/>
  <c r="C27" i="8"/>
  <c r="A27" i="8"/>
  <c r="A26" i="8"/>
  <c r="G26" i="8" s="1"/>
  <c r="G25" i="8"/>
  <c r="F25" i="8"/>
  <c r="E25" i="8"/>
  <c r="D25" i="8"/>
  <c r="C25" i="8"/>
  <c r="A25" i="8"/>
  <c r="G24" i="8"/>
  <c r="F24" i="8"/>
  <c r="E24" i="8"/>
  <c r="D24" i="8"/>
  <c r="C24" i="8"/>
  <c r="A24" i="8"/>
  <c r="G23" i="8"/>
  <c r="F23" i="8"/>
  <c r="E23" i="8"/>
  <c r="D23" i="8"/>
  <c r="C23" i="8"/>
  <c r="A23" i="8"/>
  <c r="G22" i="8"/>
  <c r="F22" i="8"/>
  <c r="E22" i="8"/>
  <c r="D22" i="8"/>
  <c r="C22" i="8"/>
  <c r="A22" i="8"/>
  <c r="A21" i="8"/>
  <c r="G21" i="8" s="1"/>
  <c r="G20" i="8"/>
  <c r="E20" i="8"/>
  <c r="A20" i="8"/>
  <c r="F20" i="8" s="1"/>
  <c r="G19" i="8"/>
  <c r="F19" i="8"/>
  <c r="E19" i="8"/>
  <c r="D19" i="8"/>
  <c r="C19" i="8"/>
  <c r="A19" i="8"/>
  <c r="G18" i="8"/>
  <c r="G28" i="8" s="1"/>
  <c r="B39" i="2" s="1"/>
  <c r="F18" i="8"/>
  <c r="C18" i="8"/>
  <c r="A18" i="8"/>
  <c r="E18" i="8" s="1"/>
  <c r="I38" i="7"/>
  <c r="P13" i="7"/>
  <c r="Q12" i="7"/>
  <c r="R12" i="7" s="1"/>
  <c r="G11" i="7" s="1"/>
  <c r="O12" i="7"/>
  <c r="Q11" i="7"/>
  <c r="R11" i="7" s="1"/>
  <c r="G10" i="7" s="1"/>
  <c r="O11" i="7"/>
  <c r="Q10" i="7"/>
  <c r="R10" i="7" s="1"/>
  <c r="G9" i="7" s="1"/>
  <c r="O10" i="7"/>
  <c r="Q9" i="7"/>
  <c r="R9" i="7" s="1"/>
  <c r="G8" i="7" s="1"/>
  <c r="O9" i="7"/>
  <c r="Q8" i="7"/>
  <c r="R8" i="7" s="1"/>
  <c r="G7" i="7" s="1"/>
  <c r="O8" i="7"/>
  <c r="Q7" i="7"/>
  <c r="R7" i="7" s="1"/>
  <c r="G6" i="7" s="1"/>
  <c r="O7" i="7"/>
  <c r="Q6" i="7"/>
  <c r="R6" i="7" s="1"/>
  <c r="G5" i="7" s="1"/>
  <c r="O6" i="7"/>
  <c r="Q5" i="7"/>
  <c r="R5" i="7" s="1"/>
  <c r="G4" i="7" s="1"/>
  <c r="O5" i="7"/>
  <c r="Q4" i="7"/>
  <c r="R4" i="7" s="1"/>
  <c r="G3" i="7" s="1"/>
  <c r="O4" i="7"/>
  <c r="Q3" i="7"/>
  <c r="R3" i="7" s="1"/>
  <c r="G2" i="7" s="1"/>
  <c r="O3" i="7"/>
  <c r="O13" i="7" s="1"/>
  <c r="G34" i="6"/>
  <c r="F34" i="6"/>
  <c r="E34" i="6"/>
  <c r="D34" i="6"/>
  <c r="C34" i="6"/>
  <c r="G33" i="6"/>
  <c r="F33" i="6"/>
  <c r="E33" i="6"/>
  <c r="D33" i="6"/>
  <c r="C33" i="6"/>
  <c r="D32" i="6"/>
  <c r="C32" i="6"/>
  <c r="C31" i="6"/>
  <c r="G30" i="6"/>
  <c r="F30" i="6"/>
  <c r="E30" i="6"/>
  <c r="D30" i="6"/>
  <c r="C30" i="6"/>
  <c r="G29" i="6"/>
  <c r="F29" i="6"/>
  <c r="E29" i="6"/>
  <c r="D29" i="6"/>
  <c r="C29" i="6"/>
  <c r="E28" i="6"/>
  <c r="C28" i="6"/>
  <c r="G27" i="6"/>
  <c r="F27" i="6"/>
  <c r="E27" i="6"/>
  <c r="D27" i="6"/>
  <c r="C27" i="6"/>
  <c r="G26" i="6"/>
  <c r="F26" i="6"/>
  <c r="E26" i="6"/>
  <c r="D26" i="6"/>
  <c r="C26" i="6"/>
  <c r="G25" i="6"/>
  <c r="F25" i="6"/>
  <c r="E25" i="6"/>
  <c r="D25" i="6"/>
  <c r="C25" i="6"/>
  <c r="G24" i="6"/>
  <c r="F24" i="6"/>
  <c r="E24" i="6"/>
  <c r="D24" i="6"/>
  <c r="C24" i="6"/>
  <c r="G23" i="6"/>
  <c r="F23" i="6"/>
  <c r="E23" i="6"/>
  <c r="D23" i="6"/>
  <c r="C23" i="6"/>
  <c r="G22" i="6"/>
  <c r="F22" i="6"/>
  <c r="E22" i="6"/>
  <c r="D22" i="6"/>
  <c r="C22" i="6"/>
  <c r="G21" i="6"/>
  <c r="F21" i="6"/>
  <c r="E21" i="6"/>
  <c r="D21" i="6"/>
  <c r="C21" i="6"/>
  <c r="G20" i="6"/>
  <c r="F20" i="6"/>
  <c r="E20" i="6"/>
  <c r="D20" i="6"/>
  <c r="C20" i="6"/>
  <c r="G19" i="6"/>
  <c r="F19" i="6"/>
  <c r="E19" i="6"/>
  <c r="D19" i="6"/>
  <c r="C19" i="6"/>
  <c r="G18" i="6"/>
  <c r="F18" i="6"/>
  <c r="E18" i="6"/>
  <c r="D18" i="6"/>
  <c r="C18" i="6"/>
  <c r="G17" i="6"/>
  <c r="F17" i="6"/>
  <c r="E17" i="6"/>
  <c r="D17" i="6"/>
  <c r="C17" i="6"/>
  <c r="G16" i="6"/>
  <c r="F16" i="6"/>
  <c r="E16" i="6"/>
  <c r="D16" i="6"/>
  <c r="C16" i="6"/>
  <c r="G15" i="6"/>
  <c r="F15" i="6"/>
  <c r="E15" i="6"/>
  <c r="D15" i="6"/>
  <c r="C15" i="6"/>
  <c r="G14" i="6"/>
  <c r="F14" i="6"/>
  <c r="E14" i="6"/>
  <c r="D14" i="6"/>
  <c r="C14" i="6"/>
  <c r="G13" i="6"/>
  <c r="F13" i="6"/>
  <c r="E13" i="6"/>
  <c r="D13" i="6"/>
  <c r="C13" i="6"/>
  <c r="G12" i="6"/>
  <c r="F12" i="6"/>
  <c r="E12" i="6"/>
  <c r="D12" i="6"/>
  <c r="C12" i="6"/>
  <c r="G11" i="6"/>
  <c r="F11" i="6"/>
  <c r="E11" i="6"/>
  <c r="D11" i="6"/>
  <c r="C11" i="6"/>
  <c r="G10" i="6"/>
  <c r="F10" i="6"/>
  <c r="E10" i="6"/>
  <c r="D10" i="6"/>
  <c r="C10" i="6"/>
  <c r="G9" i="6"/>
  <c r="F9" i="6"/>
  <c r="E9" i="6"/>
  <c r="D9" i="6"/>
  <c r="C9" i="6"/>
  <c r="G8" i="6"/>
  <c r="F8" i="6"/>
  <c r="E8" i="6"/>
  <c r="D8" i="6"/>
  <c r="C8" i="6"/>
  <c r="G7" i="6"/>
  <c r="F7" i="6"/>
  <c r="E7" i="6"/>
  <c r="D7" i="6"/>
  <c r="C7" i="6"/>
  <c r="G6" i="6"/>
  <c r="F6" i="6"/>
  <c r="E6" i="6"/>
  <c r="D6" i="6"/>
  <c r="C6" i="6"/>
  <c r="G5" i="6"/>
  <c r="F5" i="6"/>
  <c r="E5" i="6"/>
  <c r="D5" i="6"/>
  <c r="C5" i="6"/>
  <c r="G4" i="6"/>
  <c r="F4" i="6"/>
  <c r="E4" i="6"/>
  <c r="D4" i="6"/>
  <c r="C4" i="6"/>
  <c r="I215" i="5"/>
  <c r="I214" i="5"/>
  <c r="I213" i="5"/>
  <c r="I212" i="5"/>
  <c r="I211" i="5"/>
  <c r="I210" i="5"/>
  <c r="I209" i="5"/>
  <c r="I208" i="5"/>
  <c r="I207" i="5"/>
  <c r="I206" i="5"/>
  <c r="I205" i="5"/>
  <c r="I204" i="5"/>
  <c r="I203" i="5"/>
  <c r="I202" i="5"/>
  <c r="I201" i="5"/>
  <c r="I200" i="5"/>
  <c r="I199" i="5"/>
  <c r="I198" i="5"/>
  <c r="I197" i="5"/>
  <c r="I196" i="5"/>
  <c r="I195" i="5"/>
  <c r="I194" i="5"/>
  <c r="I193" i="5"/>
  <c r="I192" i="5"/>
  <c r="I191" i="5"/>
  <c r="I190" i="5"/>
  <c r="I189" i="5"/>
  <c r="I188" i="5"/>
  <c r="I187" i="5"/>
  <c r="I186" i="5"/>
  <c r="I185" i="5"/>
  <c r="I184" i="5"/>
  <c r="I183" i="5"/>
  <c r="I182" i="5"/>
  <c r="I181" i="5"/>
  <c r="I180" i="5"/>
  <c r="I179" i="5"/>
  <c r="I178" i="5"/>
  <c r="I177" i="5"/>
  <c r="I176" i="5"/>
  <c r="I175" i="5"/>
  <c r="I174" i="5"/>
  <c r="I173" i="5"/>
  <c r="I172" i="5"/>
  <c r="I171" i="5"/>
  <c r="I170" i="5"/>
  <c r="I169" i="5"/>
  <c r="I168" i="5"/>
  <c r="I167" i="5"/>
  <c r="I166" i="5"/>
  <c r="I165" i="5"/>
  <c r="I164" i="5"/>
  <c r="I163" i="5"/>
  <c r="I162" i="5"/>
  <c r="I161" i="5"/>
  <c r="I160" i="5"/>
  <c r="I159" i="5"/>
  <c r="I158" i="5"/>
  <c r="I157" i="5"/>
  <c r="I156" i="5"/>
  <c r="I155" i="5"/>
  <c r="I154" i="5"/>
  <c r="I153" i="5"/>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I21" i="5"/>
  <c r="I20" i="5"/>
  <c r="I19" i="5"/>
  <c r="I18" i="5"/>
  <c r="I17" i="5"/>
  <c r="I16" i="5"/>
  <c r="I15" i="5"/>
  <c r="I14" i="5"/>
  <c r="I13" i="5"/>
  <c r="I12" i="5"/>
  <c r="I11" i="5"/>
  <c r="I10" i="5"/>
  <c r="I9" i="5"/>
  <c r="I8" i="5"/>
  <c r="I7" i="5"/>
  <c r="I6" i="5"/>
  <c r="I5" i="5"/>
  <c r="I4" i="5"/>
  <c r="I3" i="5"/>
  <c r="I2" i="5"/>
  <c r="AK51" i="4"/>
  <c r="AK50" i="4"/>
  <c r="AK49" i="4"/>
  <c r="AK44" i="4"/>
  <c r="AK43" i="4"/>
  <c r="AK42" i="4"/>
  <c r="AK40" i="4"/>
  <c r="AK39" i="4"/>
  <c r="AK38" i="4"/>
  <c r="AK29" i="4"/>
  <c r="AK28" i="4"/>
  <c r="AK27" i="4"/>
  <c r="AK22" i="4"/>
  <c r="AK21" i="4"/>
  <c r="AK20" i="4"/>
  <c r="AK19" i="4"/>
  <c r="AK18" i="4"/>
  <c r="AK17" i="4"/>
  <c r="AK16" i="4"/>
  <c r="AK13" i="4"/>
  <c r="AK12" i="4"/>
  <c r="AK11" i="4"/>
  <c r="AK10" i="4"/>
  <c r="AK9" i="4"/>
  <c r="AK8" i="4"/>
  <c r="AK7" i="4"/>
  <c r="AK6" i="4"/>
  <c r="AK5" i="4"/>
  <c r="AK4" i="4"/>
  <c r="AK3" i="4"/>
  <c r="AK2" i="4"/>
  <c r="V158" i="2"/>
  <c r="T158" i="2"/>
  <c r="S158" i="2"/>
  <c r="R158" i="2"/>
  <c r="Q158" i="2"/>
  <c r="P158" i="2"/>
  <c r="O158" i="2"/>
  <c r="N158" i="2"/>
  <c r="M158" i="2"/>
  <c r="L158" i="2"/>
  <c r="K158" i="2"/>
  <c r="J158" i="2"/>
  <c r="I158" i="2"/>
  <c r="H158" i="2"/>
  <c r="G158" i="2"/>
  <c r="X158" i="2" s="1"/>
  <c r="V157" i="2"/>
  <c r="T157" i="2"/>
  <c r="S157" i="2"/>
  <c r="R157" i="2"/>
  <c r="Q157" i="2"/>
  <c r="P157" i="2"/>
  <c r="O157" i="2"/>
  <c r="N157" i="2"/>
  <c r="M157" i="2"/>
  <c r="L157" i="2"/>
  <c r="K157" i="2"/>
  <c r="J157" i="2"/>
  <c r="I157" i="2"/>
  <c r="H157" i="2"/>
  <c r="G157" i="2"/>
  <c r="X157" i="2" s="1"/>
  <c r="V156" i="2"/>
  <c r="T156" i="2"/>
  <c r="S156" i="2"/>
  <c r="R156" i="2"/>
  <c r="Q156" i="2"/>
  <c r="P156" i="2"/>
  <c r="O156" i="2"/>
  <c r="N156" i="2"/>
  <c r="M156" i="2"/>
  <c r="L156" i="2"/>
  <c r="K156" i="2"/>
  <c r="J156" i="2"/>
  <c r="I156" i="2"/>
  <c r="H156" i="2"/>
  <c r="V155" i="2"/>
  <c r="T155" i="2"/>
  <c r="S155" i="2"/>
  <c r="R155" i="2"/>
  <c r="Q155" i="2"/>
  <c r="P155" i="2"/>
  <c r="O155" i="2"/>
  <c r="N155" i="2"/>
  <c r="G155" i="2"/>
  <c r="V154" i="2"/>
  <c r="T154" i="2"/>
  <c r="S154" i="2"/>
  <c r="R154" i="2"/>
  <c r="Q154" i="2"/>
  <c r="P154" i="2"/>
  <c r="O154" i="2"/>
  <c r="N154" i="2"/>
  <c r="M154" i="2"/>
  <c r="L154" i="2"/>
  <c r="K154" i="2"/>
  <c r="J154" i="2"/>
  <c r="I154" i="2"/>
  <c r="H154" i="2"/>
  <c r="G154" i="2"/>
  <c r="X154" i="2" s="1"/>
  <c r="V153" i="2"/>
  <c r="T153" i="2"/>
  <c r="S153" i="2"/>
  <c r="R153" i="2"/>
  <c r="Q153" i="2"/>
  <c r="P153" i="2"/>
  <c r="O153" i="2"/>
  <c r="N153" i="2"/>
  <c r="M153" i="2"/>
  <c r="L153" i="2"/>
  <c r="K153" i="2"/>
  <c r="J153" i="2"/>
  <c r="I153" i="2"/>
  <c r="H153" i="2"/>
  <c r="G153" i="2"/>
  <c r="X153" i="2" s="1"/>
  <c r="V152" i="2"/>
  <c r="T152" i="2"/>
  <c r="S152" i="2"/>
  <c r="R152" i="2"/>
  <c r="Q152" i="2"/>
  <c r="P152" i="2"/>
  <c r="O152" i="2"/>
  <c r="N152" i="2"/>
  <c r="F152" i="2"/>
  <c r="E152" i="2"/>
  <c r="W151" i="2"/>
  <c r="W150" i="2"/>
  <c r="W149" i="2"/>
  <c r="G148" i="2"/>
  <c r="G156" i="2" s="1"/>
  <c r="X156" i="2" s="1"/>
  <c r="W147" i="2"/>
  <c r="W146" i="2"/>
  <c r="W145" i="2"/>
  <c r="W144" i="2"/>
  <c r="W143" i="2"/>
  <c r="W142" i="2"/>
  <c r="W141" i="2"/>
  <c r="W140" i="2"/>
  <c r="W139" i="2"/>
  <c r="W138" i="2"/>
  <c r="W137" i="2"/>
  <c r="W136" i="2"/>
  <c r="W135" i="2"/>
  <c r="W134" i="2"/>
  <c r="W133" i="2"/>
  <c r="W132" i="2"/>
  <c r="W131" i="2"/>
  <c r="W130" i="2"/>
  <c r="W129" i="2"/>
  <c r="W128" i="2"/>
  <c r="W127" i="2"/>
  <c r="W126" i="2"/>
  <c r="W125" i="2"/>
  <c r="W124" i="2"/>
  <c r="W123" i="2"/>
  <c r="W122" i="2"/>
  <c r="W121" i="2"/>
  <c r="W120" i="2"/>
  <c r="W119" i="2"/>
  <c r="W118" i="2"/>
  <c r="W117" i="2"/>
  <c r="W116" i="2"/>
  <c r="W115" i="2"/>
  <c r="W114" i="2"/>
  <c r="W113" i="2"/>
  <c r="W112" i="2"/>
  <c r="W111" i="2"/>
  <c r="W110" i="2"/>
  <c r="W109" i="2"/>
  <c r="W108" i="2"/>
  <c r="W107" i="2"/>
  <c r="W106" i="2"/>
  <c r="W105" i="2"/>
  <c r="W104" i="2"/>
  <c r="W103" i="2"/>
  <c r="W102" i="2"/>
  <c r="W101" i="2"/>
  <c r="W100" i="2"/>
  <c r="W99" i="2"/>
  <c r="W98" i="2"/>
  <c r="W97" i="2"/>
  <c r="W96" i="2"/>
  <c r="W95" i="2"/>
  <c r="W94" i="2"/>
  <c r="W93" i="2"/>
  <c r="W92" i="2"/>
  <c r="W91" i="2"/>
  <c r="W90" i="2"/>
  <c r="W89" i="2"/>
  <c r="W88" i="2"/>
  <c r="W87" i="2"/>
  <c r="W86" i="2"/>
  <c r="W85" i="2"/>
  <c r="W84" i="2"/>
  <c r="W83" i="2"/>
  <c r="W82" i="2"/>
  <c r="W81" i="2"/>
  <c r="W80" i="2"/>
  <c r="W79" i="2"/>
  <c r="W78" i="2"/>
  <c r="W77" i="2"/>
  <c r="W76" i="2"/>
  <c r="W75" i="2"/>
  <c r="W74" i="2"/>
  <c r="W73" i="2"/>
  <c r="W72" i="2"/>
  <c r="W71" i="2"/>
  <c r="W70" i="2"/>
  <c r="W69" i="2"/>
  <c r="W68" i="2"/>
  <c r="W67" i="2"/>
  <c r="W66" i="2"/>
  <c r="W65" i="2"/>
  <c r="W64" i="2"/>
  <c r="W63" i="2"/>
  <c r="W62" i="2"/>
  <c r="W61" i="2"/>
  <c r="W60" i="2"/>
  <c r="W59" i="2"/>
  <c r="W58" i="2"/>
  <c r="W57" i="2"/>
  <c r="W56" i="2"/>
  <c r="M54" i="2"/>
  <c r="M155" i="2" s="1"/>
  <c r="L54" i="2"/>
  <c r="L155" i="2" s="1"/>
  <c r="K54" i="2"/>
  <c r="K155" i="2" s="1"/>
  <c r="J54" i="2"/>
  <c r="J155" i="2" s="1"/>
  <c r="I54" i="2"/>
  <c r="I155" i="2" s="1"/>
  <c r="H54" i="2"/>
  <c r="H155" i="2" s="1"/>
  <c r="W53" i="2"/>
  <c r="T51" i="2"/>
  <c r="S51" i="2"/>
  <c r="R51" i="2"/>
  <c r="Q51" i="2"/>
  <c r="P51" i="2"/>
  <c r="O51" i="2"/>
  <c r="N51" i="2"/>
  <c r="M51" i="2"/>
  <c r="L51" i="2"/>
  <c r="K51" i="2"/>
  <c r="J51" i="2"/>
  <c r="I51" i="2"/>
  <c r="H51" i="2"/>
  <c r="G51" i="2"/>
  <c r="F51" i="2"/>
  <c r="E51" i="2"/>
  <c r="F50" i="2"/>
  <c r="E50" i="2"/>
  <c r="E49" i="2"/>
  <c r="T48" i="2"/>
  <c r="S48" i="2"/>
  <c r="R48" i="2"/>
  <c r="Q48" i="2"/>
  <c r="P48" i="2"/>
  <c r="O48" i="2"/>
  <c r="N48" i="2"/>
  <c r="M48" i="2"/>
  <c r="L48" i="2"/>
  <c r="K48" i="2"/>
  <c r="J48" i="2"/>
  <c r="I48" i="2"/>
  <c r="H48" i="2"/>
  <c r="G48" i="2"/>
  <c r="F48" i="2"/>
  <c r="E48" i="2"/>
  <c r="E46" i="2"/>
  <c r="E47" i="2" s="1"/>
  <c r="P44" i="2"/>
  <c r="O44" i="2"/>
  <c r="N44" i="2"/>
  <c r="M44" i="2"/>
  <c r="L44" i="2"/>
  <c r="K44" i="2"/>
  <c r="J44" i="2"/>
  <c r="I44" i="2"/>
  <c r="H44" i="2"/>
  <c r="G44" i="2"/>
  <c r="F44" i="2"/>
  <c r="E44" i="2"/>
  <c r="U43" i="2"/>
  <c r="U39" i="2"/>
  <c r="U38" i="2"/>
  <c r="T36" i="2"/>
  <c r="S36" i="2"/>
  <c r="N36" i="2"/>
  <c r="M36" i="2"/>
  <c r="L36" i="2"/>
  <c r="K36" i="2"/>
  <c r="J36" i="2"/>
  <c r="I36" i="2"/>
  <c r="H36" i="2"/>
  <c r="G36" i="2"/>
  <c r="F36" i="2"/>
  <c r="E36" i="2"/>
  <c r="U35" i="2"/>
  <c r="U31" i="2"/>
  <c r="U30" i="2"/>
  <c r="T28" i="2"/>
  <c r="S28" i="2"/>
  <c r="R28" i="2"/>
  <c r="Q28" i="2"/>
  <c r="P28" i="2"/>
  <c r="K28" i="2"/>
  <c r="J28" i="2"/>
  <c r="I28" i="2"/>
  <c r="H28" i="2"/>
  <c r="G28" i="2"/>
  <c r="F28" i="2"/>
  <c r="E28" i="2"/>
  <c r="U27" i="2"/>
  <c r="U23" i="2"/>
  <c r="U22" i="2"/>
  <c r="T20" i="2"/>
  <c r="S20" i="2"/>
  <c r="R20" i="2"/>
  <c r="Q20" i="2"/>
  <c r="P20" i="2"/>
  <c r="O20" i="2"/>
  <c r="N20" i="2"/>
  <c r="M20" i="2"/>
  <c r="H20" i="2"/>
  <c r="G20" i="2"/>
  <c r="F20" i="2"/>
  <c r="E20" i="2"/>
  <c r="U19" i="2"/>
  <c r="Y17" i="2"/>
  <c r="Z17" i="2" s="1"/>
  <c r="AA17" i="2" s="1"/>
  <c r="AB17" i="2" s="1"/>
  <c r="AC17" i="2" s="1"/>
  <c r="Y16" i="2"/>
  <c r="Z16" i="2" s="1"/>
  <c r="AA16" i="2" s="1"/>
  <c r="AB16" i="2" s="1"/>
  <c r="AC16" i="2" s="1"/>
  <c r="Y15" i="2"/>
  <c r="Z15" i="2" s="1"/>
  <c r="AA15" i="2" s="1"/>
  <c r="AB15" i="2" s="1"/>
  <c r="AC15" i="2" s="1"/>
  <c r="U15" i="2"/>
  <c r="Y14" i="2"/>
  <c r="Z14" i="2" s="1"/>
  <c r="AA14" i="2" s="1"/>
  <c r="AB14" i="2" s="1"/>
  <c r="AC14" i="2" s="1"/>
  <c r="U14" i="2"/>
  <c r="Y13" i="2"/>
  <c r="Z13" i="2" s="1"/>
  <c r="AA13" i="2" s="1"/>
  <c r="AB13" i="2" s="1"/>
  <c r="AC13" i="2" s="1"/>
  <c r="T12" i="2"/>
  <c r="S12" i="2"/>
  <c r="R12" i="2"/>
  <c r="Q12" i="2"/>
  <c r="P12" i="2"/>
  <c r="O12" i="2"/>
  <c r="N12" i="2"/>
  <c r="M12" i="2"/>
  <c r="L12" i="2"/>
  <c r="K12" i="2"/>
  <c r="J12" i="2"/>
  <c r="E12" i="2"/>
  <c r="U11" i="2"/>
  <c r="U7" i="2"/>
  <c r="U6" i="2"/>
  <c r="AN5" i="2"/>
  <c r="AN6" i="2" s="1"/>
  <c r="AN7" i="2" s="1"/>
  <c r="AN8" i="2" s="1"/>
  <c r="AM5" i="2"/>
  <c r="AM6" i="2" s="1"/>
  <c r="AM7" i="2" s="1"/>
  <c r="AM8" i="2" s="1"/>
  <c r="AL5" i="2"/>
  <c r="AL6" i="2" s="1"/>
  <c r="AL7" i="2" s="1"/>
  <c r="AK5" i="2"/>
  <c r="AK6" i="2" s="1"/>
  <c r="AK7" i="2" s="1"/>
  <c r="AJ5" i="2"/>
  <c r="AJ6" i="2" s="1"/>
  <c r="AJ7" i="2" s="1"/>
  <c r="AI5" i="2"/>
  <c r="AI6" i="2" s="1"/>
  <c r="AH5" i="2"/>
  <c r="AH6" i="2" s="1"/>
  <c r="AG5" i="2"/>
  <c r="AG6" i="2" s="1"/>
  <c r="AF5" i="2"/>
  <c r="AE5" i="2"/>
  <c r="AD5" i="2"/>
  <c r="Y5" i="2"/>
  <c r="Y6" i="2" s="1"/>
  <c r="Y7" i="2" s="1"/>
  <c r="Y8" i="2" s="1"/>
  <c r="Y9" i="2" s="1"/>
  <c r="E5" i="2"/>
  <c r="B3" i="7" s="1"/>
  <c r="Y4" i="2"/>
  <c r="I241" i="1"/>
  <c r="C241" i="1"/>
  <c r="I240" i="1"/>
  <c r="C240" i="1"/>
  <c r="I239" i="1"/>
  <c r="C239" i="1"/>
  <c r="I238" i="1"/>
  <c r="C238" i="1"/>
  <c r="I237" i="1"/>
  <c r="C237" i="1"/>
  <c r="I236" i="1"/>
  <c r="C236" i="1"/>
  <c r="I235" i="1"/>
  <c r="C235" i="1"/>
  <c r="I234" i="1"/>
  <c r="C234" i="1"/>
  <c r="I233" i="1"/>
  <c r="C233" i="1"/>
  <c r="I232" i="1"/>
  <c r="C232" i="1"/>
  <c r="I231" i="1"/>
  <c r="C231" i="1"/>
  <c r="I230" i="1"/>
  <c r="C230" i="1"/>
  <c r="I229" i="1"/>
  <c r="C229" i="1"/>
  <c r="I228" i="1"/>
  <c r="C228" i="1"/>
  <c r="I227" i="1"/>
  <c r="C227" i="1"/>
  <c r="I226" i="1"/>
  <c r="C226" i="1"/>
  <c r="I225" i="1"/>
  <c r="C225" i="1"/>
  <c r="I224" i="1"/>
  <c r="C224" i="1"/>
  <c r="I223" i="1"/>
  <c r="C223" i="1"/>
  <c r="I222" i="1"/>
  <c r="C222" i="1"/>
  <c r="I221" i="1"/>
  <c r="C221" i="1"/>
  <c r="I220" i="1"/>
  <c r="C220" i="1"/>
  <c r="I219" i="1"/>
  <c r="C219" i="1"/>
  <c r="I218" i="1"/>
  <c r="C218" i="1"/>
  <c r="I217" i="1"/>
  <c r="C217" i="1"/>
  <c r="I216" i="1"/>
  <c r="C216" i="1"/>
  <c r="I215" i="1"/>
  <c r="C215" i="1"/>
  <c r="I214" i="1"/>
  <c r="C214" i="1"/>
  <c r="I213" i="1"/>
  <c r="C213" i="1"/>
  <c r="I212" i="1"/>
  <c r="C212" i="1"/>
  <c r="I211" i="1"/>
  <c r="C211" i="1"/>
  <c r="I210" i="1"/>
  <c r="C210" i="1"/>
  <c r="I209" i="1"/>
  <c r="C209" i="1"/>
  <c r="I208" i="1"/>
  <c r="C208" i="1"/>
  <c r="I207" i="1"/>
  <c r="C207" i="1"/>
  <c r="I206" i="1"/>
  <c r="C206" i="1"/>
  <c r="I205" i="1"/>
  <c r="C205" i="1"/>
  <c r="I204" i="1"/>
  <c r="C204" i="1"/>
  <c r="I203" i="1"/>
  <c r="C203" i="1"/>
  <c r="I202" i="1"/>
  <c r="C202" i="1"/>
  <c r="I201" i="1"/>
  <c r="C201" i="1"/>
  <c r="I200" i="1"/>
  <c r="C200" i="1"/>
  <c r="I199" i="1"/>
  <c r="C199" i="1"/>
  <c r="I198" i="1"/>
  <c r="C198" i="1"/>
  <c r="I197" i="1"/>
  <c r="C197" i="1"/>
  <c r="I196" i="1"/>
  <c r="C196" i="1"/>
  <c r="I195" i="1"/>
  <c r="C195" i="1"/>
  <c r="I194" i="1"/>
  <c r="C194" i="1"/>
  <c r="I193" i="1"/>
  <c r="C193" i="1"/>
  <c r="I192" i="1"/>
  <c r="C192" i="1"/>
  <c r="I191" i="1"/>
  <c r="C191" i="1"/>
  <c r="I190" i="1"/>
  <c r="C190" i="1"/>
  <c r="I189" i="1"/>
  <c r="C189" i="1"/>
  <c r="I188" i="1"/>
  <c r="C188" i="1"/>
  <c r="I187" i="1"/>
  <c r="C187" i="1"/>
  <c r="I186" i="1"/>
  <c r="C186" i="1"/>
  <c r="I185" i="1"/>
  <c r="C185" i="1"/>
  <c r="I184" i="1"/>
  <c r="C184" i="1"/>
  <c r="I183" i="1"/>
  <c r="C183" i="1"/>
  <c r="I182" i="1"/>
  <c r="C182" i="1"/>
  <c r="I181" i="1"/>
  <c r="C181" i="1"/>
  <c r="I180" i="1"/>
  <c r="C180" i="1"/>
  <c r="I179" i="1"/>
  <c r="C179" i="1"/>
  <c r="I178" i="1"/>
  <c r="C178" i="1"/>
  <c r="I177" i="1"/>
  <c r="C177" i="1"/>
  <c r="I176" i="1"/>
  <c r="C176" i="1"/>
  <c r="I175" i="1"/>
  <c r="C175" i="1"/>
  <c r="I174" i="1"/>
  <c r="C174" i="1"/>
  <c r="I173" i="1"/>
  <c r="C173" i="1"/>
  <c r="I172" i="1"/>
  <c r="C172" i="1"/>
  <c r="I171" i="1"/>
  <c r="C171" i="1"/>
  <c r="I170" i="1"/>
  <c r="C170" i="1"/>
  <c r="I169" i="1"/>
  <c r="C169" i="1"/>
  <c r="I168" i="1"/>
  <c r="C168" i="1"/>
  <c r="I166" i="1"/>
  <c r="C166" i="1"/>
  <c r="I165" i="1"/>
  <c r="C165" i="1"/>
  <c r="I164" i="1"/>
  <c r="C164" i="1"/>
  <c r="I162" i="1"/>
  <c r="C162" i="1"/>
  <c r="I160" i="1"/>
  <c r="C160" i="1"/>
  <c r="I159" i="1"/>
  <c r="C159" i="1"/>
  <c r="I158" i="1"/>
  <c r="C158" i="1"/>
  <c r="I157" i="1"/>
  <c r="C157" i="1"/>
  <c r="I156" i="1"/>
  <c r="C156" i="1"/>
  <c r="I155" i="1"/>
  <c r="C155" i="1"/>
  <c r="I154" i="1"/>
  <c r="C154" i="1"/>
  <c r="I153" i="1"/>
  <c r="C153" i="1"/>
  <c r="I152" i="1"/>
  <c r="C152" i="1"/>
  <c r="I151" i="1"/>
  <c r="C151" i="1"/>
  <c r="I150" i="1"/>
  <c r="C150" i="1"/>
  <c r="I149" i="1"/>
  <c r="C149" i="1"/>
  <c r="I148" i="1"/>
  <c r="C148" i="1"/>
  <c r="I147" i="1"/>
  <c r="C147" i="1"/>
  <c r="I146" i="1"/>
  <c r="C146" i="1"/>
  <c r="I145" i="1"/>
  <c r="C145" i="1"/>
  <c r="I144" i="1"/>
  <c r="C144" i="1"/>
  <c r="I143" i="1"/>
  <c r="C143" i="1"/>
  <c r="I142" i="1"/>
  <c r="C142" i="1"/>
  <c r="I141" i="1"/>
  <c r="C141" i="1"/>
  <c r="I140" i="1"/>
  <c r="C140" i="1"/>
  <c r="I139" i="1"/>
  <c r="C139" i="1"/>
  <c r="I138" i="1"/>
  <c r="C138" i="1"/>
  <c r="I137" i="1"/>
  <c r="C137" i="1"/>
  <c r="I136" i="1"/>
  <c r="C136" i="1"/>
  <c r="I135" i="1"/>
  <c r="C135" i="1"/>
  <c r="I134" i="1"/>
  <c r="C134" i="1"/>
  <c r="I133" i="1"/>
  <c r="C133" i="1"/>
  <c r="I132" i="1"/>
  <c r="C132" i="1"/>
  <c r="I131" i="1"/>
  <c r="C131" i="1"/>
  <c r="I130" i="1"/>
  <c r="C130" i="1"/>
  <c r="I129" i="1"/>
  <c r="C129" i="1"/>
  <c r="I128" i="1"/>
  <c r="C128" i="1"/>
  <c r="I127" i="1"/>
  <c r="C127" i="1"/>
  <c r="I126" i="1"/>
  <c r="C126" i="1"/>
  <c r="I125" i="1"/>
  <c r="C125" i="1"/>
  <c r="I124" i="1"/>
  <c r="C124" i="1"/>
  <c r="I123" i="1"/>
  <c r="C123" i="1"/>
  <c r="I122" i="1"/>
  <c r="C122" i="1"/>
  <c r="I121" i="1"/>
  <c r="C121" i="1"/>
  <c r="I120" i="1"/>
  <c r="C120" i="1"/>
  <c r="I119" i="1"/>
  <c r="C119" i="1"/>
  <c r="I118" i="1"/>
  <c r="C118" i="1"/>
  <c r="I117" i="1"/>
  <c r="C117" i="1"/>
  <c r="I116" i="1"/>
  <c r="C116" i="1"/>
  <c r="I115" i="1"/>
  <c r="C115" i="1"/>
  <c r="I114" i="1"/>
  <c r="C114" i="1"/>
  <c r="I113" i="1"/>
  <c r="C113" i="1"/>
  <c r="I112" i="1"/>
  <c r="C112" i="1"/>
  <c r="I111" i="1"/>
  <c r="C111" i="1"/>
  <c r="I110" i="1"/>
  <c r="C110" i="1"/>
  <c r="I109" i="1"/>
  <c r="C109" i="1"/>
  <c r="I108" i="1"/>
  <c r="C108" i="1"/>
  <c r="I107" i="1"/>
  <c r="C107" i="1"/>
  <c r="I106" i="1"/>
  <c r="C106" i="1"/>
  <c r="I105" i="1"/>
  <c r="C105" i="1"/>
  <c r="I104" i="1"/>
  <c r="C104" i="1"/>
  <c r="I103" i="1"/>
  <c r="C103" i="1"/>
  <c r="I102" i="1"/>
  <c r="C102" i="1"/>
  <c r="I101" i="1"/>
  <c r="C101" i="1"/>
  <c r="I100" i="1"/>
  <c r="C100" i="1"/>
  <c r="I99" i="1"/>
  <c r="C99" i="1"/>
  <c r="I98" i="1"/>
  <c r="C98" i="1"/>
  <c r="I97" i="1"/>
  <c r="C97" i="1"/>
  <c r="I96" i="1"/>
  <c r="C96" i="1"/>
  <c r="I95" i="1"/>
  <c r="C95" i="1"/>
  <c r="I94" i="1"/>
  <c r="C94" i="1"/>
  <c r="I93" i="1"/>
  <c r="C93" i="1"/>
  <c r="I92" i="1"/>
  <c r="C92" i="1"/>
  <c r="I91" i="1"/>
  <c r="C91" i="1"/>
  <c r="I90" i="1"/>
  <c r="C90" i="1"/>
  <c r="I89" i="1"/>
  <c r="C89" i="1"/>
  <c r="I88" i="1"/>
  <c r="C88" i="1"/>
  <c r="I87" i="1"/>
  <c r="C87" i="1"/>
  <c r="I86" i="1"/>
  <c r="C86" i="1"/>
  <c r="I85" i="1"/>
  <c r="C85" i="1"/>
  <c r="I84" i="1"/>
  <c r="C84" i="1"/>
  <c r="I83" i="1"/>
  <c r="C83" i="1"/>
  <c r="I82" i="1"/>
  <c r="C82" i="1"/>
  <c r="I81" i="1"/>
  <c r="C81" i="1"/>
  <c r="I80" i="1"/>
  <c r="C80" i="1"/>
  <c r="I79" i="1"/>
  <c r="C79" i="1"/>
  <c r="I78" i="1"/>
  <c r="C78" i="1"/>
  <c r="I77" i="1"/>
  <c r="C77" i="1"/>
  <c r="I76" i="1"/>
  <c r="C76" i="1"/>
  <c r="I75" i="1"/>
  <c r="C75" i="1"/>
  <c r="I74" i="1"/>
  <c r="C74" i="1"/>
  <c r="I73" i="1"/>
  <c r="C73" i="1"/>
  <c r="I72" i="1"/>
  <c r="C72" i="1"/>
  <c r="I71" i="1"/>
  <c r="C71" i="1"/>
  <c r="I70" i="1"/>
  <c r="C70" i="1"/>
  <c r="I69" i="1"/>
  <c r="C69" i="1"/>
  <c r="I67" i="1"/>
  <c r="C67" i="1"/>
  <c r="I66" i="1"/>
  <c r="C66" i="1"/>
  <c r="I65" i="1"/>
  <c r="C65" i="1"/>
  <c r="I64" i="1"/>
  <c r="C64" i="1"/>
  <c r="I63" i="1"/>
  <c r="C63" i="1"/>
  <c r="I62" i="1"/>
  <c r="C62" i="1"/>
  <c r="I61" i="1"/>
  <c r="C61" i="1"/>
  <c r="I59" i="1"/>
  <c r="C59" i="1"/>
  <c r="I58" i="1"/>
  <c r="C58" i="1"/>
  <c r="I57" i="1"/>
  <c r="C57" i="1"/>
  <c r="I56" i="1"/>
  <c r="C56" i="1"/>
  <c r="I55" i="1"/>
  <c r="C55" i="1"/>
  <c r="I54" i="1"/>
  <c r="C54" i="1"/>
  <c r="I53" i="1"/>
  <c r="C53" i="1"/>
  <c r="I52" i="1"/>
  <c r="C52" i="1"/>
  <c r="I51" i="1"/>
  <c r="C51" i="1"/>
  <c r="I50" i="1"/>
  <c r="C50" i="1"/>
  <c r="I49" i="1"/>
  <c r="C49" i="1"/>
  <c r="I48" i="1"/>
  <c r="C48" i="1"/>
  <c r="I47" i="1"/>
  <c r="C47" i="1"/>
  <c r="I46" i="1"/>
  <c r="C46" i="1"/>
  <c r="I45" i="1"/>
  <c r="C45" i="1"/>
  <c r="I44" i="1"/>
  <c r="C44" i="1"/>
  <c r="I43" i="1"/>
  <c r="C43" i="1"/>
  <c r="I42" i="1"/>
  <c r="C42" i="1"/>
  <c r="I41" i="1"/>
  <c r="C41" i="1"/>
  <c r="I40" i="1"/>
  <c r="C40" i="1"/>
  <c r="I39" i="1"/>
  <c r="C39" i="1"/>
  <c r="I38" i="1"/>
  <c r="C38" i="1"/>
  <c r="I37" i="1"/>
  <c r="C37" i="1"/>
  <c r="I36" i="1"/>
  <c r="C36" i="1"/>
  <c r="I35" i="1"/>
  <c r="C35" i="1"/>
  <c r="I34" i="1"/>
  <c r="C34" i="1"/>
  <c r="I33" i="1"/>
  <c r="C33" i="1"/>
  <c r="I32" i="1"/>
  <c r="C32" i="1"/>
  <c r="I31" i="1"/>
  <c r="C31" i="1"/>
  <c r="I30" i="1"/>
  <c r="C30" i="1"/>
  <c r="I29" i="1"/>
  <c r="C29" i="1"/>
  <c r="I28" i="1"/>
  <c r="C28" i="1"/>
  <c r="I27" i="1"/>
  <c r="C27" i="1"/>
  <c r="I26" i="1"/>
  <c r="C26" i="1"/>
  <c r="I25" i="1"/>
  <c r="C25" i="1"/>
  <c r="I24" i="1"/>
  <c r="C24" i="1"/>
  <c r="I23" i="1"/>
  <c r="C23" i="1"/>
  <c r="I22" i="1"/>
  <c r="C22" i="1"/>
  <c r="J18" i="1"/>
  <c r="H18" i="1"/>
  <c r="G18" i="1"/>
  <c r="F18" i="1"/>
  <c r="E18" i="1"/>
  <c r="D18" i="1"/>
  <c r="C18" i="1"/>
  <c r="B18" i="1"/>
  <c r="J17" i="1"/>
  <c r="H17" i="1"/>
  <c r="G17" i="1"/>
  <c r="F17" i="1"/>
  <c r="E17" i="1"/>
  <c r="D17" i="1"/>
  <c r="C17" i="1"/>
  <c r="B17" i="1"/>
  <c r="J16" i="1"/>
  <c r="H16" i="1"/>
  <c r="G16" i="1"/>
  <c r="F16" i="1"/>
  <c r="E16" i="1"/>
  <c r="D16" i="1"/>
  <c r="C16" i="1"/>
  <c r="B16" i="1"/>
  <c r="J15" i="1"/>
  <c r="H15" i="1"/>
  <c r="G15" i="1"/>
  <c r="F15" i="1"/>
  <c r="E15" i="1"/>
  <c r="D15" i="1"/>
  <c r="C15" i="1"/>
  <c r="B15" i="1"/>
  <c r="J14" i="1"/>
  <c r="H14" i="1"/>
  <c r="K18" i="1" s="1"/>
  <c r="G14" i="1"/>
  <c r="F14" i="1"/>
  <c r="E14" i="1"/>
  <c r="D14" i="1"/>
  <c r="C14" i="1"/>
  <c r="B14" i="1"/>
  <c r="J13" i="1"/>
  <c r="H13" i="1"/>
  <c r="G13" i="1"/>
  <c r="F13" i="1"/>
  <c r="E13" i="1"/>
  <c r="D13" i="1"/>
  <c r="C13" i="1"/>
  <c r="B13" i="1"/>
  <c r="J12" i="1"/>
  <c r="K12" i="1" s="1"/>
  <c r="H12" i="1"/>
  <c r="I12" i="1" s="1"/>
  <c r="G12" i="1"/>
  <c r="F12" i="1"/>
  <c r="E12" i="1"/>
  <c r="D12" i="1"/>
  <c r="C12" i="1"/>
  <c r="B12" i="1"/>
  <c r="I8" i="1" l="1"/>
  <c r="H8" i="1"/>
  <c r="B32" i="2" s="1"/>
  <c r="I9" i="1"/>
  <c r="H9" i="1"/>
  <c r="B40" i="2" s="1"/>
  <c r="I6" i="1"/>
  <c r="H6" i="1"/>
  <c r="B16" i="2" s="1"/>
  <c r="I7" i="1"/>
  <c r="H7" i="1"/>
  <c r="B24" i="2" s="1"/>
  <c r="I5" i="1"/>
  <c r="H5" i="1"/>
  <c r="B8" i="2" s="1"/>
  <c r="X155" i="2"/>
  <c r="X159" i="2" s="1"/>
  <c r="T42" i="2"/>
  <c r="S42" i="2"/>
  <c r="R42" i="2"/>
  <c r="U42" i="2" s="1"/>
  <c r="T41" i="2"/>
  <c r="T49" i="2" s="1"/>
  <c r="S41" i="2"/>
  <c r="S49" i="2" s="1"/>
  <c r="R41" i="2"/>
  <c r="Q41" i="2"/>
  <c r="T40" i="2"/>
  <c r="S40" i="2"/>
  <c r="R40" i="2"/>
  <c r="G31" i="8"/>
  <c r="G32" i="8"/>
  <c r="G33" i="8"/>
  <c r="G34" i="8"/>
  <c r="G35" i="8"/>
  <c r="G36" i="8"/>
  <c r="G37" i="8"/>
  <c r="G38" i="8"/>
  <c r="G39" i="8"/>
  <c r="G40" i="8"/>
  <c r="B11" i="9"/>
  <c r="BG10" i="9"/>
  <c r="BD10" i="9" s="1"/>
  <c r="AS10" i="9"/>
  <c r="AP10" i="9" s="1"/>
  <c r="I14" i="1"/>
  <c r="K14" i="1"/>
  <c r="I15" i="1"/>
  <c r="K15" i="1"/>
  <c r="I16" i="1"/>
  <c r="K16" i="1"/>
  <c r="I17" i="1"/>
  <c r="K17" i="1"/>
  <c r="I18" i="1"/>
  <c r="F5" i="2"/>
  <c r="Y12" i="2"/>
  <c r="W54" i="2"/>
  <c r="W152" i="2" s="1"/>
  <c r="W148" i="2"/>
  <c r="G152" i="2"/>
  <c r="H152" i="2"/>
  <c r="I152" i="2"/>
  <c r="J152" i="2"/>
  <c r="K152" i="2"/>
  <c r="L152" i="2"/>
  <c r="M152" i="2"/>
  <c r="D18" i="8"/>
  <c r="C20" i="8"/>
  <c r="C28" i="8" s="1"/>
  <c r="B7" i="2" s="1"/>
  <c r="D20" i="8"/>
  <c r="C21" i="8"/>
  <c r="D21" i="8"/>
  <c r="E21" i="8"/>
  <c r="E28" i="8" s="1"/>
  <c r="B23" i="2" s="1"/>
  <c r="F21" i="8"/>
  <c r="F28" i="8" s="1"/>
  <c r="B31" i="2" s="1"/>
  <c r="C26" i="8"/>
  <c r="D26" i="8"/>
  <c r="E26" i="8"/>
  <c r="F26" i="8"/>
  <c r="C31" i="8"/>
  <c r="D31" i="8"/>
  <c r="E31" i="8"/>
  <c r="F31" i="8"/>
  <c r="C32" i="8"/>
  <c r="D32" i="8"/>
  <c r="E32" i="8"/>
  <c r="F32" i="8"/>
  <c r="C33" i="8"/>
  <c r="D33" i="8"/>
  <c r="E33" i="8"/>
  <c r="F33" i="8"/>
  <c r="C34" i="8"/>
  <c r="D34" i="8"/>
  <c r="E34" i="8"/>
  <c r="F34" i="8"/>
  <c r="C35" i="8"/>
  <c r="D35" i="8"/>
  <c r="E35" i="8"/>
  <c r="F35" i="8"/>
  <c r="C36" i="8"/>
  <c r="D36" i="8"/>
  <c r="E36" i="8"/>
  <c r="F36" i="8"/>
  <c r="C37" i="8"/>
  <c r="D37" i="8"/>
  <c r="E37" i="8"/>
  <c r="F37" i="8"/>
  <c r="C38" i="8"/>
  <c r="D38" i="8"/>
  <c r="E38" i="8"/>
  <c r="F38" i="8"/>
  <c r="C39" i="8"/>
  <c r="D39" i="8"/>
  <c r="E39" i="8"/>
  <c r="F39" i="8"/>
  <c r="C40" i="8"/>
  <c r="D40" i="8"/>
  <c r="E40" i="8"/>
  <c r="F40" i="8"/>
  <c r="B45" i="8"/>
  <c r="BI34" i="9"/>
  <c r="BI33" i="9"/>
  <c r="BI32" i="9"/>
  <c r="BI31" i="9"/>
  <c r="BI30" i="9"/>
  <c r="BI29" i="9"/>
  <c r="BI28" i="9"/>
  <c r="BI27" i="9"/>
  <c r="BI26" i="9"/>
  <c r="BI25" i="9"/>
  <c r="AS9" i="9"/>
  <c r="AP9" i="9" s="1"/>
  <c r="BG9" i="9"/>
  <c r="BD9" i="9" s="1"/>
  <c r="BI35" i="9"/>
  <c r="BH25" i="9"/>
  <c r="BE25" i="9" s="1"/>
  <c r="P25" i="9" s="1"/>
  <c r="BH10" i="9"/>
  <c r="BE10" i="9" s="1"/>
  <c r="P10" i="9" s="1"/>
  <c r="BI10" i="9"/>
  <c r="BI36" i="9"/>
  <c r="BH26" i="9"/>
  <c r="BE26" i="9" s="1"/>
  <c r="P26" i="9" s="1"/>
  <c r="BH11" i="9"/>
  <c r="BE11" i="9" s="1"/>
  <c r="P11" i="9" s="1"/>
  <c r="BI11" i="9"/>
  <c r="BI37" i="9"/>
  <c r="BH27" i="9"/>
  <c r="BE27" i="9" s="1"/>
  <c r="P27" i="9" s="1"/>
  <c r="BH12" i="9"/>
  <c r="BE12" i="9" s="1"/>
  <c r="P12" i="9" s="1"/>
  <c r="BI12" i="9"/>
  <c r="BI38" i="9"/>
  <c r="BH28" i="9"/>
  <c r="BE28" i="9" s="1"/>
  <c r="P28" i="9" s="1"/>
  <c r="BH13" i="9"/>
  <c r="BE13" i="9" s="1"/>
  <c r="P13" i="9" s="1"/>
  <c r="BI13" i="9"/>
  <c r="BI39" i="9"/>
  <c r="BH29" i="9"/>
  <c r="BE29" i="9" s="1"/>
  <c r="P29" i="9" s="1"/>
  <c r="BH14" i="9"/>
  <c r="BE14" i="9" s="1"/>
  <c r="P14" i="9" s="1"/>
  <c r="BI14" i="9"/>
  <c r="BI40" i="9"/>
  <c r="BH30" i="9"/>
  <c r="BE30" i="9" s="1"/>
  <c r="P30" i="9" s="1"/>
  <c r="BH15" i="9"/>
  <c r="BE15" i="9" s="1"/>
  <c r="P15" i="9" s="1"/>
  <c r="BI15" i="9"/>
  <c r="BI41" i="9"/>
  <c r="BH31" i="9"/>
  <c r="BE31" i="9" s="1"/>
  <c r="P31" i="9" s="1"/>
  <c r="BH16" i="9"/>
  <c r="BE16" i="9" s="1"/>
  <c r="P16" i="9" s="1"/>
  <c r="BI16" i="9"/>
  <c r="BI42" i="9"/>
  <c r="BH32" i="9"/>
  <c r="BE32" i="9" s="1"/>
  <c r="P32" i="9" s="1"/>
  <c r="BH17" i="9"/>
  <c r="BE17" i="9" s="1"/>
  <c r="P17" i="9" s="1"/>
  <c r="BI17" i="9"/>
  <c r="BI43" i="9"/>
  <c r="BH33" i="9"/>
  <c r="BE33" i="9" s="1"/>
  <c r="P33" i="9" s="1"/>
  <c r="BH18" i="9"/>
  <c r="BE18" i="9" s="1"/>
  <c r="P18" i="9" s="1"/>
  <c r="BI18" i="9"/>
  <c r="BI44" i="9"/>
  <c r="BH34" i="9"/>
  <c r="BE34" i="9" s="1"/>
  <c r="P34" i="9" s="1"/>
  <c r="BH19" i="9"/>
  <c r="BE19" i="9" s="1"/>
  <c r="P19" i="9" s="1"/>
  <c r="BI19" i="9"/>
  <c r="BI45" i="9"/>
  <c r="BH35" i="9"/>
  <c r="BE35" i="9" s="1"/>
  <c r="P35" i="9" s="1"/>
  <c r="BH20" i="9"/>
  <c r="BE20" i="9" s="1"/>
  <c r="P20" i="9" s="1"/>
  <c r="BI20" i="9"/>
  <c r="BI46" i="9"/>
  <c r="BH36" i="9"/>
  <c r="BE36" i="9" s="1"/>
  <c r="P36" i="9" s="1"/>
  <c r="BH21" i="9"/>
  <c r="BE21" i="9" s="1"/>
  <c r="P21" i="9" s="1"/>
  <c r="BI21" i="9"/>
  <c r="BI47" i="9"/>
  <c r="BH37" i="9"/>
  <c r="BE37" i="9" s="1"/>
  <c r="P37" i="9" s="1"/>
  <c r="BH22" i="9"/>
  <c r="BE22" i="9" s="1"/>
  <c r="P22" i="9" s="1"/>
  <c r="BI22" i="9"/>
  <c r="BI48" i="9"/>
  <c r="BH38" i="9"/>
  <c r="BE38" i="9" s="1"/>
  <c r="P38" i="9" s="1"/>
  <c r="BH23" i="9"/>
  <c r="BE23" i="9" s="1"/>
  <c r="P23" i="9" s="1"/>
  <c r="BI23" i="9"/>
  <c r="BI49" i="9"/>
  <c r="BH39" i="9"/>
  <c r="BE39" i="9" s="1"/>
  <c r="P39" i="9" s="1"/>
  <c r="BH24" i="9"/>
  <c r="BE24" i="9" s="1"/>
  <c r="P24" i="9" s="1"/>
  <c r="BI24" i="9"/>
  <c r="BI50" i="9"/>
  <c r="BH40" i="9"/>
  <c r="BE40" i="9" s="1"/>
  <c r="P40" i="9" s="1"/>
  <c r="AM30" i="9"/>
  <c r="AM31" i="9" s="1"/>
  <c r="AM32" i="9" s="1"/>
  <c r="AM33" i="9" s="1"/>
  <c r="AM34" i="9" s="1"/>
  <c r="AM35" i="9" s="1"/>
  <c r="AM36" i="9" s="1"/>
  <c r="AM37" i="9" s="1"/>
  <c r="AM38" i="9" s="1"/>
  <c r="AM39" i="9" s="1"/>
  <c r="AM40" i="9" s="1"/>
  <c r="AM41" i="9" s="1"/>
  <c r="AM42" i="9" s="1"/>
  <c r="AM43" i="9" s="1"/>
  <c r="AM44" i="9" s="1"/>
  <c r="AM45" i="9" s="1"/>
  <c r="AM46" i="9" s="1"/>
  <c r="AM47" i="9" s="1"/>
  <c r="AM48" i="9" s="1"/>
  <c r="AM49" i="9" s="1"/>
  <c r="AM50" i="9" s="1"/>
  <c r="AM51" i="9" s="1"/>
  <c r="R34" i="2" l="1"/>
  <c r="Q34" i="2"/>
  <c r="P34" i="2"/>
  <c r="U34" i="2" s="1"/>
  <c r="R33" i="2"/>
  <c r="R49" i="2" s="1"/>
  <c r="Q33" i="2"/>
  <c r="Q49" i="2" s="1"/>
  <c r="P33" i="2"/>
  <c r="P49" i="2" s="1"/>
  <c r="O33" i="2"/>
  <c r="R32" i="2"/>
  <c r="Q32" i="2"/>
  <c r="P32" i="2"/>
  <c r="O26" i="2"/>
  <c r="N26" i="2"/>
  <c r="M26" i="2"/>
  <c r="U26" i="2" s="1"/>
  <c r="O25" i="2"/>
  <c r="O49" i="2" s="1"/>
  <c r="N25" i="2"/>
  <c r="N49" i="2" s="1"/>
  <c r="M25" i="2"/>
  <c r="M49" i="2" s="1"/>
  <c r="L25" i="2"/>
  <c r="O24" i="2"/>
  <c r="N24" i="2"/>
  <c r="M24" i="2"/>
  <c r="I10" i="2"/>
  <c r="H10" i="2"/>
  <c r="G10" i="2"/>
  <c r="U10" i="2" s="1"/>
  <c r="I9" i="2"/>
  <c r="H9" i="2"/>
  <c r="H49" i="2" s="1"/>
  <c r="G9" i="2"/>
  <c r="G49" i="2" s="1"/>
  <c r="F9" i="2"/>
  <c r="I8" i="2"/>
  <c r="H8" i="2"/>
  <c r="G8" i="2"/>
  <c r="F42" i="8"/>
  <c r="F41" i="8"/>
  <c r="E42" i="8"/>
  <c r="E41" i="8"/>
  <c r="D42" i="8"/>
  <c r="D41" i="8"/>
  <c r="C42" i="8"/>
  <c r="C48" i="8" s="1"/>
  <c r="C41" i="8"/>
  <c r="D28" i="8"/>
  <c r="B15" i="2" s="1"/>
  <c r="Z12" i="2"/>
  <c r="G5" i="2"/>
  <c r="Z4" i="2"/>
  <c r="B12" i="9"/>
  <c r="BG11" i="9"/>
  <c r="BD11" i="9" s="1"/>
  <c r="AS11" i="9"/>
  <c r="AP11" i="9" s="1"/>
  <c r="G42" i="8"/>
  <c r="G41" i="8"/>
  <c r="R44" i="2"/>
  <c r="U40" i="2"/>
  <c r="S50" i="2"/>
  <c r="S46" i="2"/>
  <c r="S44" i="2"/>
  <c r="AM9" i="2" s="1"/>
  <c r="T50" i="2"/>
  <c r="T46" i="2"/>
  <c r="T44" i="2"/>
  <c r="AN9" i="2" s="1"/>
  <c r="Q44" i="2"/>
  <c r="U41" i="2"/>
  <c r="U44" i="2" l="1"/>
  <c r="G45" i="8"/>
  <c r="T45" i="2" s="1"/>
  <c r="U45" i="2" s="1"/>
  <c r="B13" i="9"/>
  <c r="BG12" i="9"/>
  <c r="BD12" i="9" s="1"/>
  <c r="AS12" i="9"/>
  <c r="AP12" i="9" s="1"/>
  <c r="AA12" i="2"/>
  <c r="H5" i="2"/>
  <c r="AA4" i="2"/>
  <c r="L18" i="2"/>
  <c r="K18" i="2"/>
  <c r="J18" i="2"/>
  <c r="U18" i="2" s="1"/>
  <c r="L17" i="2"/>
  <c r="L49" i="2" s="1"/>
  <c r="K17" i="2"/>
  <c r="K49" i="2" s="1"/>
  <c r="J17" i="2"/>
  <c r="J49" i="2" s="1"/>
  <c r="I17" i="2"/>
  <c r="L16" i="2"/>
  <c r="K16" i="2"/>
  <c r="J16" i="2"/>
  <c r="C46" i="8"/>
  <c r="C45" i="8"/>
  <c r="J13" i="2" s="1"/>
  <c r="D48" i="8"/>
  <c r="C47" i="8"/>
  <c r="D46" i="8"/>
  <c r="D45" i="8"/>
  <c r="M21" i="2" s="1"/>
  <c r="U21" i="2" s="1"/>
  <c r="E46" i="8"/>
  <c r="E45" i="8"/>
  <c r="P29" i="2" s="1"/>
  <c r="U29" i="2" s="1"/>
  <c r="F46" i="8"/>
  <c r="G46" i="8" s="1"/>
  <c r="F45" i="8"/>
  <c r="S37" i="2" s="1"/>
  <c r="U37" i="2" s="1"/>
  <c r="G50" i="2"/>
  <c r="G46" i="2"/>
  <c r="G12" i="2"/>
  <c r="AA5" i="2" s="1"/>
  <c r="AA6" i="2" s="1"/>
  <c r="AA7" i="2" s="1"/>
  <c r="AA8" i="2" s="1"/>
  <c r="AA9" i="2" s="1"/>
  <c r="U8" i="2"/>
  <c r="H50" i="2"/>
  <c r="H46" i="2"/>
  <c r="H12" i="2"/>
  <c r="AB5" i="2" s="1"/>
  <c r="AB6" i="2" s="1"/>
  <c r="AB7" i="2" s="1"/>
  <c r="AB8" i="2" s="1"/>
  <c r="AB9" i="2" s="1"/>
  <c r="I50" i="2"/>
  <c r="I46" i="2"/>
  <c r="I12" i="2"/>
  <c r="AC5" i="2" s="1"/>
  <c r="F49" i="2"/>
  <c r="F46" i="2"/>
  <c r="F47" i="2" s="1"/>
  <c r="G47" i="2" s="1"/>
  <c r="H47" i="2" s="1"/>
  <c r="I47" i="2" s="1"/>
  <c r="F12" i="2"/>
  <c r="U9" i="2"/>
  <c r="I49" i="2"/>
  <c r="M50" i="2"/>
  <c r="M46" i="2"/>
  <c r="M28" i="2"/>
  <c r="AG7" i="2" s="1"/>
  <c r="AG8" i="2" s="1"/>
  <c r="AG9" i="2" s="1"/>
  <c r="U24" i="2"/>
  <c r="N50" i="2"/>
  <c r="N46" i="2"/>
  <c r="N28" i="2"/>
  <c r="AH7" i="2" s="1"/>
  <c r="AH8" i="2" s="1"/>
  <c r="AH9" i="2" s="1"/>
  <c r="O50" i="2"/>
  <c r="O46" i="2"/>
  <c r="O28" i="2"/>
  <c r="AI7" i="2" s="1"/>
  <c r="L28" i="2"/>
  <c r="U25" i="2"/>
  <c r="P50" i="2"/>
  <c r="P46" i="2"/>
  <c r="P36" i="2"/>
  <c r="AJ8" i="2" s="1"/>
  <c r="AJ9" i="2" s="1"/>
  <c r="U32" i="2"/>
  <c r="Q50" i="2"/>
  <c r="Q46" i="2"/>
  <c r="Q36" i="2"/>
  <c r="AK8" i="2" s="1"/>
  <c r="AK9" i="2" s="1"/>
  <c r="R50" i="2"/>
  <c r="R46" i="2"/>
  <c r="R36" i="2"/>
  <c r="AL8" i="2" s="1"/>
  <c r="AL9" i="2" s="1"/>
  <c r="O36" i="2"/>
  <c r="U33" i="2"/>
  <c r="AI8" i="2" l="1"/>
  <c r="AI9" i="2" s="1"/>
  <c r="U36" i="2"/>
  <c r="U28" i="2"/>
  <c r="Z5" i="2"/>
  <c r="Z6" i="2" s="1"/>
  <c r="Z7" i="2" s="1"/>
  <c r="Z8" i="2" s="1"/>
  <c r="Z9" i="2" s="1"/>
  <c r="U12" i="2"/>
  <c r="E48" i="8"/>
  <c r="D47" i="8"/>
  <c r="AD13" i="2"/>
  <c r="AE13" i="2" s="1"/>
  <c r="AF13" i="2" s="1"/>
  <c r="AG13" i="2" s="1"/>
  <c r="AH13" i="2" s="1"/>
  <c r="AI13" i="2" s="1"/>
  <c r="AJ13" i="2" s="1"/>
  <c r="AK13" i="2" s="1"/>
  <c r="AL13" i="2" s="1"/>
  <c r="AM13" i="2" s="1"/>
  <c r="AN13" i="2" s="1"/>
  <c r="U13" i="2"/>
  <c r="AD14" i="2"/>
  <c r="AE14" i="2" s="1"/>
  <c r="AF14" i="2" s="1"/>
  <c r="AG14" i="2" s="1"/>
  <c r="AH14" i="2" s="1"/>
  <c r="AI14" i="2" s="1"/>
  <c r="AJ14" i="2" s="1"/>
  <c r="AK14" i="2" s="1"/>
  <c r="AL14" i="2" s="1"/>
  <c r="AM14" i="2" s="1"/>
  <c r="AN14" i="2" s="1"/>
  <c r="AD15" i="2"/>
  <c r="AE15" i="2" s="1"/>
  <c r="AF15" i="2" s="1"/>
  <c r="AG15" i="2" s="1"/>
  <c r="AH15" i="2" s="1"/>
  <c r="AI15" i="2" s="1"/>
  <c r="AJ15" i="2" s="1"/>
  <c r="AK15" i="2" s="1"/>
  <c r="AL15" i="2" s="1"/>
  <c r="AM15" i="2" s="1"/>
  <c r="AN15" i="2" s="1"/>
  <c r="AD16" i="2"/>
  <c r="AE16" i="2" s="1"/>
  <c r="AF16" i="2" s="1"/>
  <c r="AG16" i="2" s="1"/>
  <c r="AH16" i="2" s="1"/>
  <c r="AI16" i="2" s="1"/>
  <c r="AJ16" i="2" s="1"/>
  <c r="AK16" i="2" s="1"/>
  <c r="AL16" i="2" s="1"/>
  <c r="AM16" i="2" s="1"/>
  <c r="AN16" i="2" s="1"/>
  <c r="AD17" i="2"/>
  <c r="AE17" i="2" s="1"/>
  <c r="AF17" i="2" s="1"/>
  <c r="AG17" i="2" s="1"/>
  <c r="AH17" i="2" s="1"/>
  <c r="AI17" i="2" s="1"/>
  <c r="AJ17" i="2" s="1"/>
  <c r="AK17" i="2" s="1"/>
  <c r="AL17" i="2" s="1"/>
  <c r="AM17" i="2" s="1"/>
  <c r="AN17" i="2" s="1"/>
  <c r="J50" i="2"/>
  <c r="J46" i="2"/>
  <c r="J47" i="2" s="1"/>
  <c r="K47" i="2" s="1"/>
  <c r="L47" i="2" s="1"/>
  <c r="M47" i="2" s="1"/>
  <c r="N47" i="2" s="1"/>
  <c r="O47" i="2" s="1"/>
  <c r="P47" i="2" s="1"/>
  <c r="Q47" i="2" s="1"/>
  <c r="R47" i="2" s="1"/>
  <c r="S47" i="2" s="1"/>
  <c r="T47" i="2" s="1"/>
  <c r="J20" i="2"/>
  <c r="AD6" i="2" s="1"/>
  <c r="AD7" i="2" s="1"/>
  <c r="AD8" i="2" s="1"/>
  <c r="AD9" i="2" s="1"/>
  <c r="U16" i="2"/>
  <c r="U46" i="2" s="1"/>
  <c r="K50" i="2"/>
  <c r="K46" i="2"/>
  <c r="K20" i="2"/>
  <c r="AE6" i="2" s="1"/>
  <c r="AE7" i="2" s="1"/>
  <c r="AE8" i="2" s="1"/>
  <c r="AE9" i="2" s="1"/>
  <c r="L50" i="2"/>
  <c r="L46" i="2"/>
  <c r="L20" i="2"/>
  <c r="AF6" i="2" s="1"/>
  <c r="AF7" i="2" s="1"/>
  <c r="AF8" i="2" s="1"/>
  <c r="AF9" i="2" s="1"/>
  <c r="I20" i="2"/>
  <c r="U17" i="2"/>
  <c r="B4" i="7"/>
  <c r="AB12" i="2"/>
  <c r="I5" i="2"/>
  <c r="AB4" i="2"/>
  <c r="B14" i="9"/>
  <c r="BG13" i="9"/>
  <c r="BD13" i="9" s="1"/>
  <c r="AS13" i="9"/>
  <c r="AP13" i="9" s="1"/>
  <c r="B15" i="9" l="1"/>
  <c r="BG14" i="9"/>
  <c r="BD14" i="9" s="1"/>
  <c r="AS14" i="9"/>
  <c r="AP14" i="9" s="1"/>
  <c r="C2" i="8"/>
  <c r="AC12" i="2"/>
  <c r="J5" i="2"/>
  <c r="AC4" i="2"/>
  <c r="AC6" i="2"/>
  <c r="AC7" i="2" s="1"/>
  <c r="AC8" i="2" s="1"/>
  <c r="AC9" i="2" s="1"/>
  <c r="U20" i="2"/>
  <c r="F48" i="8"/>
  <c r="E47" i="8"/>
  <c r="G48" i="8" l="1"/>
  <c r="G47" i="8" s="1"/>
  <c r="F47" i="8"/>
  <c r="AD12" i="2"/>
  <c r="K5" i="2"/>
  <c r="AD4" i="2"/>
  <c r="B16" i="9"/>
  <c r="BG15" i="9"/>
  <c r="BD15" i="9" s="1"/>
  <c r="AS15" i="9"/>
  <c r="AP15" i="9" s="1"/>
  <c r="B17" i="9" l="1"/>
  <c r="BG16" i="9"/>
  <c r="BD16" i="9" s="1"/>
  <c r="AS16" i="9"/>
  <c r="AP16" i="9" s="1"/>
  <c r="B5" i="7"/>
  <c r="AE12" i="2"/>
  <c r="L5" i="2"/>
  <c r="AE4" i="2"/>
  <c r="D2" i="8" l="1"/>
  <c r="AF12" i="2"/>
  <c r="M5" i="2"/>
  <c r="AF4" i="2"/>
  <c r="B18" i="9"/>
  <c r="BG17" i="9"/>
  <c r="BD17" i="9" s="1"/>
  <c r="AS17" i="9"/>
  <c r="AP17" i="9" s="1"/>
  <c r="B19" i="9" l="1"/>
  <c r="BG18" i="9"/>
  <c r="BD18" i="9" s="1"/>
  <c r="AS18" i="9"/>
  <c r="AP18" i="9" s="1"/>
  <c r="AG12" i="2"/>
  <c r="N5" i="2"/>
  <c r="AG4" i="2"/>
  <c r="B6" i="7" l="1"/>
  <c r="AH12" i="2"/>
  <c r="O5" i="2"/>
  <c r="AH4" i="2"/>
  <c r="B20" i="9"/>
  <c r="BG19" i="9"/>
  <c r="BD19" i="9" s="1"/>
  <c r="AS19" i="9"/>
  <c r="AP19" i="9" s="1"/>
  <c r="B21" i="9" l="1"/>
  <c r="BG20" i="9"/>
  <c r="BD20" i="9" s="1"/>
  <c r="AS20" i="9"/>
  <c r="AP20" i="9" s="1"/>
  <c r="E2" i="8"/>
  <c r="AI12" i="2"/>
  <c r="P5" i="2"/>
  <c r="AI4" i="2"/>
  <c r="B7" i="7" l="1"/>
  <c r="AJ12" i="2"/>
  <c r="Q5" i="2"/>
  <c r="AJ4" i="2"/>
  <c r="B22" i="9"/>
  <c r="BG21" i="9"/>
  <c r="BD21" i="9" s="1"/>
  <c r="AS21" i="9"/>
  <c r="AP21" i="9" s="1"/>
  <c r="B23" i="9" l="1"/>
  <c r="BG22" i="9"/>
  <c r="BD22" i="9" s="1"/>
  <c r="AS22" i="9"/>
  <c r="AP22" i="9" s="1"/>
  <c r="AK12" i="2"/>
  <c r="R5" i="2"/>
  <c r="AK4" i="2"/>
  <c r="F2" i="8" l="1"/>
  <c r="AL12" i="2"/>
  <c r="S5" i="2"/>
  <c r="AL4" i="2"/>
  <c r="B24" i="9"/>
  <c r="BG23" i="9"/>
  <c r="BD23" i="9" s="1"/>
  <c r="AS23" i="9"/>
  <c r="AP23" i="9" s="1"/>
  <c r="B25" i="9" l="1"/>
  <c r="BG24" i="9"/>
  <c r="BD24" i="9" s="1"/>
  <c r="AS24" i="9"/>
  <c r="AP24" i="9" s="1"/>
  <c r="AM12" i="2"/>
  <c r="T5" i="2"/>
  <c r="AM4" i="2"/>
  <c r="G2" i="8" l="1"/>
  <c r="AN12" i="2"/>
  <c r="D9" i="9" s="1"/>
  <c r="G9" i="9" s="1"/>
  <c r="J9" i="9" s="1"/>
  <c r="AN4" i="2"/>
  <c r="C19" i="9"/>
  <c r="F19" i="9" s="1"/>
  <c r="C24" i="9"/>
  <c r="F24" i="9" s="1"/>
  <c r="B26" i="9"/>
  <c r="BG25" i="9"/>
  <c r="BD25" i="9" s="1"/>
  <c r="AS25" i="9"/>
  <c r="AP25" i="9" s="1"/>
  <c r="C25" i="9"/>
  <c r="F25" i="9" s="1"/>
  <c r="L25" i="9" l="1"/>
  <c r="M25" i="9" s="1"/>
  <c r="I25" i="9"/>
  <c r="B27" i="9"/>
  <c r="BG26" i="9"/>
  <c r="BD26" i="9" s="1"/>
  <c r="AS26" i="9"/>
  <c r="AP26" i="9" s="1"/>
  <c r="C26" i="9"/>
  <c r="F26" i="9" s="1"/>
  <c r="L24" i="9"/>
  <c r="M24" i="9" s="1"/>
  <c r="I24" i="9"/>
  <c r="L19" i="9"/>
  <c r="M19" i="9" s="1"/>
  <c r="I19" i="9"/>
  <c r="C11" i="9"/>
  <c r="F11" i="9" s="1"/>
  <c r="C9" i="9"/>
  <c r="C10" i="9"/>
  <c r="F10" i="9" s="1"/>
  <c r="C12" i="9"/>
  <c r="F12" i="9" s="1"/>
  <c r="C13" i="9"/>
  <c r="F13" i="9" s="1"/>
  <c r="C14" i="9"/>
  <c r="F14" i="9" s="1"/>
  <c r="C15" i="9"/>
  <c r="F15" i="9" s="1"/>
  <c r="C16" i="9"/>
  <c r="F16" i="9" s="1"/>
  <c r="C17" i="9"/>
  <c r="F17" i="9" s="1"/>
  <c r="C18" i="9"/>
  <c r="F18" i="9" s="1"/>
  <c r="C21" i="9"/>
  <c r="F21" i="9" s="1"/>
  <c r="C20" i="9"/>
  <c r="F20" i="9" s="1"/>
  <c r="C23" i="9"/>
  <c r="F23" i="9" s="1"/>
  <c r="C22" i="9"/>
  <c r="F22" i="9" s="1"/>
  <c r="L22" i="9" l="1"/>
  <c r="M22" i="9" s="1"/>
  <c r="I22" i="9"/>
  <c r="L23" i="9"/>
  <c r="M23" i="9" s="1"/>
  <c r="I23" i="9"/>
  <c r="L20" i="9"/>
  <c r="M20" i="9" s="1"/>
  <c r="I20" i="9"/>
  <c r="L21" i="9"/>
  <c r="M21" i="9" s="1"/>
  <c r="I21" i="9"/>
  <c r="L18" i="9"/>
  <c r="M18" i="9" s="1"/>
  <c r="I18" i="9"/>
  <c r="L17" i="9"/>
  <c r="M17" i="9" s="1"/>
  <c r="I17" i="9"/>
  <c r="L16" i="9"/>
  <c r="M16" i="9" s="1"/>
  <c r="I16" i="9"/>
  <c r="L15" i="9"/>
  <c r="M15" i="9" s="1"/>
  <c r="I15" i="9"/>
  <c r="L14" i="9"/>
  <c r="M14" i="9" s="1"/>
  <c r="I14" i="9"/>
  <c r="L13" i="9"/>
  <c r="M13" i="9" s="1"/>
  <c r="I13" i="9"/>
  <c r="L12" i="9"/>
  <c r="M12" i="9" s="1"/>
  <c r="I12" i="9"/>
  <c r="L10" i="9"/>
  <c r="M10" i="9" s="1"/>
  <c r="I10" i="9"/>
  <c r="S9" i="9"/>
  <c r="U9" i="9" s="1"/>
  <c r="F9" i="9"/>
  <c r="L11" i="9"/>
  <c r="M11" i="9" s="1"/>
  <c r="I11" i="9"/>
  <c r="AT24" i="9"/>
  <c r="L26" i="9"/>
  <c r="M26" i="9" s="1"/>
  <c r="I26" i="9"/>
  <c r="B28" i="9"/>
  <c r="BG27" i="9"/>
  <c r="BD27" i="9" s="1"/>
  <c r="AS27" i="9"/>
  <c r="AP27" i="9" s="1"/>
  <c r="C27" i="9"/>
  <c r="F27" i="9" s="1"/>
  <c r="L27" i="9" l="1"/>
  <c r="M27" i="9" s="1"/>
  <c r="I27" i="9"/>
  <c r="V28" i="9"/>
  <c r="B29" i="9"/>
  <c r="BG28" i="9"/>
  <c r="BD28" i="9" s="1"/>
  <c r="AS28" i="9"/>
  <c r="AP28" i="9" s="1"/>
  <c r="C28" i="9"/>
  <c r="F28" i="9" s="1"/>
  <c r="V27" i="9"/>
  <c r="S27" i="9"/>
  <c r="AV26" i="9"/>
  <c r="AU21" i="9"/>
  <c r="AT16" i="9"/>
  <c r="V26" i="9"/>
  <c r="S26" i="9"/>
  <c r="V25" i="9"/>
  <c r="S25" i="9"/>
  <c r="V24" i="9"/>
  <c r="S24" i="9"/>
  <c r="D24" i="9"/>
  <c r="G24" i="9" s="1"/>
  <c r="J24" i="9" s="1"/>
  <c r="V23" i="9"/>
  <c r="S23" i="9"/>
  <c r="D23" i="9"/>
  <c r="G23" i="9" s="1"/>
  <c r="J23" i="9" s="1"/>
  <c r="V22" i="9"/>
  <c r="S22" i="9"/>
  <c r="D22" i="9"/>
  <c r="G22" i="9" s="1"/>
  <c r="J22" i="9" s="1"/>
  <c r="V21" i="9"/>
  <c r="S21" i="9"/>
  <c r="D21" i="9"/>
  <c r="G21" i="9" s="1"/>
  <c r="J21" i="9" s="1"/>
  <c r="V20" i="9"/>
  <c r="S20" i="9"/>
  <c r="D20" i="9"/>
  <c r="G20" i="9" s="1"/>
  <c r="J20" i="9" s="1"/>
  <c r="V19" i="9"/>
  <c r="S19" i="9"/>
  <c r="D19" i="9"/>
  <c r="G19" i="9" s="1"/>
  <c r="J19" i="9" s="1"/>
  <c r="V18" i="9"/>
  <c r="S18" i="9"/>
  <c r="D18" i="9"/>
  <c r="G18" i="9" s="1"/>
  <c r="J18" i="9" s="1"/>
  <c r="V17" i="9"/>
  <c r="S17" i="9"/>
  <c r="D17" i="9"/>
  <c r="G17" i="9" s="1"/>
  <c r="J17" i="9" s="1"/>
  <c r="V16" i="9"/>
  <c r="S16" i="9"/>
  <c r="D16" i="9"/>
  <c r="G16" i="9" s="1"/>
  <c r="J16" i="9" s="1"/>
  <c r="V15" i="9"/>
  <c r="S15" i="9"/>
  <c r="D15" i="9"/>
  <c r="G15" i="9" s="1"/>
  <c r="J15" i="9" s="1"/>
  <c r="V14" i="9"/>
  <c r="S14" i="9"/>
  <c r="D14" i="9"/>
  <c r="G14" i="9" s="1"/>
  <c r="J14" i="9" s="1"/>
  <c r="V13" i="9"/>
  <c r="T13" i="9"/>
  <c r="T14" i="9" s="1"/>
  <c r="S13" i="9"/>
  <c r="U13" i="9" s="1"/>
  <c r="W13" i="9" s="1"/>
  <c r="E13" i="9"/>
  <c r="H13" i="9" s="1"/>
  <c r="K13" i="9" s="1"/>
  <c r="D13" i="9"/>
  <c r="G13" i="9" s="1"/>
  <c r="J13" i="9" s="1"/>
  <c r="V12" i="9"/>
  <c r="T12" i="9"/>
  <c r="S12" i="9"/>
  <c r="U12" i="9" s="1"/>
  <c r="W12" i="9" s="1"/>
  <c r="E12" i="9"/>
  <c r="H12" i="9" s="1"/>
  <c r="K12" i="9" s="1"/>
  <c r="D12" i="9"/>
  <c r="G12" i="9" s="1"/>
  <c r="J12" i="9" s="1"/>
  <c r="V10" i="9"/>
  <c r="T10" i="9"/>
  <c r="S10" i="9"/>
  <c r="U10" i="9" s="1"/>
  <c r="E10" i="9"/>
  <c r="H10" i="9" s="1"/>
  <c r="K10" i="9" s="1"/>
  <c r="D10" i="9"/>
  <c r="G10" i="9" s="1"/>
  <c r="J10" i="9" s="1"/>
  <c r="V11" i="9"/>
  <c r="T11" i="9"/>
  <c r="S11" i="9"/>
  <c r="U11" i="9" s="1"/>
  <c r="W11" i="9" s="1"/>
  <c r="E11" i="9"/>
  <c r="H11" i="9" s="1"/>
  <c r="K11" i="9" s="1"/>
  <c r="D11" i="9"/>
  <c r="G11" i="9" s="1"/>
  <c r="J11" i="9" s="1"/>
  <c r="L9" i="9"/>
  <c r="M9" i="9" s="1"/>
  <c r="I9" i="9"/>
  <c r="Q9" i="9" s="1"/>
  <c r="W9" i="9"/>
  <c r="AW28" i="9"/>
  <c r="AV25" i="9"/>
  <c r="AU20" i="9"/>
  <c r="AT15" i="9"/>
  <c r="AV27" i="9"/>
  <c r="AU22" i="9"/>
  <c r="AT17" i="9"/>
  <c r="AV28" i="9"/>
  <c r="AU23" i="9"/>
  <c r="AT18" i="9"/>
  <c r="AU24" i="9"/>
  <c r="AT19" i="9"/>
  <c r="AU25" i="9"/>
  <c r="AT20" i="9"/>
  <c r="AU26" i="9"/>
  <c r="AT21" i="9"/>
  <c r="AU27" i="9"/>
  <c r="AT22" i="9"/>
  <c r="AU28" i="9"/>
  <c r="AT23" i="9"/>
  <c r="AT26" i="9"/>
  <c r="AT25" i="9"/>
  <c r="AT28" i="9"/>
  <c r="AT27" i="9"/>
  <c r="T15" i="9" l="1"/>
  <c r="E14" i="9"/>
  <c r="H14" i="9" s="1"/>
  <c r="K14" i="9" s="1"/>
  <c r="U14" i="9"/>
  <c r="W14" i="9" s="1"/>
  <c r="U15" i="9"/>
  <c r="W15" i="9" s="1"/>
  <c r="W10" i="9"/>
  <c r="X9" i="9"/>
  <c r="X10" i="9" s="1"/>
  <c r="R9" i="9"/>
  <c r="BB28" i="9"/>
  <c r="BA28" i="9"/>
  <c r="AZ28" i="9"/>
  <c r="AQ28" i="9" s="1"/>
  <c r="N28" i="9" s="1"/>
  <c r="AY28" i="9"/>
  <c r="AX28" i="9"/>
  <c r="BB27" i="9"/>
  <c r="BA27" i="9"/>
  <c r="AZ27" i="9"/>
  <c r="AQ27" i="9" s="1"/>
  <c r="N27" i="9" s="1"/>
  <c r="AY27" i="9"/>
  <c r="AX27" i="9"/>
  <c r="AW27" i="9"/>
  <c r="BB26" i="9"/>
  <c r="BA26" i="9"/>
  <c r="AZ26" i="9"/>
  <c r="AQ26" i="9" s="1"/>
  <c r="N26" i="9" s="1"/>
  <c r="AY26" i="9"/>
  <c r="AX26" i="9"/>
  <c r="AW26" i="9"/>
  <c r="BB25" i="9"/>
  <c r="BA25" i="9"/>
  <c r="AZ25" i="9"/>
  <c r="AQ25" i="9" s="1"/>
  <c r="N25" i="9" s="1"/>
  <c r="AY25" i="9"/>
  <c r="AX25" i="9"/>
  <c r="AW25" i="9"/>
  <c r="BB24" i="9"/>
  <c r="BA24" i="9"/>
  <c r="AZ24" i="9"/>
  <c r="AQ24" i="9" s="1"/>
  <c r="N24" i="9" s="1"/>
  <c r="AY24" i="9"/>
  <c r="AX24" i="9"/>
  <c r="AW24" i="9"/>
  <c r="AV24" i="9"/>
  <c r="BB23" i="9"/>
  <c r="BA23" i="9"/>
  <c r="AZ23" i="9"/>
  <c r="AQ23" i="9" s="1"/>
  <c r="N23" i="9" s="1"/>
  <c r="AY23" i="9"/>
  <c r="AX23" i="9"/>
  <c r="AW23" i="9"/>
  <c r="AV23" i="9"/>
  <c r="BB22" i="9"/>
  <c r="BA22" i="9"/>
  <c r="AZ22" i="9"/>
  <c r="AQ22" i="9" s="1"/>
  <c r="N22" i="9" s="1"/>
  <c r="AY22" i="9"/>
  <c r="AX22" i="9"/>
  <c r="AW22" i="9"/>
  <c r="AV22" i="9"/>
  <c r="BB21" i="9"/>
  <c r="BA21" i="9"/>
  <c r="AZ21" i="9"/>
  <c r="AQ21" i="9" s="1"/>
  <c r="N21" i="9" s="1"/>
  <c r="AY21" i="9"/>
  <c r="AX21" i="9"/>
  <c r="AW21" i="9"/>
  <c r="AV21" i="9"/>
  <c r="BB20" i="9"/>
  <c r="BA20" i="9"/>
  <c r="AZ20" i="9"/>
  <c r="AQ20" i="9" s="1"/>
  <c r="N20" i="9" s="1"/>
  <c r="AY20" i="9"/>
  <c r="AX20" i="9"/>
  <c r="AW20" i="9"/>
  <c r="AV20" i="9"/>
  <c r="BB19" i="9"/>
  <c r="BA19" i="9"/>
  <c r="AZ19" i="9"/>
  <c r="AQ19" i="9" s="1"/>
  <c r="N19" i="9" s="1"/>
  <c r="AY19" i="9"/>
  <c r="AX19" i="9"/>
  <c r="AW19" i="9"/>
  <c r="AV19" i="9"/>
  <c r="AU19" i="9"/>
  <c r="BB18" i="9"/>
  <c r="BA18" i="9"/>
  <c r="AZ18" i="9"/>
  <c r="AQ18" i="9" s="1"/>
  <c r="N18" i="9" s="1"/>
  <c r="AY18" i="9"/>
  <c r="AX18" i="9"/>
  <c r="AW18" i="9"/>
  <c r="AV18" i="9"/>
  <c r="AU18" i="9"/>
  <c r="BB17" i="9"/>
  <c r="BA17" i="9"/>
  <c r="AZ17" i="9"/>
  <c r="AQ17" i="9" s="1"/>
  <c r="N17" i="9" s="1"/>
  <c r="AY17" i="9"/>
  <c r="AX17" i="9"/>
  <c r="AW17" i="9"/>
  <c r="AV17" i="9"/>
  <c r="AU17" i="9"/>
  <c r="BB16" i="9"/>
  <c r="BA16" i="9"/>
  <c r="AZ16" i="9"/>
  <c r="AQ16" i="9" s="1"/>
  <c r="N16" i="9" s="1"/>
  <c r="AY16" i="9"/>
  <c r="AX16" i="9"/>
  <c r="AW16" i="9"/>
  <c r="AV16" i="9"/>
  <c r="AU16" i="9"/>
  <c r="BB15" i="9"/>
  <c r="BA15" i="9"/>
  <c r="AZ15" i="9"/>
  <c r="AQ15" i="9" s="1"/>
  <c r="N15" i="9" s="1"/>
  <c r="AY15" i="9"/>
  <c r="AX15" i="9"/>
  <c r="AW15" i="9"/>
  <c r="AV15" i="9"/>
  <c r="AU15" i="9"/>
  <c r="BB14" i="9"/>
  <c r="BA14" i="9"/>
  <c r="AZ14" i="9"/>
  <c r="AQ14" i="9" s="1"/>
  <c r="N14" i="9" s="1"/>
  <c r="Q14" i="9" s="1"/>
  <c r="Y14" i="9" s="1"/>
  <c r="AY14" i="9"/>
  <c r="AX14" i="9"/>
  <c r="AW14" i="9"/>
  <c r="AV14" i="9"/>
  <c r="AU14" i="9"/>
  <c r="AT14" i="9"/>
  <c r="BB13" i="9"/>
  <c r="BA13" i="9"/>
  <c r="AZ13" i="9"/>
  <c r="AQ13" i="9" s="1"/>
  <c r="N13" i="9" s="1"/>
  <c r="Q13" i="9" s="1"/>
  <c r="Y13" i="9" s="1"/>
  <c r="AY13" i="9"/>
  <c r="AX13" i="9"/>
  <c r="AW13" i="9"/>
  <c r="AV13" i="9"/>
  <c r="AU13" i="9"/>
  <c r="AT13" i="9"/>
  <c r="BB12" i="9"/>
  <c r="BA12" i="9"/>
  <c r="AZ12" i="9"/>
  <c r="AQ12" i="9" s="1"/>
  <c r="N12" i="9" s="1"/>
  <c r="Q12" i="9" s="1"/>
  <c r="Y12" i="9" s="1"/>
  <c r="AY12" i="9"/>
  <c r="AX12" i="9"/>
  <c r="AW12" i="9"/>
  <c r="AV12" i="9"/>
  <c r="AU12" i="9"/>
  <c r="AT12" i="9"/>
  <c r="BB11" i="9"/>
  <c r="BA11" i="9"/>
  <c r="AZ11" i="9"/>
  <c r="AQ11" i="9" s="1"/>
  <c r="N11" i="9" s="1"/>
  <c r="Q11" i="9" s="1"/>
  <c r="Y11" i="9" s="1"/>
  <c r="AY11" i="9"/>
  <c r="AX11" i="9"/>
  <c r="AW11" i="9"/>
  <c r="AV11" i="9"/>
  <c r="AU11" i="9"/>
  <c r="AT11" i="9"/>
  <c r="BB10" i="9"/>
  <c r="BA10" i="9"/>
  <c r="AZ10" i="9"/>
  <c r="AQ10" i="9" s="1"/>
  <c r="N10" i="9" s="1"/>
  <c r="Q10" i="9" s="1"/>
  <c r="AY10" i="9"/>
  <c r="AX10" i="9"/>
  <c r="AW10" i="9"/>
  <c r="AV10" i="9"/>
  <c r="AU10" i="9"/>
  <c r="AT10" i="9"/>
  <c r="AI51" i="9"/>
  <c r="AI50" i="9"/>
  <c r="AI49" i="9"/>
  <c r="AI48" i="9"/>
  <c r="AI47" i="9"/>
  <c r="AI46" i="9"/>
  <c r="AI45" i="9"/>
  <c r="AI44" i="9"/>
  <c r="AI43" i="9"/>
  <c r="AI42" i="9"/>
  <c r="AI41" i="9"/>
  <c r="AI40" i="9"/>
  <c r="AI39" i="9"/>
  <c r="AI38" i="9"/>
  <c r="AI37" i="9"/>
  <c r="AI36" i="9"/>
  <c r="AI35" i="9"/>
  <c r="AI34" i="9"/>
  <c r="AI33" i="9"/>
  <c r="AI32" i="9"/>
  <c r="AI31" i="9"/>
  <c r="AI30" i="9"/>
  <c r="AI29" i="9"/>
  <c r="AI28" i="9"/>
  <c r="AI27" i="9"/>
  <c r="AI26" i="9"/>
  <c r="AI25" i="9"/>
  <c r="AI24" i="9"/>
  <c r="AI23" i="9"/>
  <c r="AI22" i="9"/>
  <c r="AI21" i="9"/>
  <c r="AI20" i="9"/>
  <c r="AI19" i="9"/>
  <c r="AI18" i="9"/>
  <c r="AI17" i="9"/>
  <c r="AI16" i="9"/>
  <c r="AI15" i="9"/>
  <c r="AI14" i="9"/>
  <c r="AI13" i="9"/>
  <c r="AI12" i="9"/>
  <c r="AI11" i="9"/>
  <c r="AI10" i="9"/>
  <c r="D25" i="9"/>
  <c r="L28" i="9"/>
  <c r="M28" i="9" s="1"/>
  <c r="I28" i="9"/>
  <c r="V29" i="9"/>
  <c r="B30" i="9"/>
  <c r="BG29" i="9"/>
  <c r="BD29" i="9" s="1"/>
  <c r="AS29" i="9"/>
  <c r="AP29" i="9" s="1"/>
  <c r="C29" i="9"/>
  <c r="F29" i="9" s="1"/>
  <c r="S28" i="9"/>
  <c r="T16" i="9" l="1"/>
  <c r="E15" i="9"/>
  <c r="H15" i="9" s="1"/>
  <c r="K15" i="9" s="1"/>
  <c r="Q15" i="9" s="1"/>
  <c r="Y15" i="9" s="1"/>
  <c r="L29" i="9"/>
  <c r="M29" i="9" s="1"/>
  <c r="I29" i="9"/>
  <c r="V30" i="9"/>
  <c r="B31" i="9"/>
  <c r="BG30" i="9"/>
  <c r="BD30" i="9" s="1"/>
  <c r="AS30" i="9"/>
  <c r="AP30" i="9" s="1"/>
  <c r="C30" i="9"/>
  <c r="F30" i="9" s="1"/>
  <c r="S29" i="9"/>
  <c r="AT29" i="9"/>
  <c r="AU29" i="9"/>
  <c r="AW29" i="9"/>
  <c r="AX30" i="9"/>
  <c r="AW30" i="9"/>
  <c r="AV29" i="9"/>
  <c r="AV30" i="9"/>
  <c r="AU30" i="9"/>
  <c r="G25" i="9"/>
  <c r="J25" i="9" s="1"/>
  <c r="D26" i="9"/>
  <c r="AX29" i="9"/>
  <c r="AY29" i="9"/>
  <c r="AZ29" i="9"/>
  <c r="AQ29" i="9" s="1"/>
  <c r="N29" i="9" s="1"/>
  <c r="BA29" i="9"/>
  <c r="BB29" i="9"/>
  <c r="AY30" i="9"/>
  <c r="AZ30" i="9"/>
  <c r="AQ30" i="9" s="1"/>
  <c r="N30" i="9" s="1"/>
  <c r="BA30" i="9"/>
  <c r="BB30" i="9"/>
  <c r="R10" i="9"/>
  <c r="R11" i="9" s="1"/>
  <c r="R12" i="9" s="1"/>
  <c r="R13" i="9" s="1"/>
  <c r="R14" i="9" s="1"/>
  <c r="AA10" i="9"/>
  <c r="Z10" i="9"/>
  <c r="AB10" i="9" s="1"/>
  <c r="X11" i="9"/>
  <c r="Y10" i="9"/>
  <c r="R15" i="9" l="1"/>
  <c r="T17" i="9"/>
  <c r="E16" i="9"/>
  <c r="H16" i="9" s="1"/>
  <c r="K16" i="9" s="1"/>
  <c r="Q16" i="9" s="1"/>
  <c r="U16" i="9"/>
  <c r="W16" i="9" s="1"/>
  <c r="Z11" i="9"/>
  <c r="AB11" i="9" s="1"/>
  <c r="X12" i="9"/>
  <c r="AA11" i="9"/>
  <c r="G26" i="9"/>
  <c r="J26" i="9" s="1"/>
  <c r="D27" i="9"/>
  <c r="L30" i="9"/>
  <c r="M30" i="9" s="1"/>
  <c r="I30" i="9"/>
  <c r="V31" i="9"/>
  <c r="B32" i="9"/>
  <c r="BG31" i="9"/>
  <c r="BD31" i="9" s="1"/>
  <c r="AS31" i="9"/>
  <c r="AP31" i="9" s="1"/>
  <c r="C31" i="9"/>
  <c r="F31" i="9" s="1"/>
  <c r="S30" i="9"/>
  <c r="AT30" i="9"/>
  <c r="Y16" i="9" l="1"/>
  <c r="T18" i="9"/>
  <c r="E17" i="9"/>
  <c r="H17" i="9" s="1"/>
  <c r="K17" i="9" s="1"/>
  <c r="Q17" i="9" s="1"/>
  <c r="U17" i="9"/>
  <c r="W17" i="9" s="1"/>
  <c r="R16" i="9"/>
  <c r="R17" i="9" s="1"/>
  <c r="L31" i="9"/>
  <c r="M31" i="9" s="1"/>
  <c r="I31" i="9"/>
  <c r="V32" i="9"/>
  <c r="B33" i="9"/>
  <c r="BG32" i="9"/>
  <c r="BD32" i="9" s="1"/>
  <c r="AS32" i="9"/>
  <c r="AP32" i="9" s="1"/>
  <c r="C32" i="9"/>
  <c r="F32" i="9" s="1"/>
  <c r="S31" i="9"/>
  <c r="AT31" i="9"/>
  <c r="AX31" i="9"/>
  <c r="AX32" i="9"/>
  <c r="AW31" i="9"/>
  <c r="AW32" i="9"/>
  <c r="AV31" i="9"/>
  <c r="AV32" i="9"/>
  <c r="AU31" i="9"/>
  <c r="AU32" i="9"/>
  <c r="AY31" i="9"/>
  <c r="AZ31" i="9"/>
  <c r="AQ31" i="9" s="1"/>
  <c r="N31" i="9" s="1"/>
  <c r="BA31" i="9"/>
  <c r="BB31" i="9"/>
  <c r="AY32" i="9"/>
  <c r="AZ32" i="9"/>
  <c r="AQ32" i="9" s="1"/>
  <c r="N32" i="9" s="1"/>
  <c r="BA32" i="9"/>
  <c r="BB32" i="9"/>
  <c r="G27" i="9"/>
  <c r="J27" i="9" s="1"/>
  <c r="D28" i="9"/>
  <c r="AA12" i="9"/>
  <c r="Z12" i="9"/>
  <c r="AB12" i="9" s="1"/>
  <c r="X13" i="9"/>
  <c r="Y17" i="9" l="1"/>
  <c r="T19" i="9"/>
  <c r="E18" i="9"/>
  <c r="H18" i="9" s="1"/>
  <c r="K18" i="9" s="1"/>
  <c r="Q18" i="9" s="1"/>
  <c r="U18" i="9"/>
  <c r="W18" i="9" s="1"/>
  <c r="Z13" i="9"/>
  <c r="AB13" i="9" s="1"/>
  <c r="X14" i="9"/>
  <c r="AA13" i="9"/>
  <c r="G28" i="9"/>
  <c r="J28" i="9" s="1"/>
  <c r="D29" i="9"/>
  <c r="L32" i="9"/>
  <c r="M32" i="9" s="1"/>
  <c r="I32" i="9"/>
  <c r="V33" i="9"/>
  <c r="B34" i="9"/>
  <c r="BG33" i="9"/>
  <c r="BD33" i="9" s="1"/>
  <c r="AS33" i="9"/>
  <c r="AP33" i="9" s="1"/>
  <c r="C33" i="9"/>
  <c r="F33" i="9" s="1"/>
  <c r="S32" i="9"/>
  <c r="AT32" i="9"/>
  <c r="Y18" i="9" l="1"/>
  <c r="T20" i="9"/>
  <c r="E19" i="9"/>
  <c r="H19" i="9" s="1"/>
  <c r="K19" i="9" s="1"/>
  <c r="Q19" i="9" s="1"/>
  <c r="U19" i="9"/>
  <c r="W19" i="9" s="1"/>
  <c r="R18" i="9"/>
  <c r="R19" i="9" s="1"/>
  <c r="L33" i="9"/>
  <c r="M33" i="9" s="1"/>
  <c r="I33" i="9"/>
  <c r="V34" i="9"/>
  <c r="B35" i="9"/>
  <c r="BG34" i="9"/>
  <c r="BD34" i="9" s="1"/>
  <c r="AS34" i="9"/>
  <c r="AP34" i="9" s="1"/>
  <c r="C34" i="9"/>
  <c r="F34" i="9" s="1"/>
  <c r="S33" i="9"/>
  <c r="AT33" i="9"/>
  <c r="AU34" i="9"/>
  <c r="AV34" i="9"/>
  <c r="AX33" i="9"/>
  <c r="AX34" i="9"/>
  <c r="AW33" i="9"/>
  <c r="AW34" i="9"/>
  <c r="AV33" i="9"/>
  <c r="AU33" i="9"/>
  <c r="AY33" i="9"/>
  <c r="AZ33" i="9"/>
  <c r="AQ33" i="9" s="1"/>
  <c r="N33" i="9" s="1"/>
  <c r="BA33" i="9"/>
  <c r="BB33" i="9"/>
  <c r="AY34" i="9"/>
  <c r="AZ34" i="9"/>
  <c r="AQ34" i="9" s="1"/>
  <c r="N34" i="9" s="1"/>
  <c r="BA34" i="9"/>
  <c r="BB34" i="9"/>
  <c r="G29" i="9"/>
  <c r="J29" i="9" s="1"/>
  <c r="D30" i="9"/>
  <c r="AA14" i="9"/>
  <c r="Z14" i="9"/>
  <c r="AB14" i="9" s="1"/>
  <c r="X15" i="9"/>
  <c r="Y19" i="9" l="1"/>
  <c r="T21" i="9"/>
  <c r="E20" i="9"/>
  <c r="H20" i="9" s="1"/>
  <c r="K20" i="9" s="1"/>
  <c r="Q20" i="9" s="1"/>
  <c r="R20" i="9" s="1"/>
  <c r="U20" i="9"/>
  <c r="W20" i="9" s="1"/>
  <c r="Y20" i="9" s="1"/>
  <c r="Z15" i="9"/>
  <c r="AB15" i="9" s="1"/>
  <c r="X16" i="9"/>
  <c r="AA15" i="9"/>
  <c r="G30" i="9"/>
  <c r="J30" i="9" s="1"/>
  <c r="D31" i="9"/>
  <c r="L34" i="9"/>
  <c r="M34" i="9" s="1"/>
  <c r="I34" i="9"/>
  <c r="V35" i="9"/>
  <c r="B36" i="9"/>
  <c r="BG35" i="9"/>
  <c r="BD35" i="9" s="1"/>
  <c r="AS35" i="9"/>
  <c r="AP35" i="9" s="1"/>
  <c r="C35" i="9"/>
  <c r="F35" i="9" s="1"/>
  <c r="S34" i="9"/>
  <c r="AT34" i="9"/>
  <c r="AU35" i="9"/>
  <c r="U21" i="9" l="1"/>
  <c r="W21" i="9" s="1"/>
  <c r="T22" i="9"/>
  <c r="E21" i="9"/>
  <c r="H21" i="9" s="1"/>
  <c r="K21" i="9" s="1"/>
  <c r="Q21" i="9" s="1"/>
  <c r="Y21" i="9" s="1"/>
  <c r="L35" i="9"/>
  <c r="M35" i="9" s="1"/>
  <c r="I35" i="9"/>
  <c r="V36" i="9"/>
  <c r="B37" i="9"/>
  <c r="BG36" i="9"/>
  <c r="BD36" i="9" s="1"/>
  <c r="AS36" i="9"/>
  <c r="AP36" i="9" s="1"/>
  <c r="C36" i="9"/>
  <c r="F36" i="9" s="1"/>
  <c r="S35" i="9"/>
  <c r="AT35" i="9"/>
  <c r="AU36" i="9"/>
  <c r="AY36" i="9"/>
  <c r="AY35" i="9"/>
  <c r="AX35" i="9"/>
  <c r="AX36" i="9"/>
  <c r="AW35" i="9"/>
  <c r="AW36" i="9"/>
  <c r="AV36" i="9"/>
  <c r="AV35" i="9"/>
  <c r="AZ35" i="9"/>
  <c r="AQ35" i="9" s="1"/>
  <c r="N35" i="9" s="1"/>
  <c r="BA35" i="9"/>
  <c r="BB35" i="9"/>
  <c r="AZ36" i="9"/>
  <c r="AQ36" i="9" s="1"/>
  <c r="N36" i="9" s="1"/>
  <c r="BA36" i="9"/>
  <c r="BB36" i="9"/>
  <c r="G31" i="9"/>
  <c r="J31" i="9" s="1"/>
  <c r="D32" i="9"/>
  <c r="AA16" i="9"/>
  <c r="Z16" i="9"/>
  <c r="AB16" i="9" s="1"/>
  <c r="X17" i="9"/>
  <c r="T23" i="9" l="1"/>
  <c r="E22" i="9"/>
  <c r="H22" i="9" s="1"/>
  <c r="K22" i="9" s="1"/>
  <c r="Q22" i="9" s="1"/>
  <c r="U22" i="9"/>
  <c r="W22" i="9" s="1"/>
  <c r="Y22" i="9" s="1"/>
  <c r="R21" i="9"/>
  <c r="R22" i="9" s="1"/>
  <c r="Z17" i="9"/>
  <c r="AB17" i="9" s="1"/>
  <c r="X18" i="9"/>
  <c r="AA17" i="9"/>
  <c r="G32" i="9"/>
  <c r="J32" i="9" s="1"/>
  <c r="D33" i="9"/>
  <c r="L36" i="9"/>
  <c r="M36" i="9" s="1"/>
  <c r="I36" i="9"/>
  <c r="V37" i="9"/>
  <c r="B38" i="9"/>
  <c r="BG37" i="9"/>
  <c r="BD37" i="9" s="1"/>
  <c r="AS37" i="9"/>
  <c r="AP37" i="9" s="1"/>
  <c r="C37" i="9"/>
  <c r="F37" i="9" s="1"/>
  <c r="S36" i="9"/>
  <c r="AT36" i="9"/>
  <c r="AU37" i="9"/>
  <c r="T24" i="9" l="1"/>
  <c r="E23" i="9"/>
  <c r="H23" i="9" s="1"/>
  <c r="K23" i="9" s="1"/>
  <c r="Q23" i="9" s="1"/>
  <c r="R23" i="9" s="1"/>
  <c r="U23" i="9"/>
  <c r="W23" i="9" s="1"/>
  <c r="Y23" i="9" s="1"/>
  <c r="L37" i="9"/>
  <c r="M37" i="9" s="1"/>
  <c r="I37" i="9"/>
  <c r="V38" i="9"/>
  <c r="B39" i="9"/>
  <c r="BG38" i="9"/>
  <c r="BD38" i="9" s="1"/>
  <c r="AS38" i="9"/>
  <c r="AP38" i="9" s="1"/>
  <c r="C38" i="9"/>
  <c r="F38" i="9" s="1"/>
  <c r="S37" i="9"/>
  <c r="AW37" i="9"/>
  <c r="AT37" i="9"/>
  <c r="AU38" i="9"/>
  <c r="AY37" i="9"/>
  <c r="AX37" i="9"/>
  <c r="AV37" i="9"/>
  <c r="AZ37" i="9"/>
  <c r="AQ37" i="9" s="1"/>
  <c r="N37" i="9" s="1"/>
  <c r="BA37" i="9"/>
  <c r="BB37" i="9"/>
  <c r="G33" i="9"/>
  <c r="J33" i="9" s="1"/>
  <c r="D34" i="9"/>
  <c r="AA18" i="9"/>
  <c r="Z18" i="9"/>
  <c r="AB18" i="9" s="1"/>
  <c r="X19" i="9"/>
  <c r="T25" i="9" l="1"/>
  <c r="E24" i="9"/>
  <c r="H24" i="9" s="1"/>
  <c r="K24" i="9" s="1"/>
  <c r="Q24" i="9" s="1"/>
  <c r="R24" i="9" s="1"/>
  <c r="U24" i="9"/>
  <c r="W24" i="9" s="1"/>
  <c r="Y24" i="9" s="1"/>
  <c r="Z19" i="9"/>
  <c r="AB19" i="9" s="1"/>
  <c r="X20" i="9"/>
  <c r="AA19" i="9"/>
  <c r="AA20" i="9" s="1"/>
  <c r="G34" i="9"/>
  <c r="J34" i="9" s="1"/>
  <c r="D35" i="9"/>
  <c r="L38" i="9"/>
  <c r="M38" i="9" s="1"/>
  <c r="I38" i="9"/>
  <c r="V39" i="9"/>
  <c r="B40" i="9"/>
  <c r="BG39" i="9"/>
  <c r="BD39" i="9" s="1"/>
  <c r="AS39" i="9"/>
  <c r="AP39" i="9" s="1"/>
  <c r="C39" i="9"/>
  <c r="F39" i="9" s="1"/>
  <c r="S38" i="9"/>
  <c r="AY38" i="9"/>
  <c r="AX38" i="9"/>
  <c r="AW38" i="9"/>
  <c r="AV38" i="9"/>
  <c r="AZ38" i="9"/>
  <c r="AQ38" i="9" s="1"/>
  <c r="N38" i="9" s="1"/>
  <c r="BA38" i="9"/>
  <c r="BB38" i="9"/>
  <c r="AT38" i="9"/>
  <c r="AU39" i="9"/>
  <c r="T26" i="9" l="1"/>
  <c r="E25" i="9"/>
  <c r="H25" i="9" s="1"/>
  <c r="K25" i="9" s="1"/>
  <c r="Q25" i="9" s="1"/>
  <c r="R25" i="9" s="1"/>
  <c r="U25" i="9"/>
  <c r="W25" i="9" s="1"/>
  <c r="Y25" i="9" s="1"/>
  <c r="L39" i="9"/>
  <c r="M39" i="9" s="1"/>
  <c r="I39" i="9"/>
  <c r="V40" i="9"/>
  <c r="B41" i="9"/>
  <c r="BG40" i="9"/>
  <c r="BD40" i="9" s="1"/>
  <c r="AS40" i="9"/>
  <c r="AP40" i="9" s="1"/>
  <c r="C40" i="9"/>
  <c r="F40" i="9" s="1"/>
  <c r="S39" i="9"/>
  <c r="AV39" i="9"/>
  <c r="AX39" i="9"/>
  <c r="AY39" i="9"/>
  <c r="AW39" i="9"/>
  <c r="AZ39" i="9"/>
  <c r="AQ39" i="9" s="1"/>
  <c r="N39" i="9" s="1"/>
  <c r="BA39" i="9"/>
  <c r="BB39" i="9"/>
  <c r="AT39" i="9"/>
  <c r="AU40" i="9"/>
  <c r="G35" i="9"/>
  <c r="J35" i="9" s="1"/>
  <c r="D36" i="9"/>
  <c r="Z20" i="9"/>
  <c r="AB20" i="9" s="1"/>
  <c r="X21" i="9"/>
  <c r="S40" i="9" l="1"/>
  <c r="T27" i="9"/>
  <c r="E26" i="9"/>
  <c r="H26" i="9" s="1"/>
  <c r="K26" i="9" s="1"/>
  <c r="Q26" i="9" s="1"/>
  <c r="R26" i="9" s="1"/>
  <c r="U26" i="9"/>
  <c r="W26" i="9" s="1"/>
  <c r="Y26" i="9" s="1"/>
  <c r="Z21" i="9"/>
  <c r="AB21" i="9" s="1"/>
  <c r="X22" i="9"/>
  <c r="AA21" i="9"/>
  <c r="AA22" i="9" s="1"/>
  <c r="G36" i="9"/>
  <c r="J36" i="9" s="1"/>
  <c r="D37" i="9"/>
  <c r="L40" i="9"/>
  <c r="M40" i="9" s="1"/>
  <c r="I40" i="9"/>
  <c r="V41" i="9"/>
  <c r="B42" i="9"/>
  <c r="BG41" i="9"/>
  <c r="BD41" i="9" s="1"/>
  <c r="AS41" i="9"/>
  <c r="AP41" i="9" s="1"/>
  <c r="C41" i="9"/>
  <c r="F41" i="9" s="1"/>
  <c r="AV40" i="9"/>
  <c r="AZ40" i="9"/>
  <c r="AQ40" i="9" s="1"/>
  <c r="N40" i="9" s="1"/>
  <c r="AY40" i="9"/>
  <c r="AX40" i="9"/>
  <c r="AW40" i="9"/>
  <c r="BA40" i="9"/>
  <c r="BB40" i="9"/>
  <c r="AT40" i="9"/>
  <c r="AU41" i="9"/>
  <c r="S41" i="9" l="1"/>
  <c r="E27" i="9"/>
  <c r="H27" i="9" s="1"/>
  <c r="K27" i="9" s="1"/>
  <c r="Q27" i="9" s="1"/>
  <c r="R27" i="9" s="1"/>
  <c r="U27" i="9"/>
  <c r="W27" i="9" s="1"/>
  <c r="Y27" i="9" s="1"/>
  <c r="T28" i="9"/>
  <c r="L41" i="9"/>
  <c r="M41" i="9" s="1"/>
  <c r="I41" i="9"/>
  <c r="V42" i="9"/>
  <c r="B43" i="9"/>
  <c r="BG42" i="9"/>
  <c r="BD42" i="9" s="1"/>
  <c r="AS42" i="9"/>
  <c r="AP42" i="9" s="1"/>
  <c r="C42" i="9"/>
  <c r="F42" i="9" s="1"/>
  <c r="AV41" i="9"/>
  <c r="AZ41" i="9"/>
  <c r="AQ41" i="9" s="1"/>
  <c r="N41" i="9" s="1"/>
  <c r="AY41" i="9"/>
  <c r="AX41" i="9"/>
  <c r="AW41" i="9"/>
  <c r="BA41" i="9"/>
  <c r="BB41" i="9"/>
  <c r="AT41" i="9"/>
  <c r="AU42" i="9"/>
  <c r="G37" i="9"/>
  <c r="J37" i="9" s="1"/>
  <c r="D38" i="9"/>
  <c r="Z22" i="9"/>
  <c r="AB22" i="9" s="1"/>
  <c r="X23" i="9"/>
  <c r="S42" i="9" l="1"/>
  <c r="E28" i="9"/>
  <c r="H28" i="9" s="1"/>
  <c r="K28" i="9" s="1"/>
  <c r="Q28" i="9" s="1"/>
  <c r="R28" i="9" s="1"/>
  <c r="U28" i="9"/>
  <c r="W28" i="9" s="1"/>
  <c r="Y28" i="9" s="1"/>
  <c r="T29" i="9"/>
  <c r="Z23" i="9"/>
  <c r="AB23" i="9" s="1"/>
  <c r="X24" i="9"/>
  <c r="AA23" i="9"/>
  <c r="AA24" i="9" s="1"/>
  <c r="G38" i="9"/>
  <c r="J38" i="9" s="1"/>
  <c r="D39" i="9"/>
  <c r="L42" i="9"/>
  <c r="M42" i="9" s="1"/>
  <c r="I42" i="9"/>
  <c r="V43" i="9"/>
  <c r="B44" i="9"/>
  <c r="BG43" i="9"/>
  <c r="BD43" i="9" s="1"/>
  <c r="AS43" i="9"/>
  <c r="AP43" i="9" s="1"/>
  <c r="C43" i="9"/>
  <c r="F43" i="9" s="1"/>
  <c r="AW42" i="9"/>
  <c r="AZ42" i="9"/>
  <c r="AQ42" i="9" s="1"/>
  <c r="N42" i="9" s="1"/>
  <c r="AY42" i="9"/>
  <c r="AX42" i="9"/>
  <c r="BA42" i="9"/>
  <c r="BB42" i="9"/>
  <c r="AV42" i="9"/>
  <c r="AT42" i="9"/>
  <c r="AU43" i="9"/>
  <c r="S43" i="9" l="1"/>
  <c r="G39" i="9"/>
  <c r="J39" i="9" s="1"/>
  <c r="D40" i="9"/>
  <c r="E29" i="9"/>
  <c r="H29" i="9" s="1"/>
  <c r="K29" i="9" s="1"/>
  <c r="Q29" i="9" s="1"/>
  <c r="R29" i="9" s="1"/>
  <c r="U29" i="9"/>
  <c r="W29" i="9" s="1"/>
  <c r="Y29" i="9" s="1"/>
  <c r="T30" i="9"/>
  <c r="L43" i="9"/>
  <c r="M43" i="9" s="1"/>
  <c r="I43" i="9"/>
  <c r="V44" i="9"/>
  <c r="B45" i="9"/>
  <c r="BG44" i="9"/>
  <c r="BD44" i="9" s="1"/>
  <c r="AS44" i="9"/>
  <c r="AP44" i="9" s="1"/>
  <c r="C44" i="9"/>
  <c r="F44" i="9" s="1"/>
  <c r="AW43" i="9"/>
  <c r="AZ43" i="9"/>
  <c r="AQ43" i="9" s="1"/>
  <c r="N43" i="9" s="1"/>
  <c r="AY43" i="9"/>
  <c r="AX43" i="9"/>
  <c r="BA43" i="9"/>
  <c r="BB43" i="9"/>
  <c r="AV43" i="9"/>
  <c r="AT43" i="9"/>
  <c r="AU44" i="9"/>
  <c r="Z24" i="9"/>
  <c r="AB24" i="9" s="1"/>
  <c r="X25" i="9"/>
  <c r="S44" i="9" l="1"/>
  <c r="G40" i="9"/>
  <c r="J40" i="9" s="1"/>
  <c r="D41" i="9"/>
  <c r="E30" i="9"/>
  <c r="H30" i="9" s="1"/>
  <c r="K30" i="9" s="1"/>
  <c r="Q30" i="9" s="1"/>
  <c r="R30" i="9" s="1"/>
  <c r="U30" i="9"/>
  <c r="W30" i="9" s="1"/>
  <c r="Y30" i="9" s="1"/>
  <c r="T31" i="9"/>
  <c r="Z25" i="9"/>
  <c r="AB25" i="9" s="1"/>
  <c r="X26" i="9"/>
  <c r="AA25" i="9"/>
  <c r="AA26" i="9" s="1"/>
  <c r="L44" i="9"/>
  <c r="M44" i="9" s="1"/>
  <c r="I44" i="9"/>
  <c r="V45" i="9"/>
  <c r="S45" i="9"/>
  <c r="B46" i="9"/>
  <c r="BG45" i="9"/>
  <c r="BD45" i="9" s="1"/>
  <c r="AS45" i="9"/>
  <c r="AP45" i="9" s="1"/>
  <c r="C45" i="9"/>
  <c r="F45" i="9" s="1"/>
  <c r="AX44" i="9"/>
  <c r="AY44" i="9"/>
  <c r="AW44" i="9"/>
  <c r="AZ44" i="9"/>
  <c r="AQ44" i="9" s="1"/>
  <c r="N44" i="9" s="1"/>
  <c r="BA44" i="9"/>
  <c r="BB44" i="9"/>
  <c r="AV44" i="9"/>
  <c r="AT44" i="9"/>
  <c r="AU45" i="9"/>
  <c r="G41" i="9" l="1"/>
  <c r="J41" i="9" s="1"/>
  <c r="D42" i="9"/>
  <c r="E31" i="9"/>
  <c r="H31" i="9" s="1"/>
  <c r="K31" i="9" s="1"/>
  <c r="Q31" i="9" s="1"/>
  <c r="R31" i="9" s="1"/>
  <c r="U31" i="9"/>
  <c r="W31" i="9" s="1"/>
  <c r="Y31" i="9" s="1"/>
  <c r="T32" i="9"/>
  <c r="L45" i="9"/>
  <c r="M45" i="9" s="1"/>
  <c r="I45" i="9"/>
  <c r="V46" i="9"/>
  <c r="S46" i="9"/>
  <c r="B47" i="9"/>
  <c r="BG46" i="9"/>
  <c r="BD46" i="9" s="1"/>
  <c r="AS46" i="9"/>
  <c r="AP46" i="9" s="1"/>
  <c r="C46" i="9"/>
  <c r="F46" i="9" s="1"/>
  <c r="AX45" i="9"/>
  <c r="BA45" i="9"/>
  <c r="AZ45" i="9"/>
  <c r="AQ45" i="9" s="1"/>
  <c r="N45" i="9" s="1"/>
  <c r="AY45" i="9"/>
  <c r="BB45" i="9"/>
  <c r="AW45" i="9"/>
  <c r="AV45" i="9"/>
  <c r="AT45" i="9"/>
  <c r="AU46" i="9"/>
  <c r="Z26" i="9"/>
  <c r="AB26" i="9" s="1"/>
  <c r="X27" i="9"/>
  <c r="G42" i="9" l="1"/>
  <c r="J42" i="9" s="1"/>
  <c r="D43" i="9"/>
  <c r="E32" i="9"/>
  <c r="H32" i="9" s="1"/>
  <c r="K32" i="9" s="1"/>
  <c r="Q32" i="9" s="1"/>
  <c r="R32" i="9" s="1"/>
  <c r="U32" i="9"/>
  <c r="W32" i="9" s="1"/>
  <c r="Y32" i="9" s="1"/>
  <c r="T33" i="9"/>
  <c r="T34" i="9" s="1"/>
  <c r="Z27" i="9"/>
  <c r="AB27" i="9" s="1"/>
  <c r="X28" i="9"/>
  <c r="AA27" i="9"/>
  <c r="AA28" i="9" s="1"/>
  <c r="L46" i="9"/>
  <c r="M46" i="9" s="1"/>
  <c r="I46" i="9"/>
  <c r="V47" i="9"/>
  <c r="S47" i="9"/>
  <c r="B48" i="9"/>
  <c r="BG47" i="9"/>
  <c r="BD47" i="9" s="1"/>
  <c r="AS47" i="9"/>
  <c r="AP47" i="9" s="1"/>
  <c r="C47" i="9"/>
  <c r="F47" i="9" s="1"/>
  <c r="AX46" i="9"/>
  <c r="BA46" i="9"/>
  <c r="AZ46" i="9"/>
  <c r="AQ46" i="9" s="1"/>
  <c r="N46" i="9" s="1"/>
  <c r="AY46" i="9"/>
  <c r="BB46" i="9"/>
  <c r="AW46" i="9"/>
  <c r="AV46" i="9"/>
  <c r="AT46" i="9"/>
  <c r="AU47" i="9"/>
  <c r="G43" i="9" l="1"/>
  <c r="J43" i="9" s="1"/>
  <c r="D44" i="9"/>
  <c r="E34" i="9"/>
  <c r="H34" i="9" s="1"/>
  <c r="K34" i="9" s="1"/>
  <c r="Q34" i="9" s="1"/>
  <c r="U34" i="9"/>
  <c r="W34" i="9" s="1"/>
  <c r="Y34" i="9" s="1"/>
  <c r="T35" i="9"/>
  <c r="E33" i="9"/>
  <c r="H33" i="9" s="1"/>
  <c r="K33" i="9" s="1"/>
  <c r="Q33" i="9" s="1"/>
  <c r="R33" i="9" s="1"/>
  <c r="U33" i="9"/>
  <c r="W33" i="9" s="1"/>
  <c r="Y33" i="9" s="1"/>
  <c r="L47" i="9"/>
  <c r="M47" i="9" s="1"/>
  <c r="I47" i="9"/>
  <c r="V48" i="9"/>
  <c r="S48" i="9"/>
  <c r="B49" i="9"/>
  <c r="BG48" i="9"/>
  <c r="BD48" i="9" s="1"/>
  <c r="AS48" i="9"/>
  <c r="AP48" i="9" s="1"/>
  <c r="C48" i="9"/>
  <c r="F48" i="9" s="1"/>
  <c r="BA47" i="9"/>
  <c r="AZ47" i="9"/>
  <c r="AQ47" i="9" s="1"/>
  <c r="N47" i="9" s="1"/>
  <c r="AY47" i="9"/>
  <c r="BB47" i="9"/>
  <c r="AX47" i="9"/>
  <c r="AW47" i="9"/>
  <c r="AV47" i="9"/>
  <c r="AT47" i="9"/>
  <c r="AU48" i="9"/>
  <c r="Z28" i="9"/>
  <c r="AB28" i="9" s="1"/>
  <c r="X29" i="9"/>
  <c r="G44" i="9" l="1"/>
  <c r="J44" i="9" s="1"/>
  <c r="D45" i="9"/>
  <c r="E35" i="9"/>
  <c r="H35" i="9" s="1"/>
  <c r="K35" i="9" s="1"/>
  <c r="Q35" i="9" s="1"/>
  <c r="U35" i="9"/>
  <c r="W35" i="9" s="1"/>
  <c r="Y35" i="9" s="1"/>
  <c r="T36" i="9"/>
  <c r="T37" i="9" s="1"/>
  <c r="R34" i="9"/>
  <c r="Z29" i="9"/>
  <c r="AB29" i="9" s="1"/>
  <c r="X30" i="9"/>
  <c r="AA29" i="9"/>
  <c r="AA30" i="9" s="1"/>
  <c r="L48" i="9"/>
  <c r="M48" i="9" s="1"/>
  <c r="I48" i="9"/>
  <c r="V49" i="9"/>
  <c r="S49" i="9"/>
  <c r="B50" i="9"/>
  <c r="BG49" i="9"/>
  <c r="BD49" i="9" s="1"/>
  <c r="AS49" i="9"/>
  <c r="AP49" i="9" s="1"/>
  <c r="C49" i="9"/>
  <c r="F49" i="9" s="1"/>
  <c r="BA48" i="9"/>
  <c r="AZ48" i="9"/>
  <c r="AQ48" i="9" s="1"/>
  <c r="N48" i="9" s="1"/>
  <c r="AY48" i="9"/>
  <c r="BB48" i="9"/>
  <c r="AX48" i="9"/>
  <c r="AW48" i="9"/>
  <c r="AV48" i="9"/>
  <c r="AT48" i="9"/>
  <c r="AU49" i="9"/>
  <c r="G45" i="9" l="1"/>
  <c r="J45" i="9" s="1"/>
  <c r="D46" i="9"/>
  <c r="E37" i="9"/>
  <c r="H37" i="9" s="1"/>
  <c r="K37" i="9" s="1"/>
  <c r="Q37" i="9" s="1"/>
  <c r="U37" i="9"/>
  <c r="W37" i="9" s="1"/>
  <c r="Y37" i="9" s="1"/>
  <c r="T38" i="9"/>
  <c r="E36" i="9"/>
  <c r="H36" i="9" s="1"/>
  <c r="K36" i="9" s="1"/>
  <c r="Q36" i="9" s="1"/>
  <c r="U36" i="9"/>
  <c r="R35" i="9"/>
  <c r="L49" i="9"/>
  <c r="M49" i="9" s="1"/>
  <c r="I49" i="9"/>
  <c r="V50" i="9"/>
  <c r="S50" i="9"/>
  <c r="B51" i="9"/>
  <c r="C51" i="9" s="1"/>
  <c r="F51" i="9" s="1"/>
  <c r="BG50" i="9"/>
  <c r="BD50" i="9" s="1"/>
  <c r="AS50" i="9"/>
  <c r="AP50" i="9" s="1"/>
  <c r="C50" i="9"/>
  <c r="F50" i="9" s="1"/>
  <c r="AY49" i="9"/>
  <c r="AZ49" i="9"/>
  <c r="AQ49" i="9" s="1"/>
  <c r="N49" i="9" s="1"/>
  <c r="BA49" i="9"/>
  <c r="BB49" i="9"/>
  <c r="AX49" i="9"/>
  <c r="AW49" i="9"/>
  <c r="AV49" i="9"/>
  <c r="AT49" i="9"/>
  <c r="AU50" i="9"/>
  <c r="Z30" i="9"/>
  <c r="AB30" i="9" s="1"/>
  <c r="X31" i="9"/>
  <c r="G46" i="9" l="1"/>
  <c r="J46" i="9" s="1"/>
  <c r="D47" i="9"/>
  <c r="E38" i="9"/>
  <c r="H38" i="9" s="1"/>
  <c r="K38" i="9" s="1"/>
  <c r="Q38" i="9" s="1"/>
  <c r="U38" i="9"/>
  <c r="W38" i="9" s="1"/>
  <c r="Y38" i="9" s="1"/>
  <c r="T39" i="9"/>
  <c r="T40" i="9" s="1"/>
  <c r="W36" i="9"/>
  <c r="Y36" i="9" s="1"/>
  <c r="R36" i="9"/>
  <c r="R37" i="9" s="1"/>
  <c r="Z31" i="9"/>
  <c r="AB31" i="9" s="1"/>
  <c r="X32" i="9"/>
  <c r="AA31" i="9"/>
  <c r="AA32" i="9" s="1"/>
  <c r="L50" i="9"/>
  <c r="M50" i="9" s="1"/>
  <c r="I50" i="9"/>
  <c r="V51" i="9"/>
  <c r="S51" i="9"/>
  <c r="L51" i="9"/>
  <c r="M51" i="9" s="1"/>
  <c r="I51" i="9"/>
  <c r="AY50" i="9"/>
  <c r="BB50" i="9"/>
  <c r="BA50" i="9"/>
  <c r="AZ50" i="9"/>
  <c r="AQ50" i="9" s="1"/>
  <c r="N50" i="9" s="1"/>
  <c r="AX50" i="9"/>
  <c r="AW50" i="9"/>
  <c r="AV50" i="9"/>
  <c r="AT50" i="9"/>
  <c r="G47" i="9" l="1"/>
  <c r="J47" i="9" s="1"/>
  <c r="D48" i="9"/>
  <c r="E40" i="9"/>
  <c r="H40" i="9" s="1"/>
  <c r="K40" i="9" s="1"/>
  <c r="Q40" i="9" s="1"/>
  <c r="T41" i="9"/>
  <c r="U40" i="9"/>
  <c r="W40" i="9" s="1"/>
  <c r="E39" i="9"/>
  <c r="H39" i="9" s="1"/>
  <c r="K39" i="9" s="1"/>
  <c r="Q39" i="9" s="1"/>
  <c r="U39" i="9"/>
  <c r="R38" i="9"/>
  <c r="Z32" i="9"/>
  <c r="AB32" i="9" s="1"/>
  <c r="X33" i="9"/>
  <c r="AA33" i="9" s="1"/>
  <c r="G48" i="9" l="1"/>
  <c r="J48" i="9" s="1"/>
  <c r="D49" i="9"/>
  <c r="E41" i="9"/>
  <c r="H41" i="9" s="1"/>
  <c r="K41" i="9" s="1"/>
  <c r="Q41" i="9" s="1"/>
  <c r="T42" i="9"/>
  <c r="T43" i="9" s="1"/>
  <c r="U41" i="9"/>
  <c r="Y40" i="9"/>
  <c r="W39" i="9"/>
  <c r="Y39" i="9" s="1"/>
  <c r="R39" i="9"/>
  <c r="R40" i="9" s="1"/>
  <c r="R41" i="9" s="1"/>
  <c r="Z33" i="9"/>
  <c r="AB33" i="9" s="1"/>
  <c r="X34" i="9"/>
  <c r="AA34" i="9" s="1"/>
  <c r="G49" i="9" l="1"/>
  <c r="J49" i="9" s="1"/>
  <c r="D50" i="9"/>
  <c r="E43" i="9"/>
  <c r="H43" i="9" s="1"/>
  <c r="K43" i="9" s="1"/>
  <c r="Q43" i="9" s="1"/>
  <c r="T44" i="9"/>
  <c r="T45" i="9" s="1"/>
  <c r="U43" i="9"/>
  <c r="W43" i="9" s="1"/>
  <c r="W41" i="9"/>
  <c r="E42" i="9"/>
  <c r="H42" i="9" s="1"/>
  <c r="K42" i="9" s="1"/>
  <c r="Q42" i="9" s="1"/>
  <c r="U42" i="9"/>
  <c r="Y41" i="9"/>
  <c r="Z34" i="9"/>
  <c r="AB34" i="9" s="1"/>
  <c r="X35" i="9"/>
  <c r="AA35" i="9" s="1"/>
  <c r="E45" i="9" l="1"/>
  <c r="H45" i="9" s="1"/>
  <c r="K45" i="9" s="1"/>
  <c r="Q45" i="9" s="1"/>
  <c r="U45" i="9"/>
  <c r="W45" i="9" s="1"/>
  <c r="T46" i="9"/>
  <c r="G50" i="9"/>
  <c r="J50" i="9" s="1"/>
  <c r="D51" i="9"/>
  <c r="G51" i="9" s="1"/>
  <c r="J51" i="9" s="1"/>
  <c r="E44" i="9"/>
  <c r="H44" i="9" s="1"/>
  <c r="K44" i="9" s="1"/>
  <c r="Q44" i="9" s="1"/>
  <c r="U44" i="9"/>
  <c r="Y43" i="9"/>
  <c r="W42" i="9"/>
  <c r="Y42" i="9"/>
  <c r="R42" i="9"/>
  <c r="R43" i="9" s="1"/>
  <c r="R44" i="9" s="1"/>
  <c r="R45" i="9" s="1"/>
  <c r="Z35" i="9"/>
  <c r="AB35" i="9" s="1"/>
  <c r="X36" i="9"/>
  <c r="AA36" i="9" s="1"/>
  <c r="E46" i="9" l="1"/>
  <c r="H46" i="9" s="1"/>
  <c r="K46" i="9" s="1"/>
  <c r="Q46" i="9" s="1"/>
  <c r="U46" i="9"/>
  <c r="T47" i="9"/>
  <c r="Y45" i="9"/>
  <c r="W44" i="9"/>
  <c r="Y44" i="9"/>
  <c r="Z36" i="9"/>
  <c r="AB36" i="9" s="1"/>
  <c r="X37" i="9"/>
  <c r="AA37" i="9" s="1"/>
  <c r="E47" i="9" l="1"/>
  <c r="H47" i="9" s="1"/>
  <c r="K47" i="9" s="1"/>
  <c r="Q47" i="9" s="1"/>
  <c r="U47" i="9"/>
  <c r="W47" i="9" s="1"/>
  <c r="T48" i="9"/>
  <c r="W46" i="9"/>
  <c r="Y46" i="9"/>
  <c r="R46" i="9"/>
  <c r="Z37" i="9"/>
  <c r="AB37" i="9" s="1"/>
  <c r="X38" i="9"/>
  <c r="AA38" i="9" s="1"/>
  <c r="AA39" i="9" s="1"/>
  <c r="AA40" i="9" s="1"/>
  <c r="AA41" i="9" s="1"/>
  <c r="AA42" i="9" s="1"/>
  <c r="AA43" i="9" s="1"/>
  <c r="AA44" i="9" s="1"/>
  <c r="AA45" i="9" s="1"/>
  <c r="AA46" i="9" s="1"/>
  <c r="AA47" i="9" s="1"/>
  <c r="AA48" i="9" s="1"/>
  <c r="AA49" i="9" s="1"/>
  <c r="AA50" i="9" s="1"/>
  <c r="AA51" i="9" s="1"/>
  <c r="A5" i="9" s="1"/>
  <c r="R47" i="9" l="1"/>
  <c r="E48" i="9"/>
  <c r="H48" i="9" s="1"/>
  <c r="K48" i="9" s="1"/>
  <c r="Q48" i="9" s="1"/>
  <c r="U48" i="9"/>
  <c r="T49" i="9"/>
  <c r="Y47" i="9"/>
  <c r="Z38" i="9"/>
  <c r="AB38" i="9" s="1"/>
  <c r="X39" i="9"/>
  <c r="E49" i="9" l="1"/>
  <c r="H49" i="9" s="1"/>
  <c r="K49" i="9" s="1"/>
  <c r="Q49" i="9" s="1"/>
  <c r="U49" i="9"/>
  <c r="W49" i="9" s="1"/>
  <c r="T50" i="9"/>
  <c r="W48" i="9"/>
  <c r="Y48" i="9"/>
  <c r="R48" i="9"/>
  <c r="Z39" i="9"/>
  <c r="AB39" i="9" s="1"/>
  <c r="X40" i="9"/>
  <c r="R49" i="9" l="1"/>
  <c r="E50" i="9"/>
  <c r="H50" i="9" s="1"/>
  <c r="K50" i="9" s="1"/>
  <c r="Q50" i="9" s="1"/>
  <c r="U50" i="9"/>
  <c r="T51" i="9"/>
  <c r="Y49" i="9"/>
  <c r="X41" i="9"/>
  <c r="Z40" i="9"/>
  <c r="AB40" i="9" s="1"/>
  <c r="E51" i="9" l="1"/>
  <c r="H51" i="9" s="1"/>
  <c r="K51" i="9" s="1"/>
  <c r="Q51" i="9" s="1"/>
  <c r="U51" i="9"/>
  <c r="W51" i="9" s="1"/>
  <c r="W50" i="9"/>
  <c r="U52" i="9"/>
  <c r="Y50" i="9"/>
  <c r="Q52" i="9"/>
  <c r="I7" i="9" s="1"/>
  <c r="R50" i="9"/>
  <c r="X42" i="9"/>
  <c r="Z41" i="9"/>
  <c r="AB41" i="9" s="1"/>
  <c r="R51" i="9" l="1"/>
  <c r="AD52" i="9"/>
  <c r="C5" i="9"/>
  <c r="Y51" i="9"/>
  <c r="AA52" i="9" s="1"/>
  <c r="Y52" i="9"/>
  <c r="Z42" i="9"/>
  <c r="AB42" i="9" s="1"/>
  <c r="X43" i="9"/>
  <c r="AD53" i="9" l="1"/>
  <c r="S7" i="9"/>
  <c r="B5" i="9"/>
  <c r="X44" i="9"/>
  <c r="Z43" i="9"/>
  <c r="AB43" i="9" s="1"/>
  <c r="Z44" i="9" l="1"/>
  <c r="AB44" i="9" s="1"/>
  <c r="X45" i="9"/>
  <c r="X46" i="9" l="1"/>
  <c r="Z45" i="9"/>
  <c r="AB45" i="9" s="1"/>
  <c r="X47" i="9" l="1"/>
  <c r="Z46" i="9"/>
  <c r="AB46" i="9" s="1"/>
  <c r="X48" i="9" l="1"/>
  <c r="Z47" i="9"/>
  <c r="AB47" i="9" s="1"/>
  <c r="X49" i="9" l="1"/>
  <c r="Z48" i="9"/>
  <c r="AB48" i="9" s="1"/>
  <c r="X50" i="9" l="1"/>
  <c r="Z49" i="9"/>
  <c r="AB49" i="9" s="1"/>
  <c r="X51" i="9" l="1"/>
  <c r="Z51" i="9" s="1"/>
  <c r="AB51" i="9" s="1"/>
  <c r="Z50" i="9"/>
  <c r="AB50" i="9" s="1"/>
</calcChain>
</file>

<file path=xl/comments1.xml><?xml version="1.0" encoding="utf-8"?>
<comments xmlns="http://schemas.openxmlformats.org/spreadsheetml/2006/main">
  <authors>
    <author>Jaime Almaraz</author>
    <author>John Bannister</author>
  </authors>
  <commentList>
    <comment ref="F8" authorId="0">
      <text>
        <r>
          <rPr>
            <sz val="11"/>
            <color theme="1"/>
            <rFont val="Calibri"/>
            <family val="2"/>
            <scheme val="minor"/>
          </rPr>
          <t>J. Almaraz:
It is assumed that anything in $Year, or prior, are actual costs with no escalation required.</t>
        </r>
      </text>
    </comment>
    <comment ref="L8" authorId="0">
      <text>
        <r>
          <rPr>
            <sz val="11"/>
            <color theme="1"/>
            <rFont val="Calibri"/>
            <family val="2"/>
            <scheme val="minor"/>
          </rPr>
          <t>J. Almaraz:
It is assumed that anything in $Year, or prior, will be treated as cash and not financed.</t>
        </r>
      </text>
    </comment>
    <comment ref="AT8" authorId="0">
      <text>
        <r>
          <rPr>
            <sz val="11"/>
            <color theme="1"/>
            <rFont val="Calibri"/>
            <family val="2"/>
            <scheme val="minor"/>
          </rPr>
          <t>J. Almaraz:
Only Column with equivalent Borrowing term to Cell N4 is correct</t>
        </r>
      </text>
    </comment>
    <comment ref="S11" authorId="1">
      <text>
        <r>
          <rPr>
            <sz val="11"/>
            <color theme="1"/>
            <rFont val="Calibri"/>
            <family val="2"/>
            <scheme val="minor"/>
          </rPr>
          <t>Valenzuela, Jaime:
Shut down 3 square miles to build. Saving approximately 5,000 AFY due to shut down of SF areas. Shutdown water added back to water demand when MP Complete.</t>
        </r>
      </text>
    </comment>
  </commentList>
</comments>
</file>

<file path=xl/sharedStrings.xml><?xml version="1.0" encoding="utf-8"?>
<sst xmlns="http://schemas.openxmlformats.org/spreadsheetml/2006/main" count="3538" uniqueCount="697">
  <si>
    <t>Scenario</t>
  </si>
  <si>
    <t>BWF</t>
  </si>
  <si>
    <t>MWF</t>
  </si>
  <si>
    <t>Plover</t>
  </si>
  <si>
    <t>MSB</t>
  </si>
  <si>
    <t>Meadow</t>
  </si>
  <si>
    <t>Water Used 
(a-f/y)</t>
  </si>
  <si>
    <t>Hard Transition
Area (sq mi)</t>
  </si>
  <si>
    <t>Soft Transition
Area (sq mi)</t>
  </si>
  <si>
    <t>Groundwater Pumped (a-f/y)</t>
  </si>
  <si>
    <t>* Step 0 DCM assignments from "Anticipated 2017-2018 Dust Season Operation Designations" (letter to P. Kiddoo, 09/29/17)</t>
  </si>
  <si>
    <t>Base</t>
  </si>
  <si>
    <t xml:space="preserve"> - </t>
  </si>
  <si>
    <t>User input (analysis script must be run to update calculations)</t>
  </si>
  <si>
    <t>User input (workbook will update automatically)</t>
  </si>
  <si>
    <t>Analysis script output</t>
  </si>
  <si>
    <t>Workbook formula calculation</t>
  </si>
  <si>
    <t>Water</t>
  </si>
  <si>
    <t>Water Savings in Step (a-f/y) w/o GW</t>
  </si>
  <si>
    <t>Total Water Savings (a-f/y) w/o GW</t>
  </si>
  <si>
    <t>Water Saved in Step (a-f/y) with GW</t>
  </si>
  <si>
    <t>Total Water Saved (a-f/y) with GW</t>
  </si>
  <si>
    <t>DCA</t>
  </si>
  <si>
    <t>Area 
(ac)</t>
  </si>
  <si>
    <t>Area 
(sq mi)</t>
  </si>
  <si>
    <t>DWM</t>
  </si>
  <si>
    <t>Step 0*</t>
  </si>
  <si>
    <t>MP</t>
  </si>
  <si>
    <t>Step</t>
  </si>
  <si>
    <t>Transition Type</t>
  </si>
  <si>
    <t>Channel Area North</t>
  </si>
  <si>
    <t>ENV</t>
  </si>
  <si>
    <t>Channel Area South</t>
  </si>
  <si>
    <t>Corridor 1</t>
  </si>
  <si>
    <t>Gravel</t>
  </si>
  <si>
    <t>DuckPond-L2</t>
  </si>
  <si>
    <t>None</t>
  </si>
  <si>
    <t>Phase 8_a</t>
  </si>
  <si>
    <t>Phase 8_b</t>
  </si>
  <si>
    <t>T10-1_a</t>
  </si>
  <si>
    <t>SFP</t>
  </si>
  <si>
    <t>DWM_Dec</t>
  </si>
  <si>
    <t>DWM_Jan</t>
  </si>
  <si>
    <t>T10-1_b</t>
  </si>
  <si>
    <t>T10-1_c</t>
  </si>
  <si>
    <t>T10-1a</t>
  </si>
  <si>
    <t>T10-2N</t>
  </si>
  <si>
    <t>T10-2S</t>
  </si>
  <si>
    <t>SFL</t>
  </si>
  <si>
    <t>T10-3a</t>
  </si>
  <si>
    <t>T10-3E</t>
  </si>
  <si>
    <t>T10-3W</t>
  </si>
  <si>
    <t>Brine</t>
  </si>
  <si>
    <t>T11</t>
  </si>
  <si>
    <t>T1-1</t>
  </si>
  <si>
    <t>MWF and MSB</t>
  </si>
  <si>
    <t>T12-1</t>
  </si>
  <si>
    <t>Tillage</t>
  </si>
  <si>
    <t>T13-1_a</t>
  </si>
  <si>
    <t>T13-1_b</t>
  </si>
  <si>
    <t>T13-1 Addition_a</t>
  </si>
  <si>
    <t>T13-1 Addition_b</t>
  </si>
  <si>
    <t>T13-1 Addition_c</t>
  </si>
  <si>
    <t>T13-1 Addition_d</t>
  </si>
  <si>
    <t>T13-1 Addition_e</t>
  </si>
  <si>
    <t>T13-2</t>
  </si>
  <si>
    <t>T13-3_a</t>
  </si>
  <si>
    <t>T13-3_b</t>
  </si>
  <si>
    <t>T15</t>
  </si>
  <si>
    <t>T16_a</t>
  </si>
  <si>
    <t>T16_b</t>
  </si>
  <si>
    <t>T16_c</t>
  </si>
  <si>
    <t>T16_d</t>
  </si>
  <si>
    <t>T16_e</t>
  </si>
  <si>
    <t>T16_f</t>
  </si>
  <si>
    <t>T16_g</t>
  </si>
  <si>
    <t>T16_h</t>
  </si>
  <si>
    <t>T16_i</t>
  </si>
  <si>
    <t>T17-1</t>
  </si>
  <si>
    <t>DWM_Plovers</t>
  </si>
  <si>
    <t>T17-2</t>
  </si>
  <si>
    <t>T18-0</t>
  </si>
  <si>
    <t>T18N</t>
  </si>
  <si>
    <t>T18N Addition</t>
  </si>
  <si>
    <t>T18S_a</t>
  </si>
  <si>
    <t>T18S_b</t>
  </si>
  <si>
    <t>T1A-1</t>
  </si>
  <si>
    <t>Sand Fences</t>
  </si>
  <si>
    <t>T1A-2_a</t>
  </si>
  <si>
    <t>T1A-2_b</t>
  </si>
  <si>
    <t>T1A-2_c</t>
  </si>
  <si>
    <t>T1A-2_d</t>
  </si>
  <si>
    <t>T1A-2_e</t>
  </si>
  <si>
    <t>T1A-3_a</t>
  </si>
  <si>
    <t>T1A-3_b</t>
  </si>
  <si>
    <t>T1A-3_c</t>
  </si>
  <si>
    <t>T1A-4</t>
  </si>
  <si>
    <t>SFLS</t>
  </si>
  <si>
    <t>T20</t>
  </si>
  <si>
    <t>T2-1</t>
  </si>
  <si>
    <t>DWM_Oct</t>
  </si>
  <si>
    <t>T2-1 Addition</t>
  </si>
  <si>
    <t>T21-1</t>
  </si>
  <si>
    <t>T21-2</t>
  </si>
  <si>
    <t>T2-1b</t>
  </si>
  <si>
    <t>Veg 11</t>
  </si>
  <si>
    <t>T2-1c</t>
  </si>
  <si>
    <t>T21E</t>
  </si>
  <si>
    <t>T21W</t>
  </si>
  <si>
    <t>T22</t>
  </si>
  <si>
    <t>T2-2_a</t>
  </si>
  <si>
    <t>T2-2_b</t>
  </si>
  <si>
    <t>T2-3</t>
  </si>
  <si>
    <t>T23-5</t>
  </si>
  <si>
    <t>T23NE_a</t>
  </si>
  <si>
    <t>T23NE_b</t>
  </si>
  <si>
    <t>T23NE_c</t>
  </si>
  <si>
    <t>T23NE_d</t>
  </si>
  <si>
    <t>T23NW_a</t>
  </si>
  <si>
    <t>T23NW_b</t>
  </si>
  <si>
    <t>T23SE</t>
  </si>
  <si>
    <t>T23SW</t>
  </si>
  <si>
    <t>T24_a</t>
  </si>
  <si>
    <t>T24_b</t>
  </si>
  <si>
    <t>T2-4_a</t>
  </si>
  <si>
    <t>T2-4_b</t>
  </si>
  <si>
    <t>T2-4_c</t>
  </si>
  <si>
    <t>T24 Addition</t>
  </si>
  <si>
    <t>T2-5</t>
  </si>
  <si>
    <t>T25-3</t>
  </si>
  <si>
    <t>T25N</t>
  </si>
  <si>
    <t>T25S</t>
  </si>
  <si>
    <t>T26_a</t>
  </si>
  <si>
    <t>T26_b</t>
  </si>
  <si>
    <t>T27 Addition</t>
  </si>
  <si>
    <t>T27N</t>
  </si>
  <si>
    <t>T27S</t>
  </si>
  <si>
    <t>T28N_a</t>
  </si>
  <si>
    <t>T28N_b</t>
  </si>
  <si>
    <t>T28N_c</t>
  </si>
  <si>
    <t>T28N_d</t>
  </si>
  <si>
    <t>T28N_e</t>
  </si>
  <si>
    <t>T28N_f</t>
  </si>
  <si>
    <t>T28N_g</t>
  </si>
  <si>
    <t>T28N_h</t>
  </si>
  <si>
    <t>T28N_i</t>
  </si>
  <si>
    <t>T28S_a</t>
  </si>
  <si>
    <t>T28S_b</t>
  </si>
  <si>
    <t>T28S_c</t>
  </si>
  <si>
    <t>T28S_d</t>
  </si>
  <si>
    <t>T29-1</t>
  </si>
  <si>
    <t>T29-2_a</t>
  </si>
  <si>
    <t>T29-2_b</t>
  </si>
  <si>
    <t>T29-3</t>
  </si>
  <si>
    <t>T29-4_a</t>
  </si>
  <si>
    <t>T29-4_b</t>
  </si>
  <si>
    <t>T30-1_a</t>
  </si>
  <si>
    <t>Breeding Waterfowl &amp; Meadow</t>
  </si>
  <si>
    <t>T30-1_b</t>
  </si>
  <si>
    <t>T30-1_c</t>
  </si>
  <si>
    <t>T30-2</t>
  </si>
  <si>
    <t>T30-3</t>
  </si>
  <si>
    <t>T32-1_a</t>
  </si>
  <si>
    <t>T32-1_b</t>
  </si>
  <si>
    <t>T32-2</t>
  </si>
  <si>
    <t>T35-1</t>
  </si>
  <si>
    <t>T35-2</t>
  </si>
  <si>
    <t>T35-3</t>
  </si>
  <si>
    <t>T36-1E_a</t>
  </si>
  <si>
    <t>T36-1E_b</t>
  </si>
  <si>
    <t>T36-1W_a</t>
  </si>
  <si>
    <t>T36-1W_b</t>
  </si>
  <si>
    <t>T36-2E</t>
  </si>
  <si>
    <t>T36-2W_a</t>
  </si>
  <si>
    <t>T36-2W_b</t>
  </si>
  <si>
    <t>T36-3 Addition</t>
  </si>
  <si>
    <t>T36-3E</t>
  </si>
  <si>
    <t>T36-3W</t>
  </si>
  <si>
    <t>T37-1</t>
  </si>
  <si>
    <t>T37-1a</t>
  </si>
  <si>
    <t>T37-2_a</t>
  </si>
  <si>
    <t>T37-2_b</t>
  </si>
  <si>
    <t>T37-2_c</t>
  </si>
  <si>
    <t>T37-2a</t>
  </si>
  <si>
    <t>T37-2b</t>
  </si>
  <si>
    <t>T37-2c</t>
  </si>
  <si>
    <t>T37-2d</t>
  </si>
  <si>
    <t>T3NE_a</t>
  </si>
  <si>
    <t>T3NE_b</t>
  </si>
  <si>
    <t>T3SE</t>
  </si>
  <si>
    <t>T3SE Addition</t>
  </si>
  <si>
    <t>T3SW</t>
  </si>
  <si>
    <t>T4-3</t>
  </si>
  <si>
    <t>T4-3 Addition</t>
  </si>
  <si>
    <t>T4-4</t>
  </si>
  <si>
    <t>T4-5</t>
  </si>
  <si>
    <t>T5-1</t>
  </si>
  <si>
    <t>T5-1 Addition</t>
  </si>
  <si>
    <t>Veg 08</t>
  </si>
  <si>
    <t>T5-2</t>
  </si>
  <si>
    <t>T5-3</t>
  </si>
  <si>
    <t>T5-3 Addition</t>
  </si>
  <si>
    <t>T5-3B</t>
  </si>
  <si>
    <t>T5-3C</t>
  </si>
  <si>
    <t>T5-4</t>
  </si>
  <si>
    <t>T5-4B</t>
  </si>
  <si>
    <t>T5-4C</t>
  </si>
  <si>
    <t>T5-4D</t>
  </si>
  <si>
    <t>T5-5A</t>
  </si>
  <si>
    <t>T5-5D</t>
  </si>
  <si>
    <t>T5-6A</t>
  </si>
  <si>
    <t>T5-6B</t>
  </si>
  <si>
    <t>T5-6C</t>
  </si>
  <si>
    <t>T5-6D</t>
  </si>
  <si>
    <t>T5-7A</t>
  </si>
  <si>
    <t>T5-7B</t>
  </si>
  <si>
    <t>T5-7D</t>
  </si>
  <si>
    <t>T6-4C</t>
  </si>
  <si>
    <t>T6-4D</t>
  </si>
  <si>
    <t>T6-5A</t>
  </si>
  <si>
    <t>T6-5B</t>
  </si>
  <si>
    <t>T6-5C</t>
  </si>
  <si>
    <t>T6-5D</t>
  </si>
  <si>
    <t>T6-6A</t>
  </si>
  <si>
    <t>T6-6B</t>
  </si>
  <si>
    <t>T6-6C</t>
  </si>
  <si>
    <t>T6-6D</t>
  </si>
  <si>
    <t>T6-7A</t>
  </si>
  <si>
    <t>T6-7B</t>
  </si>
  <si>
    <t>T6-7C</t>
  </si>
  <si>
    <t>T6-7D</t>
  </si>
  <si>
    <t>T7-4A</t>
  </si>
  <si>
    <t>T7-4C</t>
  </si>
  <si>
    <t>T7-4D</t>
  </si>
  <si>
    <t>T7-5A</t>
  </si>
  <si>
    <t>T7-5B</t>
  </si>
  <si>
    <t>T7-5C</t>
  </si>
  <si>
    <t>T7-5D</t>
  </si>
  <si>
    <t>T7-6A</t>
  </si>
  <si>
    <t>T7-6B</t>
  </si>
  <si>
    <t>T7-6C</t>
  </si>
  <si>
    <t>T7-6D</t>
  </si>
  <si>
    <t>T7-7A</t>
  </si>
  <si>
    <t>T7-7B</t>
  </si>
  <si>
    <t>T7-7C</t>
  </si>
  <si>
    <t>T7-7D</t>
  </si>
  <si>
    <t>T8-3A</t>
  </si>
  <si>
    <t>T8-3B</t>
  </si>
  <si>
    <t>T8-4A</t>
  </si>
  <si>
    <t>T8-4B</t>
  </si>
  <si>
    <t>T8-4C</t>
  </si>
  <si>
    <t>T8-4D</t>
  </si>
  <si>
    <t>T8-5A</t>
  </si>
  <si>
    <t>T8-5B</t>
  </si>
  <si>
    <t>T8-5C</t>
  </si>
  <si>
    <t>T8-5D</t>
  </si>
  <si>
    <t>T8-6A</t>
  </si>
  <si>
    <t>T8-6B</t>
  </si>
  <si>
    <t>T8-6C</t>
  </si>
  <si>
    <t>T8-6D</t>
  </si>
  <si>
    <t>T8W</t>
  </si>
  <si>
    <t>T9</t>
  </si>
  <si>
    <t>User Input</t>
  </si>
  <si>
    <t>Sheet Calculation</t>
  </si>
  <si>
    <t>Cumulative Step Capital Reference Table - used in "Step" sheet calculations - automatically generated, do not alter</t>
  </si>
  <si>
    <t>Master Project</t>
  </si>
  <si>
    <t>Project Phase</t>
  </si>
  <si>
    <t>COST PER YEAR (Fiscal Year Ending)</t>
  </si>
  <si>
    <t>CE</t>
  </si>
  <si>
    <t>Total</t>
  </si>
  <si>
    <t>Step 1</t>
  </si>
  <si>
    <t>Labor</t>
  </si>
  <si>
    <t>Estimated Construction Cost:</t>
  </si>
  <si>
    <t>Planning</t>
  </si>
  <si>
    <t xml:space="preserve">Sq. Miles: </t>
  </si>
  <si>
    <t>Construction</t>
  </si>
  <si>
    <t>Comment:</t>
  </si>
  <si>
    <t>Design</t>
  </si>
  <si>
    <t>Construction Management</t>
  </si>
  <si>
    <t>Materials/ Misc</t>
  </si>
  <si>
    <t>Cumulative MP-Owned O&amp;M - used in "Step" sheet calculations - automatically generated, do not alter</t>
  </si>
  <si>
    <t>Step 1 Subtotals</t>
  </si>
  <si>
    <t>Year Step 1 MP O&amp;M Added</t>
  </si>
  <si>
    <t>Step 2</t>
  </si>
  <si>
    <t>Sq. Miles:</t>
  </si>
  <si>
    <t>Materials</t>
  </si>
  <si>
    <t>Step 2 Subtotals</t>
  </si>
  <si>
    <t>Year Step 2 MP O&amp;M Added</t>
  </si>
  <si>
    <t>Step 3</t>
  </si>
  <si>
    <t>Step 3 Subtotals</t>
  </si>
  <si>
    <t>Year Step 3 MP O&amp;M Added</t>
  </si>
  <si>
    <t>Step 4</t>
  </si>
  <si>
    <t>Step 4 Subtotals</t>
  </si>
  <si>
    <t>Year Step 4 MP O&amp;M Added</t>
  </si>
  <si>
    <t>Step 5</t>
  </si>
  <si>
    <t>Step 5 Subtotals</t>
  </si>
  <si>
    <t>Year Step 5 MP O&amp;M Added</t>
  </si>
  <si>
    <t>CAPITAL SUBTOTAL BY FISCAL YEAR</t>
  </si>
  <si>
    <t xml:space="preserve">Cumulative Capital Cost Total </t>
  </si>
  <si>
    <t>CE Code</t>
  </si>
  <si>
    <t>OWENS LAKE EFFECIENCY MEASURES</t>
  </si>
  <si>
    <t>ADDITIONS AND BETTERMENTS</t>
  </si>
  <si>
    <t>Professional Services</t>
  </si>
  <si>
    <t>OLSAP</t>
  </si>
  <si>
    <t>Groundwater Well Drilling &amp;
Data Gathering</t>
  </si>
  <si>
    <t>SFWCRFT</t>
  </si>
  <si>
    <t>Regulatory Fines</t>
  </si>
  <si>
    <t>Other Direct - Fines</t>
  </si>
  <si>
    <t>T13</t>
  </si>
  <si>
    <t>Professional Services-Design</t>
  </si>
  <si>
    <t>T5-1 Add</t>
  </si>
  <si>
    <t>Professional Services - Design</t>
  </si>
  <si>
    <t xml:space="preserve">Materials  </t>
  </si>
  <si>
    <t>Subcommittees</t>
  </si>
  <si>
    <t>Profession Srvcs-Science</t>
  </si>
  <si>
    <t>Soil Binder Study</t>
  </si>
  <si>
    <t>Professional Srvcs - Science</t>
  </si>
  <si>
    <t>GIS and As-Builts</t>
  </si>
  <si>
    <t>Science Contract</t>
  </si>
  <si>
    <t>Tribal Consultations and Monitoring</t>
  </si>
  <si>
    <t>SCADA</t>
  </si>
  <si>
    <t>Brine Study</t>
  </si>
  <si>
    <t>TWB2 Infrastructure</t>
  </si>
  <si>
    <t>Satellite Imagery</t>
  </si>
  <si>
    <t>Agency Payments</t>
  </si>
  <si>
    <t>State Lands</t>
  </si>
  <si>
    <t>Other Outside Services</t>
  </si>
  <si>
    <t>GBUAPCD</t>
  </si>
  <si>
    <t>Gravel Contract</t>
  </si>
  <si>
    <t>Total Cost:</t>
  </si>
  <si>
    <t>Owens Lake Spare Parts (IFB 693)</t>
  </si>
  <si>
    <t>Irrigation System Materials (IFB 661)</t>
  </si>
  <si>
    <t>Seeding Materials (IFB 761)</t>
  </si>
  <si>
    <t>SUBTOTAL BY FISCAL YEAR</t>
  </si>
  <si>
    <t>Analysis Variables</t>
  </si>
  <si>
    <t>Hard Transition Limit</t>
  </si>
  <si>
    <t>square miles (per step)</t>
  </si>
  <si>
    <t>Soft Transition Limit</t>
  </si>
  <si>
    <t>Habitat Area Targets</t>
  </si>
  <si>
    <t>decimal % of Base case area</t>
  </si>
  <si>
    <t>bw</t>
  </si>
  <si>
    <t>mw</t>
  </si>
  <si>
    <t>pl</t>
  </si>
  <si>
    <t>ms</t>
  </si>
  <si>
    <t>md</t>
  </si>
  <si>
    <t>Soft Transition DCMS</t>
  </si>
  <si>
    <t>Waterless DCM Preference List</t>
  </si>
  <si>
    <t>Notes:</t>
  </si>
  <si>
    <t>1st choice</t>
  </si>
  <si>
    <t>Lowest capital cost, highest maintenance cost.</t>
  </si>
  <si>
    <t>2nd choice</t>
  </si>
  <si>
    <t>Limited by soil capacity (not viable close to brine pool).</t>
  </si>
  <si>
    <t>3rd choice</t>
  </si>
  <si>
    <t>More durable, long-term control measure. Supply limited.</t>
  </si>
  <si>
    <t>Till-Brine</t>
  </si>
  <si>
    <t>4th choice</t>
  </si>
  <si>
    <t xml:space="preserve">Dummy DCM, already accounted for as separate Tillage and Brine DCMs. Kept in this list for consistency with Step 0 assignments. </t>
  </si>
  <si>
    <t>Hardwired Contrainst (written into code):</t>
  </si>
  <si>
    <t>DCM List</t>
  </si>
  <si>
    <t>Channel areas locked to ENV - not in TDCA</t>
  </si>
  <si>
    <t>Nothing ENV except for Channel Areas</t>
  </si>
  <si>
    <t>No additional sand fences allowed (besides existing T1A-1)</t>
  </si>
  <si>
    <t>Current areas defined as habitat should reamin unchanged.</t>
  </si>
  <si>
    <t>All DCAs under waterless DCM in Step 0 should be kept as-is.</t>
  </si>
  <si>
    <t>All DCAs must be under dust control - no "None" DCMs allowed</t>
  </si>
  <si>
    <t>Meadow is hard to establish, don't add Meadow, only remove</t>
  </si>
  <si>
    <t xml:space="preserve">Till-Brine is a bastard DCM, do not allow. </t>
  </si>
  <si>
    <t>DCM Constraints</t>
  </si>
  <si>
    <t>(DCMs NOT allowed)</t>
  </si>
  <si>
    <t>Ops Comments</t>
  </si>
  <si>
    <t>T10-1SF</t>
  </si>
  <si>
    <t>tillage,gravel,veg,S.F lats</t>
  </si>
  <si>
    <t>T10-1A</t>
  </si>
  <si>
    <t>veg,gravel,S.F lats, tillage,brine</t>
  </si>
  <si>
    <t>T10-2 Pond Post DWM</t>
  </si>
  <si>
    <t>veg</t>
  </si>
  <si>
    <t>T10-3 Pond (East)</t>
  </si>
  <si>
    <t>T10-3 Brine (West)</t>
  </si>
  <si>
    <t>T13-1 Add.</t>
  </si>
  <si>
    <t>tillage,gravel,veg,S.F lats,brine</t>
  </si>
  <si>
    <t>T13-1SF</t>
  </si>
  <si>
    <t>tillage,gravel</t>
  </si>
  <si>
    <t>T13-1 POND</t>
  </si>
  <si>
    <t>T16 Original Large Pond</t>
  </si>
  <si>
    <t>T17-1&amp;-2SF</t>
  </si>
  <si>
    <t>S.F lats,gravel,tillage,brine, veg</t>
  </si>
  <si>
    <t>T18S - Brine</t>
  </si>
  <si>
    <t>veg,gravel</t>
  </si>
  <si>
    <t>Veg</t>
  </si>
  <si>
    <t xml:space="preserve">T23E </t>
  </si>
  <si>
    <t>T23W</t>
  </si>
  <si>
    <t xml:space="preserve">T2-4 POND </t>
  </si>
  <si>
    <t>veg, tillage</t>
  </si>
  <si>
    <t>T25</t>
  </si>
  <si>
    <t>T26</t>
  </si>
  <si>
    <t>tillage</t>
  </si>
  <si>
    <t>T27Add</t>
  </si>
  <si>
    <t>veg,tillage,gravel,S.F lats,S.F sprinklers</t>
  </si>
  <si>
    <t>T27 only</t>
  </si>
  <si>
    <t>T28-1</t>
  </si>
  <si>
    <t>T28-2</t>
  </si>
  <si>
    <t>T29-2</t>
  </si>
  <si>
    <t>tillage,veg</t>
  </si>
  <si>
    <t>T29-4</t>
  </si>
  <si>
    <t>Already brine - no tillage,veg</t>
  </si>
  <si>
    <t>T30-1SF</t>
  </si>
  <si>
    <t>T36-1 MV/SF SPRINKLER</t>
  </si>
  <si>
    <t>T36-1 POND</t>
  </si>
  <si>
    <t>T36-2 Brine</t>
  </si>
  <si>
    <t>Already Brine - tillage,veg</t>
  </si>
  <si>
    <t xml:space="preserve">T36-2 POND </t>
  </si>
  <si>
    <t>T36-3 Post Brine&amp;Addition</t>
  </si>
  <si>
    <t>T37-2 Laterals inc MV trans</t>
  </si>
  <si>
    <t>veg,S.F lats</t>
  </si>
  <si>
    <t>T37-2A Laterals</t>
  </si>
  <si>
    <t>veg,S.F lats,tillage</t>
  </si>
  <si>
    <t>T37-2B Pond</t>
  </si>
  <si>
    <t>veg,S.F lats,tillage,gravel</t>
  </si>
  <si>
    <t>T37-2C Pond</t>
  </si>
  <si>
    <t>T37-2D Laterals</t>
  </si>
  <si>
    <t>T3SE ADD (inc all SF)</t>
  </si>
  <si>
    <t>Tillage, Gravel, Veg, Brine</t>
  </si>
  <si>
    <t>T5-1SF</t>
  </si>
  <si>
    <t>Gravel, Tillage, Brine</t>
  </si>
  <si>
    <t>T5-1SF Addition</t>
  </si>
  <si>
    <t>Ponds, SF Lats, Sprinklers, Brine, Traditional MV</t>
  </si>
  <si>
    <t>T5-2SF</t>
  </si>
  <si>
    <t>T5-3SF</t>
  </si>
  <si>
    <t>Veg, Tillage</t>
  </si>
  <si>
    <t>T5-3-2</t>
  </si>
  <si>
    <t>Gravel, Tillage, Veg</t>
  </si>
  <si>
    <t>T5-3-3</t>
  </si>
  <si>
    <t>gravel,tillage,veg</t>
  </si>
  <si>
    <t>Step Constraints</t>
  </si>
  <si>
    <t>(Steps where change NOT allowed)</t>
  </si>
  <si>
    <t>Phase 7a, 9/10 areas: only allow change in steps 4 or 5</t>
  </si>
  <si>
    <t>Allow for all of the T37-2 DCA's constructed during phase 7a and 9/10 to be changed starting with step 2.</t>
  </si>
  <si>
    <t>T18S: only allow change in step 1</t>
  </si>
  <si>
    <t>DCM</t>
  </si>
  <si>
    <t>BW</t>
  </si>
  <si>
    <t>MW</t>
  </si>
  <si>
    <t>Pl</t>
  </si>
  <si>
    <t>MS</t>
  </si>
  <si>
    <t>Md</t>
  </si>
  <si>
    <t>Water (f/y)</t>
  </si>
  <si>
    <t xml:space="preserve">Habitat value and water demand exceptions from Generic Values, for DCA/DCM/Step0 combinations. The source data for these exceptions was taken from JD workbook, sheets 'Base_20171129', 'DWM', and 'SiteHSV'. 
#N/A values indicate that there is no exception assignment for that column (i.e. Water) for that combination, and will cause the formulas in MP_new to revert to the generic values for those columns. </t>
  </si>
  <si>
    <t>base</t>
  </si>
  <si>
    <t>T13-2N</t>
  </si>
  <si>
    <t>T13-2S</t>
  </si>
  <si>
    <t>dwm</t>
  </si>
  <si>
    <t>step0</t>
  </si>
  <si>
    <t>Custom water duties for T16 habitat ponds from Jason Olin email 04/05/2018</t>
  </si>
  <si>
    <t>Note on T16: T16 pond water duties from Jason Olin are for pond acreage only, not aggregate over entire DCA</t>
  </si>
  <si>
    <t>Factor T16 water duties to reflect pond portion of approximately 300 acres ponds / 1100 acres dry.</t>
  </si>
  <si>
    <t xml:space="preserve">T16 factor = </t>
  </si>
  <si>
    <t>T3SE Add</t>
  </si>
  <si>
    <t>Generic habitat value and water demand by MP DCM designation.</t>
  </si>
  <si>
    <t>Habitat factors (% of area)
generated as average of Base Case habitat values for each DCM</t>
  </si>
  <si>
    <t>color = 
source</t>
  </si>
  <si>
    <t xml:space="preserve">Habitat factors and Water values
Copied from John Dickey workbook sheet 'WD_HV_gen'. </t>
  </si>
  <si>
    <t>Water duties from Jason Olin (email 04/05/18)</t>
  </si>
  <si>
    <t>MP_id</t>
  </si>
  <si>
    <t>Desc</t>
  </si>
  <si>
    <t xml:space="preserve">Shallow Flood Pond </t>
  </si>
  <si>
    <t>Shallow Flood Lateral</t>
  </si>
  <si>
    <t>yes</t>
  </si>
  <si>
    <t>Managed Vegetation (2008)</t>
  </si>
  <si>
    <t>Sprinkler Shallow Flood</t>
  </si>
  <si>
    <t>no</t>
  </si>
  <si>
    <t>Managed Vegetation (2011)</t>
  </si>
  <si>
    <t>Drip Tube Managed Veg</t>
  </si>
  <si>
    <t>Enhanced Native Vegetation</t>
  </si>
  <si>
    <t>Sprinkler Managed Veg</t>
  </si>
  <si>
    <t>normal operating conditions, estblishment is higher water use</t>
  </si>
  <si>
    <t>Ponds</t>
  </si>
  <si>
    <t xml:space="preserve">Note: "Ponds" and "Habitat Ponds" water duties are considered to be aggregate values for entire DCA. </t>
  </si>
  <si>
    <t>Dynamic Water Management, January start</t>
  </si>
  <si>
    <t>Habitat Ponds</t>
  </si>
  <si>
    <t>Dynamic Water Management, October start</t>
  </si>
  <si>
    <t>T16 Habitat Ponds</t>
  </si>
  <si>
    <t>Note: "T16 Habitat Pond" water duties are considered to be specific to actual pond acreage (and will be adjusted for each HDCM). These will go into the custom sheet for MP steps</t>
  </si>
  <si>
    <t>Dynamic Water Management, December start</t>
  </si>
  <si>
    <t>Breeding Waterfowl</t>
  </si>
  <si>
    <t>Migrating Waterfowl</t>
  </si>
  <si>
    <t>SNPL_realistic</t>
  </si>
  <si>
    <t>Snowy Plover</t>
  </si>
  <si>
    <t>SNPL_with gravel</t>
  </si>
  <si>
    <t>Snowy Plover w/ Gravel</t>
  </si>
  <si>
    <t>Migrating Shorebirds</t>
  </si>
  <si>
    <t>Migrating Waterfowl &amp; Migrating Shorebirds</t>
  </si>
  <si>
    <t>MSB and SNPL</t>
  </si>
  <si>
    <t>Migrating Shorebirds &amp; Snowy Plover</t>
  </si>
  <si>
    <t>MSB and SNPL_gravel</t>
  </si>
  <si>
    <t>Migrating Shorebirds &amp; Snowy Plover w/ Gravel</t>
  </si>
  <si>
    <t>MSB and SNPL_gravel_MWF</t>
  </si>
  <si>
    <t>Migrating Shorebirds &amp; Snowy Plover w/ Gravel &amp; Migrating Waterfowl</t>
  </si>
  <si>
    <t>MWF and SNPL</t>
  </si>
  <si>
    <t>Migrating Waterfowl &amp; Snowy Plover</t>
  </si>
  <si>
    <t>MWF and SNPL_with gravel</t>
  </si>
  <si>
    <t>Migrating Waterfowl &amp; Snowy Plover w/ Gravel</t>
  </si>
  <si>
    <t>DWM_Dust Control</t>
  </si>
  <si>
    <t>Dynamic Water Management, January start &amp; Snowy Plover</t>
  </si>
  <si>
    <t>DWM_Spring_only</t>
  </si>
  <si>
    <t>Shallow Flood Sprinklers</t>
  </si>
  <si>
    <t>Note: in general case, waterless DCMs have no habitat value. In a few specific instances in Base case, some DCAs under waterless DCMs had habitat (see "Custom HV and WD" sheet).</t>
  </si>
  <si>
    <t>step</t>
  </si>
  <si>
    <t>start</t>
  </si>
  <si>
    <t>complete</t>
  </si>
  <si>
    <t>dust_dcm</t>
  </si>
  <si>
    <t>capital/SM</t>
  </si>
  <si>
    <t>om/SM-Y</t>
  </si>
  <si>
    <t>mp_name</t>
  </si>
  <si>
    <t>desc</t>
  </si>
  <si>
    <t>hab_id</t>
  </si>
  <si>
    <t>O&amp;M Estimates fopr 2017/2018(from email from J. Valenzuela, 05/01/18)</t>
  </si>
  <si>
    <t>Traditional Shallow Flood</t>
  </si>
  <si>
    <t>BWF&amp;MDW</t>
  </si>
  <si>
    <t>Habitat DCM</t>
  </si>
  <si>
    <t>SIP DCM</t>
  </si>
  <si>
    <t>Step 0 (sq mi)</t>
  </si>
  <si>
    <t>% of O&amp;M</t>
  </si>
  <si>
    <t>O&amp;M Cost ($ million)</t>
  </si>
  <si>
    <t>O&amp;M Cost ($ million / sq. mi.)</t>
  </si>
  <si>
    <t>Brine with BACM Backup</t>
  </si>
  <si>
    <t>Managed Vegetation Farm</t>
  </si>
  <si>
    <t xml:space="preserve">Breeding Waterfowl </t>
  </si>
  <si>
    <t>Managed Vegetation Phase 7a, 9 and 10</t>
  </si>
  <si>
    <t>Dynamic Water Management - DEC</t>
  </si>
  <si>
    <t>Dynamic Water Management - Dust Control</t>
  </si>
  <si>
    <t>Dynamic Water Management - JAN</t>
  </si>
  <si>
    <t>Tillage with BACM Backup</t>
  </si>
  <si>
    <t>Dynamic Water Management - OCT</t>
  </si>
  <si>
    <t>Channel Areas Reduced MDCE BACM</t>
  </si>
  <si>
    <t>Dynamic Water Management - Plovers</t>
  </si>
  <si>
    <t xml:space="preserve"> DWM_Plovers</t>
  </si>
  <si>
    <t>Dynamic Water Management - Spring Plovers</t>
  </si>
  <si>
    <t>Enhanced native vegetation</t>
  </si>
  <si>
    <t>see O&amp;M calculations at end of sheet ------&gt;</t>
  </si>
  <si>
    <t>GR</t>
  </si>
  <si>
    <t>capital, om and replacement costs in $ million / square mile</t>
  </si>
  <si>
    <t>lifespan in years</t>
  </si>
  <si>
    <t>Shorebirds</t>
  </si>
  <si>
    <t>Shorebirds Plus</t>
  </si>
  <si>
    <t>Cell Color-Coding</t>
  </si>
  <si>
    <t>Migratory Waterfowl</t>
  </si>
  <si>
    <t>Migratory Waterfowl Plus</t>
  </si>
  <si>
    <t>No DCM</t>
  </si>
  <si>
    <t>SAF</t>
  </si>
  <si>
    <t>Shallow Flood Lateral with shoulder</t>
  </si>
  <si>
    <t>TL</t>
  </si>
  <si>
    <t>TB</t>
  </si>
  <si>
    <t>MV</t>
  </si>
  <si>
    <t>MVN</t>
  </si>
  <si>
    <t>Total Area under SIP DCM and MP Habitat (square miles).</t>
  </si>
  <si>
    <t>FY</t>
  </si>
  <si>
    <t>Thru Step 0
(sq. miles)</t>
  </si>
  <si>
    <t>Thru Step 1
(sq. miles)</t>
  </si>
  <si>
    <t>Thru Step 2
(sq. miles)</t>
  </si>
  <si>
    <t>Thru Step 3
(sq. miles)</t>
  </si>
  <si>
    <t>Thru Step 4
(sq. miles)</t>
  </si>
  <si>
    <t>Full Master Project
(sq. miles)</t>
  </si>
  <si>
    <t>Master Project Habitat</t>
  </si>
  <si>
    <t>Thru Step 0
(acres)</t>
  </si>
  <si>
    <t>Thru Step 1
(acres)</t>
  </si>
  <si>
    <t>Thru Step 2
(acres)</t>
  </si>
  <si>
    <t>Thru Step 3
(acres)</t>
  </si>
  <si>
    <t>Thru Step 4
(acres)</t>
  </si>
  <si>
    <t>Full Master Project
(acres)</t>
  </si>
  <si>
    <t>total</t>
  </si>
  <si>
    <t>Construction Cost Per Step ($Millions)</t>
  </si>
  <si>
    <t>Step 0 ($M)</t>
  </si>
  <si>
    <t>Step 1 ($M)</t>
  </si>
  <si>
    <t>Step 2 ($M)</t>
  </si>
  <si>
    <t>Step 3 ($M)</t>
  </si>
  <si>
    <t>Step 4 ($M)</t>
  </si>
  <si>
    <t>Step 5 ($M)</t>
  </si>
  <si>
    <t xml:space="preserve">  - </t>
  </si>
  <si>
    <t>Total Construction Cost ($Millions)</t>
  </si>
  <si>
    <t>MP O&amp;M Change ($Millions/year)</t>
  </si>
  <si>
    <t>Step 0 ($M/y)</t>
  </si>
  <si>
    <t>Step 1 ($M/y)</t>
  </si>
  <si>
    <t>Step 2 ($M/y)</t>
  </si>
  <si>
    <t>Step 3 ($M/y)</t>
  </si>
  <si>
    <t>Step 4 ($M/y)</t>
  </si>
  <si>
    <t>Step 5 ($M/y)</t>
  </si>
  <si>
    <t>MP Areas New O&amp;M (Total) ($M/y)</t>
  </si>
  <si>
    <t>Lakewide Net O&amp;M Change ($M/y)</t>
  </si>
  <si>
    <t>O&amp;M Breakdown by Step</t>
  </si>
  <si>
    <t>MP Owned O&amp;M
(by step)</t>
  </si>
  <si>
    <t>MP Owned O&amp;M
(cumulative)</t>
  </si>
  <si>
    <t>Outside MP O&amp;M</t>
  </si>
  <si>
    <t>Projected Costs and Revenues Through Step</t>
  </si>
  <si>
    <t>Scenario Assumptions</t>
  </si>
  <si>
    <t>Net Present Value (NPV)</t>
  </si>
  <si>
    <t>Cost Escalation Rate</t>
  </si>
  <si>
    <t>Financing</t>
  </si>
  <si>
    <t>LRP Incentive</t>
  </si>
  <si>
    <t>Avoided MWD Cost</t>
  </si>
  <si>
    <t>Pumping Cost</t>
  </si>
  <si>
    <t>2018 NPV Benefit
($Million)</t>
  </si>
  <si>
    <t>$/AF for Water Saved during Project Lifespan</t>
  </si>
  <si>
    <t xml:space="preserve">Year of Cost
Projection </t>
  </si>
  <si>
    <t>Project
Starting Year</t>
  </si>
  <si>
    <t>NPV
Year</t>
  </si>
  <si>
    <t>Discount 
Rate</t>
  </si>
  <si>
    <t>Capital</t>
  </si>
  <si>
    <t>O&amp;M</t>
  </si>
  <si>
    <t>Pumping</t>
  </si>
  <si>
    <t>% of Capital 
Financed</t>
  </si>
  <si>
    <t>Term
(Years)</t>
  </si>
  <si>
    <t>Borrowing
Rate</t>
  </si>
  <si>
    <t>Incentive Qualifying</t>
  </si>
  <si>
    <t>Incentive
($/Acre-Ft)</t>
  </si>
  <si>
    <t>Payment Option
(Years)</t>
  </si>
  <si>
    <t>MWD Tier 1 Water Rate</t>
  </si>
  <si>
    <t>Long Term 
Rate Increase</t>
  </si>
  <si>
    <t>Applicable
?</t>
  </si>
  <si>
    <t>Pumping Cost ($/acre-ft)</t>
  </si>
  <si>
    <t>Water rates from email from J. Valenzuela, July 9, 2018.</t>
  </si>
  <si>
    <t>No</t>
  </si>
  <si>
    <t>Yes</t>
  </si>
  <si>
    <t>Projected Annual Cost 
Escalated Values
($Million)</t>
  </si>
  <si>
    <t>LADWP 
Rate of Return</t>
  </si>
  <si>
    <t>Rate Used in Analysis</t>
  </si>
  <si>
    <t>MWD Water Rates</t>
  </si>
  <si>
    <t>Financing Costs 
used in Analysis</t>
  </si>
  <si>
    <t>Financing Costs
(Note- only correct column is one with Cell J5 Borrowing Term)</t>
  </si>
  <si>
    <t>LRP Incentive
used in Analysis</t>
  </si>
  <si>
    <t xml:space="preserve">LRP Subsidy </t>
  </si>
  <si>
    <t>Project Lifespan</t>
  </si>
  <si>
    <t>FYE</t>
  </si>
  <si>
    <t>Total Capital</t>
  </si>
  <si>
    <t>MP-Owned
O&amp;M</t>
  </si>
  <si>
    <t xml:space="preserve">
Pumping</t>
  </si>
  <si>
    <t>Escalated
Capital</t>
  </si>
  <si>
    <t>Escalated
O&amp;M</t>
  </si>
  <si>
    <t>Escalated
Pumping</t>
  </si>
  <si>
    <t>CASH
Capital</t>
  </si>
  <si>
    <t>CASH
O&amp;M</t>
  </si>
  <si>
    <t>CASH
Pumping</t>
  </si>
  <si>
    <t>Financed
Capital</t>
  </si>
  <si>
    <t>Annual 
Payment</t>
  </si>
  <si>
    <t>Financing 
Costs</t>
  </si>
  <si>
    <t>Annual LRP Subsidy</t>
  </si>
  <si>
    <t>Total LRP
Subsidy</t>
  </si>
  <si>
    <t>Year Cost</t>
  </si>
  <si>
    <t>Cumulative
Cost
($Million)</t>
  </si>
  <si>
    <t>Water Demand (Acre-Ft)</t>
  </si>
  <si>
    <t>Pumped Water (Acre-Ft)</t>
  </si>
  <si>
    <t>1Avoided Purchase
(Acre-Ft)</t>
  </si>
  <si>
    <t>MWD 
Water Rate
($/Acre-Ft)</t>
  </si>
  <si>
    <t>Year Avoided Cost ("Revenue")
($Million)</t>
  </si>
  <si>
    <t>Cumulative
"Revenue"
($Million)</t>
  </si>
  <si>
    <t>Year Net</t>
  </si>
  <si>
    <t>Cumulative
Net</t>
  </si>
  <si>
    <t>Payback 
Year</t>
  </si>
  <si>
    <t>Water Cost
($/a-f)</t>
  </si>
  <si>
    <t>Year</t>
  </si>
  <si>
    <t>Rate Increase 
Projection</t>
  </si>
  <si>
    <t>Tier 1 - Treated
($/Acre-Ft)</t>
  </si>
  <si>
    <t>Tier 1 - Untreated
($/Acre-Ft)</t>
  </si>
  <si>
    <t>5 Year 
Borrowing
Term</t>
  </si>
  <si>
    <t>10 Year 
Borrowing
Term</t>
  </si>
  <si>
    <t>15 Year 
Borrowing
Term</t>
  </si>
  <si>
    <t>18 Year 
Borrowing
Term</t>
  </si>
  <si>
    <t>20 Year 
Borrowing
Term</t>
  </si>
  <si>
    <t>25 Year 
Borrowing
Term</t>
  </si>
  <si>
    <t>30 Year 
Borrowing
Term</t>
  </si>
  <si>
    <t>35 Year 
Borrowing
Term</t>
  </si>
  <si>
    <t>40 Year 
Borrowing
Term</t>
  </si>
  <si>
    <t>15 Year Term</t>
  </si>
  <si>
    <t>25 Year Term</t>
  </si>
  <si>
    <t>Total Cost (NPV, $Millions)</t>
  </si>
  <si>
    <t>Total Water Saved
(acre-ft)</t>
  </si>
  <si>
    <t>Total Revenue (NPV)</t>
  </si>
  <si>
    <t>IRR</t>
  </si>
  <si>
    <t>$/AF at Life of Project</t>
  </si>
  <si>
    <t>2018 NPV Benefit</t>
  </si>
  <si>
    <t>Payoff Year</t>
  </si>
  <si>
    <t>DCM MASTER LIST</t>
  </si>
  <si>
    <t>See DCM Master List to right ------&gt;</t>
  </si>
  <si>
    <t>Untreated</t>
  </si>
  <si>
    <t>T16_j</t>
  </si>
  <si>
    <t>T18S_c</t>
  </si>
  <si>
    <t>T37-2_d</t>
  </si>
  <si>
    <t>T37-2a_a</t>
  </si>
  <si>
    <t>T37-2a_b</t>
  </si>
  <si>
    <t>T37-2d_a</t>
  </si>
  <si>
    <t>T37-2d_b</t>
  </si>
  <si>
    <t>T16 Unique</t>
  </si>
  <si>
    <t>T1A-2 Unique</t>
  </si>
  <si>
    <t>T28N Unique</t>
  </si>
  <si>
    <t>T28S Unique</t>
  </si>
  <si>
    <t>T30-1 Unique</t>
  </si>
  <si>
    <t>T32-1 Unique</t>
  </si>
  <si>
    <t>T36-1E Unique</t>
  </si>
  <si>
    <t>T36-1W Unique</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</si>
</sst>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6" formatCode="&quot;$&quot;#,##0_);[Red]\(&quot;$&quot;#,##0\)"/>
    <numFmt numFmtId="41" formatCode="_(* #,##0_);_(* \(#,##0\);_(* &quot;-&quot;_);_(@_)"/>
    <numFmt numFmtId="44" formatCode="_(&quot;$&quot;* #,##0.00_);_(&quot;$&quot;* \(#,##0.00\);_(&quot;$&quot;* &quot;-&quot;??_);_(@_)"/>
    <numFmt numFmtId="43" formatCode="_(* #,##0.00_);_(* \(#,##0.00\);_(* &quot;-&quot;??_);_(@_)"/>
    <numFmt numFmtId="164" formatCode="_(* #,##0_);_(* \(#,##0\);_(* &quot;-&quot;??_);_(@_)"/>
    <numFmt numFmtId="165" formatCode="0;;;@"/>
    <numFmt numFmtId="166" formatCode="#,##0.000_);\(#,##0.000\)"/>
    <numFmt numFmtId="167" formatCode="&quot;$&quot;#,##0"/>
    <numFmt numFmtId="168" formatCode="0.0000"/>
    <numFmt numFmtId="169" formatCode="&quot;$&quot;#,##0.00"/>
    <numFmt numFmtId="170" formatCode="0.0%"/>
    <numFmt numFmtId="171" formatCode="&quot;$&quot;#,##0.000_);[Red]\(&quot;$&quot;#,##0.000\)"/>
    <numFmt numFmtId="172" formatCode="_(* #,##0.000_);_(* \(#,##0.000\);_(* &quot;-&quot;???_);_(@_)"/>
    <numFmt numFmtId="173" formatCode="0.0%_);\(0.0%\);0.0%_);@_)"/>
    <numFmt numFmtId="174" formatCode="_(* #,##0.0_);_(* \(#,##0.0\);_(* &quot;-&quot;??_);_(@_)"/>
  </numFmts>
  <fonts count="27" x14ac:knownFonts="1">
    <font>
      <sz val="11"/>
      <color theme="1"/>
      <name val="Calibri"/>
      <family val="2"/>
      <scheme val="minor"/>
    </font>
    <font>
      <b/>
      <sz val="11"/>
      <color theme="1"/>
      <name val="Arial"/>
      <family val="2"/>
    </font>
    <font>
      <sz val="10"/>
      <color theme="1"/>
      <name val="Arial"/>
      <family val="2"/>
    </font>
    <font>
      <sz val="10"/>
      <name val="Arial"/>
      <family val="2"/>
    </font>
    <font>
      <sz val="10"/>
      <color rgb="FF0070C0"/>
      <name val="Arial"/>
      <family val="2"/>
    </font>
    <font>
      <sz val="9"/>
      <color theme="1"/>
      <name val="Arial"/>
      <family val="2"/>
    </font>
    <font>
      <b/>
      <sz val="10"/>
      <color theme="1"/>
      <name val="Arial"/>
      <family val="2"/>
    </font>
    <font>
      <b/>
      <sz val="9"/>
      <name val="Arial"/>
      <family val="2"/>
    </font>
    <font>
      <b/>
      <sz val="10"/>
      <name val="Arial"/>
      <family val="2"/>
    </font>
    <font>
      <sz val="10"/>
      <color rgb="FFFF0000"/>
      <name val="Arial"/>
      <family val="2"/>
    </font>
    <font>
      <b/>
      <sz val="8"/>
      <color theme="1"/>
      <name val="Arial"/>
      <family val="2"/>
    </font>
    <font>
      <b/>
      <sz val="11"/>
      <color theme="1"/>
      <name val="Calibri"/>
      <family val="2"/>
      <scheme val="minor"/>
    </font>
    <font>
      <sz val="10"/>
      <color theme="1"/>
      <name val="Calibri"/>
      <family val="2"/>
      <scheme val="minor"/>
    </font>
    <font>
      <b/>
      <sz val="10"/>
      <color theme="1"/>
      <name val="Calibri"/>
      <family val="2"/>
      <scheme val="minor"/>
    </font>
    <font>
      <b/>
      <sz val="20"/>
      <color theme="1"/>
      <name val="Arial"/>
      <family val="2"/>
    </font>
    <font>
      <sz val="11"/>
      <color theme="1"/>
      <name val="Calibri"/>
      <family val="2"/>
      <scheme val="minor"/>
    </font>
    <font>
      <sz val="11"/>
      <color rgb="FF1F497D"/>
      <name val="Wingdings"/>
      <charset val="2"/>
    </font>
    <font>
      <b/>
      <sz val="18"/>
      <color theme="1"/>
      <name val="Arial"/>
      <family val="2"/>
    </font>
    <font>
      <b/>
      <sz val="16"/>
      <color theme="1"/>
      <name val="Arial"/>
      <family val="2"/>
    </font>
    <font>
      <sz val="16"/>
      <color theme="1"/>
      <name val="Calibri"/>
      <family val="2"/>
      <scheme val="minor"/>
    </font>
    <font>
      <b/>
      <sz val="8"/>
      <color theme="0"/>
      <name val="Arial"/>
      <family val="2"/>
    </font>
    <font>
      <b/>
      <sz val="10"/>
      <color theme="0"/>
      <name val="Arial"/>
      <family val="2"/>
    </font>
    <font>
      <b/>
      <sz val="12"/>
      <name val="Arial"/>
      <family val="2"/>
    </font>
    <font>
      <sz val="8"/>
      <color theme="0"/>
      <name val="Calibri"/>
      <family val="2"/>
      <scheme val="minor"/>
    </font>
    <font>
      <sz val="12"/>
      <name val="Arial"/>
      <family val="2"/>
    </font>
    <font>
      <sz val="10"/>
      <color rgb="FF000000"/>
      <name val="Times New Roman"/>
      <family val="1"/>
    </font>
    <font>
      <sz val="11"/>
      <color theme="0" tint="-0.499984740745262"/>
      <name val="Calibri"/>
      <family val="2"/>
      <scheme val="minor"/>
    </font>
  </fonts>
  <fills count="15">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1"/>
        <bgColor indexed="64"/>
      </patternFill>
    </fill>
    <fill>
      <patternFill patternType="solid">
        <fgColor theme="0" tint="-4.9989318521683403E-2"/>
        <bgColor indexed="64"/>
      </patternFill>
    </fill>
    <fill>
      <patternFill patternType="solid">
        <fgColor indexed="42"/>
        <bgColor indexed="64"/>
      </patternFill>
    </fill>
    <fill>
      <patternFill patternType="solid">
        <fgColor theme="5" tint="0.59999389629810485"/>
        <bgColor indexed="64"/>
      </patternFill>
    </fill>
  </fills>
  <borders count="8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right/>
      <top/>
      <bottom style="medium">
        <color indexed="64"/>
      </bottom>
      <diagonal/>
    </border>
    <border>
      <left style="thin">
        <color indexed="64"/>
      </left>
      <right/>
      <top style="medium">
        <color indexed="64"/>
      </top>
      <bottom style="thin">
        <color indexed="64"/>
      </bottom>
      <diagonal/>
    </border>
    <border>
      <left/>
      <right/>
      <top style="thin">
        <color indexed="64"/>
      </top>
      <bottom/>
      <diagonal/>
    </border>
    <border>
      <left style="thin">
        <color auto="1"/>
      </left>
      <right style="thin">
        <color auto="1"/>
      </right>
      <top style="thin">
        <color auto="1"/>
      </top>
      <bottom style="thin">
        <color auto="1"/>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right style="thin">
        <color auto="1"/>
      </right>
      <top/>
      <bottom/>
      <diagonal/>
    </border>
    <border>
      <left/>
      <right/>
      <top style="thin">
        <color indexed="64"/>
      </top>
      <bottom style="medium">
        <color indexed="64"/>
      </bottom>
      <diagonal/>
    </border>
  </borders>
  <cellStyleXfs count="86">
    <xf numFmtId="0" fontId="0" fillId="0" borderId="0"/>
    <xf numFmtId="0" fontId="3" fillId="0" borderId="0"/>
    <xf numFmtId="0" fontId="3" fillId="0" borderId="0"/>
    <xf numFmtId="44" fontId="3" fillId="0" borderId="0"/>
    <xf numFmtId="0" fontId="3" fillId="0" borderId="0"/>
    <xf numFmtId="0" fontId="3" fillId="0" borderId="0"/>
    <xf numFmtId="0" fontId="3" fillId="0" borderId="0"/>
    <xf numFmtId="0" fontId="24" fillId="0" borderId="0"/>
    <xf numFmtId="0" fontId="24" fillId="0" borderId="0"/>
    <xf numFmtId="0" fontId="3" fillId="0" borderId="0"/>
    <xf numFmtId="0" fontId="2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5" fillId="0" borderId="0"/>
    <xf numFmtId="0" fontId="15" fillId="0" borderId="0"/>
    <xf numFmtId="0" fontId="15" fillId="0" borderId="0"/>
    <xf numFmtId="0" fontId="15" fillId="0" borderId="0"/>
    <xf numFmtId="0" fontId="3"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3" fillId="0" borderId="0"/>
    <xf numFmtId="0" fontId="3" fillId="0" borderId="0"/>
    <xf numFmtId="0" fontId="15" fillId="0" borderId="0"/>
    <xf numFmtId="0" fontId="3" fillId="0" borderId="0"/>
    <xf numFmtId="0" fontId="2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4" fillId="0" borderId="0"/>
    <xf numFmtId="0" fontId="3" fillId="0" borderId="0"/>
    <xf numFmtId="0" fontId="3" fillId="0" borderId="0"/>
    <xf numFmtId="0" fontId="24" fillId="13" borderId="78"/>
    <xf numFmtId="0" fontId="3" fillId="0" borderId="0"/>
  </cellStyleXfs>
  <cellXfs count="429">
    <xf numFmtId="0" fontId="0" fillId="0" borderId="0" xfId="0"/>
    <xf numFmtId="41" fontId="5" fillId="0" borderId="1" xfId="0" applyNumberFormat="1" applyFont="1" applyBorder="1"/>
    <xf numFmtId="0" fontId="2" fillId="0" borderId="0" xfId="0" applyFont="1" applyAlignment="1">
      <alignment horizontal="center" vertical="top"/>
    </xf>
    <xf numFmtId="0" fontId="6" fillId="2" borderId="15"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2" fillId="0" borderId="6" xfId="0" applyFont="1" applyBorder="1"/>
    <xf numFmtId="0" fontId="6" fillId="2" borderId="19" xfId="0" applyFont="1" applyFill="1" applyBorder="1" applyAlignment="1">
      <alignment horizontal="center" vertical="center" wrapText="1"/>
    </xf>
    <xf numFmtId="0" fontId="6" fillId="2" borderId="21" xfId="0" applyFont="1" applyFill="1" applyBorder="1" applyAlignment="1">
      <alignment horizontal="center" vertical="center" wrapText="1"/>
    </xf>
    <xf numFmtId="0" fontId="7" fillId="2" borderId="4" xfId="0" applyFont="1" applyFill="1" applyBorder="1" applyAlignment="1">
      <alignment horizontal="center" vertical="center"/>
    </xf>
    <xf numFmtId="0" fontId="7" fillId="2" borderId="32"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3" fillId="0" borderId="0" xfId="0" applyFont="1"/>
    <xf numFmtId="0" fontId="6" fillId="2" borderId="48" xfId="0" applyFont="1" applyFill="1" applyBorder="1" applyAlignment="1">
      <alignment horizontal="center" vertical="center" wrapText="1"/>
    </xf>
    <xf numFmtId="0" fontId="2" fillId="0" borderId="0" xfId="0" applyFont="1" applyAlignment="1">
      <alignment horizontal="center"/>
    </xf>
    <xf numFmtId="0" fontId="2" fillId="5" borderId="0" xfId="0" applyFont="1" applyFill="1"/>
    <xf numFmtId="0" fontId="2" fillId="5" borderId="6" xfId="0" applyFont="1" applyFill="1" applyBorder="1"/>
    <xf numFmtId="0" fontId="2" fillId="5" borderId="0" xfId="0" applyFont="1" applyFill="1" applyAlignment="1">
      <alignment horizontal="center" vertical="center"/>
    </xf>
    <xf numFmtId="0" fontId="3" fillId="5" borderId="6" xfId="0" applyFont="1" applyFill="1" applyBorder="1" applyAlignment="1">
      <alignment horizontal="center"/>
    </xf>
    <xf numFmtId="41" fontId="2" fillId="5" borderId="7" xfId="0" applyNumberFormat="1" applyFont="1" applyFill="1" applyBorder="1" applyAlignment="1">
      <alignment horizontal="center"/>
    </xf>
    <xf numFmtId="0" fontId="3" fillId="0" borderId="6" xfId="0" applyFont="1" applyBorder="1" applyAlignment="1">
      <alignment horizontal="center"/>
    </xf>
    <xf numFmtId="0" fontId="2" fillId="0" borderId="0" xfId="0" applyFont="1" applyAlignment="1">
      <alignment horizontal="center" vertical="center"/>
    </xf>
    <xf numFmtId="0" fontId="2" fillId="0" borderId="0" xfId="0" applyFont="1" applyAlignment="1">
      <alignment horizontal="center" vertical="center" wrapText="1"/>
    </xf>
    <xf numFmtId="0" fontId="6" fillId="5" borderId="28" xfId="0" applyFont="1" applyFill="1" applyBorder="1" applyAlignment="1">
      <alignment horizontal="right"/>
    </xf>
    <xf numFmtId="10" fontId="6" fillId="5" borderId="28" xfId="0" applyNumberFormat="1" applyFont="1" applyFill="1" applyBorder="1"/>
    <xf numFmtId="0" fontId="5" fillId="0" borderId="0" xfId="0" applyFont="1"/>
    <xf numFmtId="0" fontId="6" fillId="2" borderId="21" xfId="0" applyFont="1" applyFill="1" applyBorder="1" applyAlignment="1">
      <alignment horizontal="center" vertical="center"/>
    </xf>
    <xf numFmtId="0" fontId="7" fillId="2" borderId="49" xfId="0" applyFont="1" applyFill="1" applyBorder="1" applyAlignment="1">
      <alignment horizontal="center" vertical="center"/>
    </xf>
    <xf numFmtId="0" fontId="6" fillId="2" borderId="49" xfId="0" applyFont="1" applyFill="1" applyBorder="1" applyAlignment="1">
      <alignment horizontal="center" vertical="center" wrapText="1"/>
    </xf>
    <xf numFmtId="43" fontId="2" fillId="0" borderId="1" xfId="0" applyNumberFormat="1" applyFont="1" applyBorder="1"/>
    <xf numFmtId="43" fontId="2" fillId="5" borderId="1" xfId="0" applyNumberFormat="1" applyFont="1" applyFill="1" applyBorder="1"/>
    <xf numFmtId="0" fontId="9" fillId="0" borderId="0" xfId="0" applyFont="1"/>
    <xf numFmtId="0" fontId="1" fillId="0" borderId="0" xfId="0" applyFont="1" applyAlignment="1">
      <alignment horizontal="center" vertical="center"/>
    </xf>
    <xf numFmtId="3" fontId="1" fillId="0" borderId="0" xfId="0" applyNumberFormat="1" applyFont="1" applyAlignment="1" applyProtection="1">
      <alignment horizontal="center" vertical="center"/>
      <protection locked="0"/>
    </xf>
    <xf numFmtId="0" fontId="6" fillId="3" borderId="28"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9" xfId="0" applyFont="1" applyFill="1" applyBorder="1" applyAlignment="1">
      <alignment horizontal="center" vertical="center"/>
    </xf>
    <xf numFmtId="0" fontId="6" fillId="3" borderId="33" xfId="0" applyFont="1" applyFill="1" applyBorder="1" applyAlignment="1">
      <alignment horizontal="center" vertical="center" wrapText="1"/>
    </xf>
    <xf numFmtId="0" fontId="6" fillId="3" borderId="30" xfId="0" applyFont="1" applyFill="1" applyBorder="1" applyAlignment="1">
      <alignment horizontal="center" vertical="center" wrapText="1"/>
    </xf>
    <xf numFmtId="0" fontId="6" fillId="3" borderId="41" xfId="0" applyFont="1" applyFill="1" applyBorder="1" applyAlignment="1">
      <alignment horizontal="center" vertical="center" wrapText="1"/>
    </xf>
    <xf numFmtId="0" fontId="1" fillId="0" borderId="0" xfId="0" applyFont="1" applyAlignment="1" applyProtection="1">
      <alignment horizontal="center" vertical="center"/>
      <protection locked="0"/>
    </xf>
    <xf numFmtId="0" fontId="5" fillId="5" borderId="2" xfId="0" applyFont="1" applyFill="1" applyBorder="1" applyAlignment="1">
      <alignment horizontal="center"/>
    </xf>
    <xf numFmtId="0" fontId="5" fillId="0" borderId="2" xfId="0" applyFont="1" applyBorder="1" applyAlignment="1">
      <alignment horizontal="center"/>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24" xfId="0" applyFont="1" applyFill="1" applyBorder="1" applyAlignment="1">
      <alignment horizontal="center" vertical="center" wrapText="1"/>
    </xf>
    <xf numFmtId="0" fontId="6" fillId="3" borderId="34"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1" fillId="0" borderId="50" xfId="0" applyFont="1" applyBorder="1" applyAlignment="1" applyProtection="1">
      <alignment horizontal="center" vertical="center"/>
      <protection locked="0"/>
    </xf>
    <xf numFmtId="10" fontId="6" fillId="0" borderId="50" xfId="0" applyNumberFormat="1" applyFont="1" applyBorder="1" applyAlignment="1" applyProtection="1">
      <alignment horizontal="center" vertical="center"/>
      <protection locked="0"/>
    </xf>
    <xf numFmtId="0" fontId="11" fillId="0" borderId="1" xfId="0" applyFont="1" applyBorder="1" applyAlignment="1">
      <alignment horizontal="center" vertical="top"/>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4" xfId="0" applyFont="1" applyFill="1" applyBorder="1" applyAlignment="1">
      <alignment vertical="center" wrapText="1"/>
    </xf>
    <xf numFmtId="0" fontId="2" fillId="3" borderId="5" xfId="0" applyFont="1" applyFill="1" applyBorder="1" applyAlignment="1">
      <alignment horizontal="center" vertical="center"/>
    </xf>
    <xf numFmtId="0" fontId="2" fillId="5" borderId="1" xfId="0" applyFont="1" applyFill="1" applyBorder="1" applyAlignment="1">
      <alignment horizontal="right"/>
    </xf>
    <xf numFmtId="0" fontId="2" fillId="5" borderId="1" xfId="0" applyFont="1" applyFill="1" applyBorder="1" applyAlignment="1">
      <alignment horizontal="right" vertical="center"/>
    </xf>
    <xf numFmtId="0" fontId="2" fillId="0" borderId="1" xfId="0" applyFont="1" applyBorder="1" applyAlignment="1">
      <alignment horizontal="right" vertical="top"/>
    </xf>
    <xf numFmtId="0" fontId="2" fillId="0" borderId="1" xfId="0" applyFont="1" applyBorder="1" applyAlignment="1">
      <alignment horizontal="right"/>
    </xf>
    <xf numFmtId="0" fontId="12" fillId="0" borderId="0" xfId="0" applyFont="1"/>
    <xf numFmtId="0" fontId="12" fillId="0" borderId="0" xfId="0" applyFont="1" applyAlignment="1">
      <alignment horizontal="center" vertical="center" wrapText="1"/>
    </xf>
    <xf numFmtId="0" fontId="13" fillId="0" borderId="0" xfId="0" applyFont="1" applyAlignment="1">
      <alignment horizontal="center" vertical="center" wrapText="1"/>
    </xf>
    <xf numFmtId="0" fontId="14" fillId="0" borderId="0" xfId="0" applyFont="1" applyAlignment="1">
      <alignment vertical="center"/>
    </xf>
    <xf numFmtId="0" fontId="11" fillId="0" borderId="1" xfId="0" applyFont="1" applyBorder="1"/>
    <xf numFmtId="0" fontId="11" fillId="0" borderId="1" xfId="0" applyFont="1" applyBorder="1" applyAlignment="1">
      <alignment wrapText="1"/>
    </xf>
    <xf numFmtId="0" fontId="0" fillId="0" borderId="52" xfId="0" applyBorder="1"/>
    <xf numFmtId="0" fontId="13" fillId="2" borderId="31" xfId="0" applyFont="1" applyFill="1" applyBorder="1" applyAlignment="1">
      <alignment horizontal="center" vertical="center" wrapText="1"/>
    </xf>
    <xf numFmtId="0" fontId="6" fillId="5" borderId="27" xfId="0" applyFont="1" applyFill="1" applyBorder="1" applyAlignment="1">
      <alignment horizontal="center" vertical="center" wrapText="1"/>
    </xf>
    <xf numFmtId="1" fontId="3" fillId="0" borderId="0" xfId="1" applyNumberFormat="1" applyAlignment="1">
      <alignment horizontal="center"/>
    </xf>
    <xf numFmtId="1" fontId="8" fillId="0" borderId="36" xfId="1" applyNumberFormat="1" applyFont="1" applyBorder="1" applyAlignment="1">
      <alignment horizontal="center" wrapText="1"/>
    </xf>
    <xf numFmtId="1" fontId="8" fillId="0" borderId="26" xfId="1" applyNumberFormat="1" applyFont="1" applyBorder="1" applyAlignment="1">
      <alignment horizontal="center" wrapText="1"/>
    </xf>
    <xf numFmtId="0" fontId="8" fillId="0" borderId="33" xfId="1" applyFont="1" applyBorder="1" applyAlignment="1">
      <alignment horizontal="center" wrapText="1"/>
    </xf>
    <xf numFmtId="0" fontId="8" fillId="0" borderId="28" xfId="1" applyFont="1" applyBorder="1" applyAlignment="1">
      <alignment horizontal="center" wrapText="1"/>
    </xf>
    <xf numFmtId="0" fontId="8" fillId="0" borderId="34" xfId="1" applyFont="1" applyBorder="1" applyAlignment="1">
      <alignment wrapText="1"/>
    </xf>
    <xf numFmtId="0" fontId="3" fillId="6" borderId="54" xfId="1" applyFill="1" applyBorder="1" applyAlignment="1">
      <alignment horizontal="center" wrapText="1"/>
    </xf>
    <xf numFmtId="0" fontId="3" fillId="6" borderId="54" xfId="1" applyFill="1" applyBorder="1" applyAlignment="1">
      <alignment horizontal="right" wrapText="1"/>
    </xf>
    <xf numFmtId="1" fontId="3" fillId="6" borderId="54" xfId="1" applyNumberFormat="1" applyFill="1" applyBorder="1" applyAlignment="1">
      <alignment horizontal="center" wrapText="1"/>
    </xf>
    <xf numFmtId="0" fontId="3" fillId="6" borderId="65" xfId="1" applyFill="1" applyBorder="1" applyAlignment="1">
      <alignment horizontal="right" wrapText="1"/>
    </xf>
    <xf numFmtId="1" fontId="3" fillId="6" borderId="42" xfId="1" applyNumberFormat="1" applyFill="1" applyBorder="1" applyAlignment="1">
      <alignment horizontal="center" wrapText="1"/>
    </xf>
    <xf numFmtId="0" fontId="3" fillId="6" borderId="55" xfId="1" applyFill="1" applyBorder="1" applyAlignment="1">
      <alignment wrapText="1"/>
    </xf>
    <xf numFmtId="0" fontId="3" fillId="6" borderId="44" xfId="1" applyFill="1" applyBorder="1" applyAlignment="1">
      <alignment wrapText="1"/>
    </xf>
    <xf numFmtId="0" fontId="3" fillId="6" borderId="27" xfId="1" applyFill="1" applyBorder="1" applyAlignment="1">
      <alignment wrapText="1"/>
    </xf>
    <xf numFmtId="1" fontId="3" fillId="6" borderId="39" xfId="1" applyNumberFormat="1" applyFill="1" applyBorder="1" applyAlignment="1">
      <alignment horizontal="center" wrapText="1"/>
    </xf>
    <xf numFmtId="0" fontId="8" fillId="6" borderId="54" xfId="1" applyFont="1" applyFill="1" applyBorder="1" applyAlignment="1">
      <alignment horizontal="center" wrapText="1"/>
    </xf>
    <xf numFmtId="0" fontId="3" fillId="6" borderId="57" xfId="1" applyFill="1" applyBorder="1" applyAlignment="1">
      <alignment wrapText="1"/>
    </xf>
    <xf numFmtId="0" fontId="3" fillId="6" borderId="76" xfId="1" applyFill="1" applyBorder="1" applyAlignment="1">
      <alignment wrapText="1"/>
    </xf>
    <xf numFmtId="0" fontId="3" fillId="6" borderId="68" xfId="1" applyFill="1" applyBorder="1" applyAlignment="1">
      <alignment wrapText="1"/>
    </xf>
    <xf numFmtId="0" fontId="3" fillId="6" borderId="75" xfId="1" applyFill="1" applyBorder="1" applyAlignment="1">
      <alignment wrapText="1"/>
    </xf>
    <xf numFmtId="1" fontId="3" fillId="6" borderId="65" xfId="1" applyNumberFormat="1" applyFill="1" applyBorder="1" applyAlignment="1">
      <alignment horizontal="center" wrapText="1"/>
    </xf>
    <xf numFmtId="0" fontId="3" fillId="6" borderId="56" xfId="1" applyFill="1" applyBorder="1" applyAlignment="1">
      <alignment wrapText="1"/>
    </xf>
    <xf numFmtId="1" fontId="3" fillId="6" borderId="56" xfId="1" applyNumberFormat="1" applyFill="1" applyBorder="1" applyAlignment="1">
      <alignment horizontal="center" wrapText="1"/>
    </xf>
    <xf numFmtId="0" fontId="8" fillId="6" borderId="0" xfId="1" applyFont="1" applyFill="1" applyAlignment="1">
      <alignment horizontal="center" wrapText="1"/>
    </xf>
    <xf numFmtId="0" fontId="3" fillId="6" borderId="0" xfId="1" applyFill="1" applyAlignment="1">
      <alignment horizontal="center" wrapText="1"/>
    </xf>
    <xf numFmtId="0" fontId="8" fillId="6" borderId="0" xfId="1" applyFont="1" applyFill="1"/>
    <xf numFmtId="0" fontId="3" fillId="0" borderId="0" xfId="1" applyAlignment="1">
      <alignment horizontal="left"/>
    </xf>
    <xf numFmtId="0" fontId="3" fillId="0" borderId="0" xfId="1" applyAlignment="1">
      <alignment horizontal="left" wrapText="1"/>
    </xf>
    <xf numFmtId="1" fontId="3" fillId="0" borderId="0" xfId="1" applyNumberFormat="1" applyAlignment="1">
      <alignment horizontal="center" wrapText="1"/>
    </xf>
    <xf numFmtId="10" fontId="3" fillId="0" borderId="0" xfId="1" applyNumberFormat="1"/>
    <xf numFmtId="0" fontId="16" fillId="0" borderId="0" xfId="1" applyFont="1" applyAlignment="1">
      <alignment horizontal="left" vertical="center" indent="4"/>
    </xf>
    <xf numFmtId="0" fontId="13" fillId="0" borderId="0" xfId="0" applyFont="1" applyAlignment="1">
      <alignment horizontal="center"/>
    </xf>
    <xf numFmtId="0" fontId="0" fillId="2" borderId="4" xfId="0" applyFill="1" applyBorder="1"/>
    <xf numFmtId="0" fontId="13" fillId="2" borderId="32" xfId="0" applyFont="1" applyFill="1" applyBorder="1" applyAlignment="1">
      <alignment horizontal="center"/>
    </xf>
    <xf numFmtId="0" fontId="13" fillId="2" borderId="5" xfId="0" applyFont="1" applyFill="1" applyBorder="1" applyAlignment="1">
      <alignment horizontal="center"/>
    </xf>
    <xf numFmtId="0" fontId="13" fillId="2" borderId="6" xfId="0" applyFont="1" applyFill="1" applyBorder="1" applyAlignment="1">
      <alignment horizontal="center" vertical="center" wrapText="1"/>
    </xf>
    <xf numFmtId="1" fontId="2" fillId="0" borderId="0" xfId="1" applyNumberFormat="1" applyFont="1" applyAlignment="1">
      <alignment horizontal="center" vertical="center"/>
    </xf>
    <xf numFmtId="0" fontId="20" fillId="11" borderId="29" xfId="1" applyFont="1" applyFill="1" applyBorder="1" applyAlignment="1">
      <alignment horizontal="center" vertical="center" wrapText="1"/>
    </xf>
    <xf numFmtId="0" fontId="20" fillId="11" borderId="53" xfId="1" applyFont="1" applyFill="1" applyBorder="1" applyAlignment="1">
      <alignment horizontal="center" vertical="center"/>
    </xf>
    <xf numFmtId="0" fontId="20" fillId="11" borderId="53" xfId="1" applyFont="1" applyFill="1" applyBorder="1" applyAlignment="1">
      <alignment horizontal="center" vertical="center" wrapText="1"/>
    </xf>
    <xf numFmtId="0" fontId="3" fillId="0" borderId="53" xfId="1" applyBorder="1" applyAlignment="1">
      <alignment horizontal="center" vertical="center"/>
    </xf>
    <xf numFmtId="39" fontId="3" fillId="12" borderId="53" xfId="5" applyNumberFormat="1" applyFill="1" applyBorder="1" applyAlignment="1">
      <alignment horizontal="center" wrapText="1"/>
    </xf>
    <xf numFmtId="0" fontId="3" fillId="7" borderId="0" xfId="1" applyFill="1" applyAlignment="1">
      <alignment vertical="center"/>
    </xf>
    <xf numFmtId="2" fontId="3" fillId="7" borderId="53" xfId="1" applyNumberFormat="1" applyFill="1" applyBorder="1" applyAlignment="1">
      <alignment horizontal="right"/>
    </xf>
    <xf numFmtId="39" fontId="2" fillId="12" borderId="53" xfId="5" applyNumberFormat="1" applyFont="1" applyFill="1" applyBorder="1" applyAlignment="1">
      <alignment horizontal="center" wrapText="1"/>
    </xf>
    <xf numFmtId="0" fontId="2" fillId="4" borderId="0" xfId="0" applyFont="1" applyFill="1"/>
    <xf numFmtId="39" fontId="2" fillId="6" borderId="53" xfId="5" applyNumberFormat="1" applyFont="1" applyFill="1" applyBorder="1" applyAlignment="1">
      <alignment horizontal="center" wrapText="1"/>
    </xf>
    <xf numFmtId="0" fontId="2" fillId="6" borderId="0" xfId="0" applyFont="1" applyFill="1"/>
    <xf numFmtId="0" fontId="0" fillId="6" borderId="0" xfId="0" applyFill="1"/>
    <xf numFmtId="0" fontId="3" fillId="0" borderId="0" xfId="1" applyAlignment="1">
      <alignment horizontal="left" vertical="center"/>
    </xf>
    <xf numFmtId="0" fontId="0" fillId="0" borderId="0" xfId="0" applyAlignment="1">
      <alignment horizontal="left" vertical="center"/>
    </xf>
    <xf numFmtId="0" fontId="3" fillId="0" borderId="58" xfId="1" applyBorder="1" applyAlignment="1">
      <alignment horizontal="center" vertical="center"/>
    </xf>
    <xf numFmtId="39" fontId="2" fillId="0" borderId="59" xfId="5" applyNumberFormat="1" applyFont="1" applyBorder="1" applyAlignment="1">
      <alignment horizontal="center" vertical="center" wrapText="1"/>
    </xf>
    <xf numFmtId="39" fontId="0" fillId="0" borderId="0" xfId="5" applyNumberFormat="1" applyFont="1" applyAlignment="1">
      <alignment horizontal="center" wrapText="1"/>
    </xf>
    <xf numFmtId="0" fontId="20" fillId="11" borderId="3" xfId="1" applyFont="1" applyFill="1" applyBorder="1" applyAlignment="1">
      <alignment horizontal="center" vertical="center" wrapText="1"/>
    </xf>
    <xf numFmtId="9" fontId="0" fillId="6" borderId="53" xfId="6" applyNumberFormat="1" applyFont="1" applyFill="1" applyBorder="1"/>
    <xf numFmtId="0" fontId="21" fillId="11" borderId="29" xfId="1" applyFont="1" applyFill="1" applyBorder="1" applyAlignment="1">
      <alignment horizontal="center" vertical="center"/>
    </xf>
    <xf numFmtId="0" fontId="22" fillId="0" borderId="0" xfId="1" applyFont="1" applyAlignment="1">
      <alignment vertical="center"/>
    </xf>
    <xf numFmtId="0" fontId="3" fillId="0" borderId="0" xfId="1" applyAlignment="1">
      <alignment vertical="center" wrapText="1"/>
    </xf>
    <xf numFmtId="0" fontId="21" fillId="11" borderId="29" xfId="1" applyFont="1" applyFill="1" applyBorder="1" applyAlignment="1">
      <alignment horizontal="center"/>
    </xf>
    <xf numFmtId="0" fontId="21" fillId="11" borderId="29" xfId="1" applyFont="1" applyFill="1" applyBorder="1" applyAlignment="1">
      <alignment horizontal="center" wrapText="1"/>
    </xf>
    <xf numFmtId="0" fontId="21" fillId="11" borderId="53" xfId="1" applyFont="1" applyFill="1" applyBorder="1" applyAlignment="1">
      <alignment horizontal="center" wrapText="1"/>
    </xf>
    <xf numFmtId="1" fontId="21" fillId="11" borderId="53" xfId="1" applyNumberFormat="1" applyFont="1" applyFill="1" applyBorder="1" applyAlignment="1">
      <alignment horizontal="center" wrapText="1"/>
    </xf>
    <xf numFmtId="0" fontId="21" fillId="11" borderId="59" xfId="1" applyFont="1" applyFill="1" applyBorder="1" applyAlignment="1">
      <alignment horizontal="center" wrapText="1"/>
    </xf>
    <xf numFmtId="0" fontId="0" fillId="4" borderId="53" xfId="0" applyFill="1" applyBorder="1"/>
    <xf numFmtId="0" fontId="3" fillId="7" borderId="53" xfId="1" applyFill="1" applyBorder="1"/>
    <xf numFmtId="1" fontId="2" fillId="0" borderId="0" xfId="0" applyNumberFormat="1" applyFont="1"/>
    <xf numFmtId="1" fontId="2" fillId="0" borderId="0" xfId="0" applyNumberFormat="1" applyFont="1" applyAlignment="1">
      <alignment horizontal="center" vertical="center"/>
    </xf>
    <xf numFmtId="1" fontId="1" fillId="0" borderId="0" xfId="0" applyNumberFormat="1" applyFont="1" applyAlignment="1">
      <alignment horizontal="center" vertical="center"/>
    </xf>
    <xf numFmtId="1" fontId="6" fillId="2" borderId="0" xfId="0" applyNumberFormat="1" applyFont="1" applyFill="1" applyAlignment="1">
      <alignment horizontal="center" vertical="center" wrapText="1"/>
    </xf>
    <xf numFmtId="1" fontId="6" fillId="2" borderId="17" xfId="0" applyNumberFormat="1" applyFont="1" applyFill="1" applyBorder="1" applyAlignment="1">
      <alignment horizontal="center" vertical="center" wrapText="1"/>
    </xf>
    <xf numFmtId="0" fontId="11" fillId="5" borderId="0" xfId="0" applyFont="1" applyFill="1" applyAlignment="1">
      <alignment wrapText="1"/>
    </xf>
    <xf numFmtId="0" fontId="0" fillId="4" borderId="53" xfId="0" applyFill="1" applyBorder="1" applyAlignment="1">
      <alignment horizontal="center"/>
    </xf>
    <xf numFmtId="0" fontId="3" fillId="8" borderId="0" xfId="1" applyFill="1"/>
    <xf numFmtId="0" fontId="0" fillId="0" borderId="0" xfId="53" applyFont="1"/>
    <xf numFmtId="0" fontId="8" fillId="0" borderId="53" xfId="1" applyFont="1" applyBorder="1" applyAlignment="1">
      <alignment wrapText="1"/>
    </xf>
    <xf numFmtId="0" fontId="8" fillId="0" borderId="0" xfId="1" applyFont="1" applyAlignment="1">
      <alignment horizontal="center" vertical="center" wrapText="1"/>
    </xf>
    <xf numFmtId="0" fontId="3" fillId="0" borderId="53" xfId="1" applyBorder="1" applyAlignment="1">
      <alignment wrapText="1"/>
    </xf>
    <xf numFmtId="43" fontId="3" fillId="0" borderId="53" xfId="2" applyNumberFormat="1" applyBorder="1" applyAlignment="1">
      <alignment wrapText="1"/>
    </xf>
    <xf numFmtId="0" fontId="3" fillId="9" borderId="53" xfId="1" applyFill="1" applyBorder="1" applyAlignment="1">
      <alignment wrapText="1"/>
    </xf>
    <xf numFmtId="0" fontId="3" fillId="0" borderId="53" xfId="1" applyBorder="1"/>
    <xf numFmtId="0" fontId="3" fillId="10" borderId="53" xfId="1" applyFill="1" applyBorder="1"/>
    <xf numFmtId="43" fontId="3" fillId="0" borderId="53" xfId="1" applyNumberFormat="1" applyBorder="1" applyAlignment="1">
      <alignment wrapText="1"/>
    </xf>
    <xf numFmtId="43" fontId="3" fillId="0" borderId="53" xfId="85" applyNumberFormat="1" applyBorder="1" applyAlignment="1">
      <alignment wrapText="1"/>
    </xf>
    <xf numFmtId="3" fontId="2" fillId="6" borderId="53" xfId="1" applyNumberFormat="1" applyFont="1" applyFill="1" applyBorder="1" applyAlignment="1">
      <alignment horizontal="right" vertical="center"/>
    </xf>
    <xf numFmtId="0" fontId="12" fillId="4" borderId="32" xfId="0" applyFont="1" applyFill="1" applyBorder="1" applyAlignment="1">
      <alignment horizontal="center" vertical="center" wrapText="1"/>
    </xf>
    <xf numFmtId="0" fontId="12" fillId="4" borderId="32" xfId="0" applyFont="1" applyFill="1" applyBorder="1"/>
    <xf numFmtId="4" fontId="0" fillId="6" borderId="53" xfId="0" applyNumberFormat="1" applyFill="1" applyBorder="1" applyAlignment="1">
      <alignment horizontal="center"/>
    </xf>
    <xf numFmtId="4" fontId="12" fillId="6" borderId="53" xfId="0" applyNumberFormat="1" applyFont="1" applyFill="1" applyBorder="1" applyAlignment="1">
      <alignment horizontal="center"/>
    </xf>
    <xf numFmtId="0" fontId="11" fillId="0" borderId="0" xfId="0" applyFont="1" applyAlignment="1">
      <alignment horizontal="center" vertical="top"/>
    </xf>
    <xf numFmtId="41" fontId="5" fillId="6" borderId="1" xfId="0" applyNumberFormat="1" applyFont="1" applyFill="1" applyBorder="1"/>
    <xf numFmtId="41" fontId="5" fillId="6" borderId="6" xfId="0" applyNumberFormat="1" applyFont="1" applyFill="1" applyBorder="1"/>
    <xf numFmtId="0" fontId="12" fillId="4" borderId="29" xfId="0" applyFont="1" applyFill="1" applyBorder="1" applyAlignment="1">
      <alignment horizontal="center" vertical="center" wrapText="1"/>
    </xf>
    <xf numFmtId="0" fontId="13" fillId="4" borderId="14" xfId="0" applyFont="1" applyFill="1" applyBorder="1" applyAlignment="1">
      <alignment horizontal="center" vertical="center" wrapText="1"/>
    </xf>
    <xf numFmtId="0" fontId="11" fillId="0" borderId="0" xfId="0" applyFont="1" applyAlignment="1">
      <alignment horizontal="left"/>
    </xf>
    <xf numFmtId="0" fontId="11" fillId="0" borderId="0" xfId="0" applyFont="1"/>
    <xf numFmtId="0" fontId="12" fillId="4" borderId="53" xfId="0" applyFont="1" applyFill="1" applyBorder="1" applyAlignment="1">
      <alignment horizontal="center" vertical="center" wrapText="1"/>
    </xf>
    <xf numFmtId="0" fontId="0" fillId="6" borderId="1" xfId="0" applyFill="1" applyBorder="1"/>
    <xf numFmtId="4" fontId="0" fillId="6" borderId="29" xfId="0" applyNumberFormat="1" applyFill="1" applyBorder="1" applyAlignment="1">
      <alignment horizontal="center"/>
    </xf>
    <xf numFmtId="0" fontId="0" fillId="0" borderId="1" xfId="0" applyBorder="1"/>
    <xf numFmtId="1" fontId="3" fillId="0" borderId="75" xfId="1" applyNumberFormat="1" applyBorder="1" applyAlignment="1">
      <alignment horizontal="center" wrapText="1"/>
    </xf>
    <xf numFmtId="0" fontId="3" fillId="0" borderId="76" xfId="1" applyBorder="1" applyAlignment="1">
      <alignment wrapText="1"/>
    </xf>
    <xf numFmtId="1" fontId="3" fillId="0" borderId="76" xfId="1" applyNumberFormat="1" applyBorder="1" applyAlignment="1">
      <alignment horizontal="center" wrapText="1"/>
    </xf>
    <xf numFmtId="0" fontId="3" fillId="0" borderId="54" xfId="1" applyBorder="1" applyAlignment="1">
      <alignment horizontal="right" wrapText="1"/>
    </xf>
    <xf numFmtId="0" fontId="3" fillId="0" borderId="55" xfId="1" applyBorder="1" applyAlignment="1">
      <alignment wrapText="1"/>
    </xf>
    <xf numFmtId="0" fontId="3" fillId="0" borderId="56" xfId="1" applyBorder="1" applyAlignment="1">
      <alignment horizontal="right" wrapText="1"/>
    </xf>
    <xf numFmtId="1" fontId="3" fillId="0" borderId="55" xfId="1" applyNumberFormat="1" applyBorder="1" applyAlignment="1">
      <alignment horizontal="center" wrapText="1"/>
    </xf>
    <xf numFmtId="0" fontId="3" fillId="0" borderId="65" xfId="1" applyBorder="1" applyAlignment="1">
      <alignment horizontal="right" wrapText="1"/>
    </xf>
    <xf numFmtId="1" fontId="3" fillId="0" borderId="57" xfId="1" applyNumberFormat="1" applyBorder="1" applyAlignment="1">
      <alignment horizontal="center" wrapText="1"/>
    </xf>
    <xf numFmtId="0" fontId="3" fillId="0" borderId="57" xfId="1" applyBorder="1" applyAlignment="1">
      <alignment wrapText="1"/>
    </xf>
    <xf numFmtId="3" fontId="8" fillId="0" borderId="61" xfId="1" applyNumberFormat="1" applyFont="1" applyBorder="1" applyAlignment="1">
      <alignment horizontal="center" wrapText="1"/>
    </xf>
    <xf numFmtId="0" fontId="8" fillId="0" borderId="0" xfId="1" applyFont="1" applyAlignment="1">
      <alignment horizontal="center" wrapText="1"/>
    </xf>
    <xf numFmtId="3" fontId="3" fillId="0" borderId="0" xfId="1" applyNumberFormat="1" applyAlignment="1">
      <alignment horizontal="center" wrapText="1"/>
    </xf>
    <xf numFmtId="39" fontId="3" fillId="6" borderId="54" xfId="1" applyNumberFormat="1" applyFill="1" applyBorder="1" applyAlignment="1">
      <alignment horizontal="center" wrapText="1"/>
    </xf>
    <xf numFmtId="1" fontId="3" fillId="0" borderId="68" xfId="1" applyNumberFormat="1" applyBorder="1" applyAlignment="1">
      <alignment horizontal="center" wrapText="1"/>
    </xf>
    <xf numFmtId="0" fontId="3" fillId="0" borderId="68" xfId="1" applyBorder="1" applyAlignment="1">
      <alignment wrapText="1"/>
    </xf>
    <xf numFmtId="1" fontId="3" fillId="0" borderId="0" xfId="1" applyNumberFormat="1"/>
    <xf numFmtId="0" fontId="2" fillId="5" borderId="0" xfId="0" applyFont="1" applyFill="1" applyAlignment="1">
      <alignment horizontal="center"/>
    </xf>
    <xf numFmtId="41" fontId="3" fillId="0" borderId="7" xfId="0" applyNumberFormat="1" applyFont="1" applyBorder="1" applyAlignment="1">
      <alignment horizontal="center"/>
    </xf>
    <xf numFmtId="41" fontId="3" fillId="5" borderId="7" xfId="0" applyNumberFormat="1" applyFont="1" applyFill="1" applyBorder="1" applyAlignment="1">
      <alignment horizontal="center"/>
    </xf>
    <xf numFmtId="41" fontId="2" fillId="5" borderId="53" xfId="0" applyNumberFormat="1" applyFont="1" applyFill="1" applyBorder="1" applyAlignment="1">
      <alignment horizontal="center"/>
    </xf>
    <xf numFmtId="0" fontId="2" fillId="5" borderId="0" xfId="0" applyFont="1" applyFill="1" applyAlignment="1">
      <alignment horizontal="center" vertical="top"/>
    </xf>
    <xf numFmtId="41" fontId="2" fillId="0" borderId="53" xfId="0" applyNumberFormat="1" applyFont="1" applyBorder="1" applyAlignment="1">
      <alignment horizontal="center"/>
    </xf>
    <xf numFmtId="41" fontId="2" fillId="0" borderId="7" xfId="0" applyNumberFormat="1" applyFont="1" applyBorder="1" applyAlignment="1">
      <alignment horizontal="center"/>
    </xf>
    <xf numFmtId="38" fontId="6" fillId="5" borderId="26" xfId="0" applyNumberFormat="1" applyFont="1" applyFill="1" applyBorder="1"/>
    <xf numFmtId="0" fontId="14" fillId="0" borderId="0" xfId="0" applyFont="1" applyAlignment="1">
      <alignment horizontal="left" vertical="center"/>
    </xf>
    <xf numFmtId="0" fontId="2" fillId="0" borderId="0" xfId="0" applyFont="1"/>
    <xf numFmtId="0" fontId="14" fillId="0" borderId="50" xfId="0" applyFont="1" applyBorder="1" applyAlignment="1">
      <alignment horizontal="left" vertical="center"/>
    </xf>
    <xf numFmtId="0" fontId="6" fillId="3" borderId="4" xfId="0" applyFont="1" applyFill="1" applyBorder="1" applyAlignment="1">
      <alignment horizontal="center" vertical="center" wrapText="1"/>
    </xf>
    <xf numFmtId="0" fontId="1" fillId="8" borderId="37" xfId="0" applyFont="1" applyFill="1" applyBorder="1" applyAlignment="1" applyProtection="1">
      <alignment horizontal="center" vertical="center"/>
      <protection locked="0"/>
    </xf>
    <xf numFmtId="0" fontId="1" fillId="8" borderId="15" xfId="0" applyFont="1" applyFill="1" applyBorder="1" applyAlignment="1" applyProtection="1">
      <alignment horizontal="center" vertical="center"/>
      <protection locked="0"/>
    </xf>
    <xf numFmtId="10" fontId="1" fillId="8" borderId="28" xfId="0" applyNumberFormat="1" applyFont="1" applyFill="1" applyBorder="1" applyAlignment="1" applyProtection="1">
      <alignment horizontal="center" vertical="center"/>
      <protection locked="0"/>
    </xf>
    <xf numFmtId="9" fontId="1" fillId="8" borderId="33" xfId="0" applyNumberFormat="1" applyFont="1" applyFill="1" applyBorder="1" applyAlignment="1" applyProtection="1">
      <alignment horizontal="center" vertical="center"/>
      <protection locked="0"/>
    </xf>
    <xf numFmtId="0" fontId="1" fillId="8" borderId="28" xfId="0" applyFont="1" applyFill="1" applyBorder="1" applyAlignment="1" applyProtection="1">
      <alignment horizontal="center" vertical="center"/>
      <protection locked="0"/>
    </xf>
    <xf numFmtId="3" fontId="1" fillId="8" borderId="28" xfId="0" applyNumberFormat="1" applyFont="1" applyFill="1" applyBorder="1" applyAlignment="1" applyProtection="1">
      <alignment horizontal="center" vertical="center"/>
      <protection locked="0"/>
    </xf>
    <xf numFmtId="0" fontId="1" fillId="8" borderId="30" xfId="0" applyFont="1" applyFill="1" applyBorder="1" applyAlignment="1" applyProtection="1">
      <alignment horizontal="center" vertical="center"/>
      <protection locked="0"/>
    </xf>
    <xf numFmtId="0" fontId="1" fillId="8" borderId="37" xfId="0" applyFont="1" applyFill="1" applyBorder="1" applyAlignment="1" applyProtection="1">
      <alignment vertical="center"/>
      <protection locked="0"/>
    </xf>
    <xf numFmtId="0" fontId="1" fillId="8" borderId="9" xfId="0" applyFont="1" applyFill="1" applyBorder="1" applyAlignment="1" applyProtection="1">
      <alignment horizontal="center" vertical="center"/>
      <protection locked="0"/>
    </xf>
    <xf numFmtId="1" fontId="14" fillId="8" borderId="31" xfId="0" applyNumberFormat="1" applyFont="1" applyFill="1" applyBorder="1" applyAlignment="1">
      <alignment horizontal="left" vertical="center"/>
    </xf>
    <xf numFmtId="0" fontId="3" fillId="7" borderId="0" xfId="1" applyFill="1"/>
    <xf numFmtId="0" fontId="3" fillId="6" borderId="0" xfId="1" applyFill="1"/>
    <xf numFmtId="0" fontId="3" fillId="4" borderId="0" xfId="1" applyFill="1"/>
    <xf numFmtId="10" fontId="6" fillId="3" borderId="31" xfId="0" applyNumberFormat="1" applyFont="1" applyFill="1" applyBorder="1" applyAlignment="1" applyProtection="1">
      <alignment horizontal="center" vertical="center"/>
      <protection locked="0"/>
    </xf>
    <xf numFmtId="0" fontId="3" fillId="8" borderId="31" xfId="1" applyFill="1" applyBorder="1"/>
    <xf numFmtId="0" fontId="2" fillId="6" borderId="31" xfId="0" applyFont="1" applyFill="1" applyBorder="1"/>
    <xf numFmtId="0" fontId="0" fillId="8" borderId="1" xfId="0" applyFill="1" applyBorder="1"/>
    <xf numFmtId="0" fontId="0" fillId="8" borderId="53" xfId="0" applyFill="1" applyBorder="1"/>
    <xf numFmtId="0" fontId="3" fillId="14" borderId="53" xfId="1" applyFill="1" applyBorder="1" applyAlignment="1">
      <alignment wrapText="1"/>
    </xf>
    <xf numFmtId="0" fontId="3" fillId="14" borderId="53" xfId="1" applyFill="1" applyBorder="1"/>
    <xf numFmtId="169" fontId="13" fillId="6" borderId="9" xfId="0" applyNumberFormat="1" applyFont="1" applyFill="1" applyBorder="1" applyAlignment="1">
      <alignment horizontal="center"/>
    </xf>
    <xf numFmtId="169" fontId="13" fillId="6" borderId="10" xfId="0" applyNumberFormat="1" applyFont="1" applyFill="1" applyBorder="1" applyAlignment="1">
      <alignment horizontal="center"/>
    </xf>
    <xf numFmtId="171" fontId="1" fillId="0" borderId="0" xfId="0" applyNumberFormat="1" applyFont="1" applyAlignment="1">
      <alignment horizontal="center" vertical="center"/>
    </xf>
    <xf numFmtId="172" fontId="5" fillId="6" borderId="6" xfId="0" applyNumberFormat="1" applyFont="1" applyFill="1" applyBorder="1" applyProtection="1">
      <protection locked="0"/>
    </xf>
    <xf numFmtId="172" fontId="5" fillId="0" borderId="6" xfId="0" applyNumberFormat="1" applyFont="1" applyBorder="1"/>
    <xf numFmtId="172" fontId="5" fillId="0" borderId="3" xfId="0" applyNumberFormat="1" applyFont="1" applyBorder="1"/>
    <xf numFmtId="172" fontId="5" fillId="0" borderId="40" xfId="0" applyNumberFormat="1" applyFont="1" applyBorder="1"/>
    <xf numFmtId="172" fontId="5" fillId="0" borderId="1" xfId="0" applyNumberFormat="1" applyFont="1" applyBorder="1"/>
    <xf numFmtId="172" fontId="5" fillId="0" borderId="4" xfId="0" applyNumberFormat="1" applyFont="1" applyBorder="1"/>
    <xf numFmtId="172" fontId="5" fillId="0" borderId="7" xfId="0" applyNumberFormat="1" applyFont="1" applyBorder="1"/>
    <xf numFmtId="173" fontId="4" fillId="5" borderId="53" xfId="0" applyNumberFormat="1" applyFont="1" applyFill="1" applyBorder="1" applyAlignment="1">
      <alignment horizontal="center"/>
    </xf>
    <xf numFmtId="172" fontId="5" fillId="5" borderId="6" xfId="0" applyNumberFormat="1" applyFont="1" applyFill="1" applyBorder="1"/>
    <xf numFmtId="172" fontId="5" fillId="5" borderId="3" xfId="0" applyNumberFormat="1" applyFont="1" applyFill="1" applyBorder="1"/>
    <xf numFmtId="172" fontId="5" fillId="5" borderId="7" xfId="0" applyNumberFormat="1" applyFont="1" applyFill="1" applyBorder="1"/>
    <xf numFmtId="172" fontId="5" fillId="5" borderId="1" xfId="0" applyNumberFormat="1" applyFont="1" applyFill="1" applyBorder="1"/>
    <xf numFmtId="173" fontId="4" fillId="0" borderId="53" xfId="0" applyNumberFormat="1" applyFont="1" applyBorder="1" applyAlignment="1">
      <alignment horizontal="center"/>
    </xf>
    <xf numFmtId="173" fontId="3" fillId="0" borderId="53" xfId="0" applyNumberFormat="1" applyFont="1" applyBorder="1" applyAlignment="1">
      <alignment horizontal="center"/>
    </xf>
    <xf numFmtId="171" fontId="6" fillId="5" borderId="26" xfId="0" applyNumberFormat="1" applyFont="1" applyFill="1" applyBorder="1"/>
    <xf numFmtId="171" fontId="6" fillId="5" borderId="28" xfId="0" applyNumberFormat="1" applyFont="1" applyFill="1" applyBorder="1"/>
    <xf numFmtId="169" fontId="11" fillId="0" borderId="0" xfId="0" applyNumberFormat="1" applyFont="1"/>
    <xf numFmtId="171" fontId="0" fillId="0" borderId="0" xfId="0" applyNumberFormat="1"/>
    <xf numFmtId="0" fontId="0" fillId="0" borderId="53" xfId="0" applyBorder="1"/>
    <xf numFmtId="0" fontId="11" fillId="0" borderId="0" xfId="53" applyFont="1"/>
    <xf numFmtId="43" fontId="8" fillId="0" borderId="0" xfId="1" applyNumberFormat="1" applyFont="1"/>
    <xf numFmtId="0" fontId="8" fillId="0" borderId="0" xfId="1" applyFont="1"/>
    <xf numFmtId="0" fontId="8" fillId="0" borderId="0" xfId="1" applyFont="1" applyAlignment="1">
      <alignment wrapText="1"/>
    </xf>
    <xf numFmtId="0" fontId="15" fillId="0" borderId="0" xfId="53"/>
    <xf numFmtId="43" fontId="0" fillId="0" borderId="0" xfId="2" applyNumberFormat="1" applyFont="1"/>
    <xf numFmtId="43" fontId="3" fillId="0" borderId="0" xfId="1" applyNumberFormat="1"/>
    <xf numFmtId="0" fontId="0" fillId="0" borderId="0" xfId="0"/>
    <xf numFmtId="2" fontId="15" fillId="0" borderId="0" xfId="53" applyNumberFormat="1"/>
    <xf numFmtId="0" fontId="26" fillId="0" borderId="0" xfId="0" applyFont="1"/>
    <xf numFmtId="0" fontId="3" fillId="0" borderId="0" xfId="1"/>
    <xf numFmtId="0" fontId="3" fillId="0" borderId="0" xfId="1" applyAlignment="1">
      <alignment wrapText="1"/>
    </xf>
    <xf numFmtId="0" fontId="3" fillId="0" borderId="0" xfId="1" applyAlignment="1">
      <alignment horizontal="center" wrapText="1"/>
    </xf>
    <xf numFmtId="0" fontId="3" fillId="0" borderId="0" xfId="1" applyAlignment="1">
      <alignment horizontal="center"/>
    </xf>
    <xf numFmtId="0" fontId="13" fillId="2" borderId="8"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2" fillId="0" borderId="0" xfId="0" applyFont="1" applyAlignment="1">
      <alignment horizontal="left" vertical="center"/>
    </xf>
    <xf numFmtId="164" fontId="3" fillId="0" borderId="0" xfId="1" applyNumberFormat="1"/>
    <xf numFmtId="164" fontId="0" fillId="4" borderId="53" xfId="5" applyNumberFormat="1" applyFont="1" applyFill="1" applyBorder="1"/>
    <xf numFmtId="164" fontId="2" fillId="8" borderId="53" xfId="1" applyNumberFormat="1" applyFont="1" applyFill="1" applyBorder="1" applyAlignment="1">
      <alignment horizontal="center" vertical="center"/>
    </xf>
    <xf numFmtId="164" fontId="0" fillId="0" borderId="60" xfId="5" applyNumberFormat="1" applyFont="1" applyBorder="1"/>
    <xf numFmtId="164" fontId="0" fillId="0" borderId="0" xfId="5" applyNumberFormat="1" applyFont="1"/>
    <xf numFmtId="164" fontId="0" fillId="0" borderId="78" xfId="5" applyNumberFormat="1" applyFont="1" applyBorder="1"/>
    <xf numFmtId="165" fontId="3" fillId="0" borderId="0" xfId="1" applyNumberFormat="1"/>
    <xf numFmtId="166" fontId="3" fillId="5" borderId="53" xfId="1" applyNumberFormat="1" applyFill="1" applyBorder="1"/>
    <xf numFmtId="174" fontId="3" fillId="0" borderId="53" xfId="1" applyNumberFormat="1" applyBorder="1"/>
    <xf numFmtId="174" fontId="3" fillId="0" borderId="2" xfId="1" applyNumberFormat="1" applyBorder="1"/>
    <xf numFmtId="167" fontId="3" fillId="6" borderId="0" xfId="1" applyNumberFormat="1" applyFill="1"/>
    <xf numFmtId="167" fontId="3" fillId="8" borderId="11" xfId="1" applyNumberFormat="1" applyFill="1" applyBorder="1" applyAlignment="1">
      <alignment wrapText="1"/>
    </xf>
    <xf numFmtId="167" fontId="3" fillId="8" borderId="22" xfId="1" applyNumberFormat="1" applyFill="1" applyBorder="1" applyAlignment="1">
      <alignment wrapText="1"/>
    </xf>
    <xf numFmtId="167" fontId="3" fillId="8" borderId="13" xfId="1" applyNumberFormat="1" applyFill="1" applyBorder="1" applyAlignment="1">
      <alignment wrapText="1"/>
    </xf>
    <xf numFmtId="167" fontId="3" fillId="6" borderId="39" xfId="1" applyNumberFormat="1" applyFill="1" applyBorder="1" applyAlignment="1">
      <alignment wrapText="1"/>
    </xf>
    <xf numFmtId="6" fontId="3" fillId="0" borderId="54" xfId="1" applyNumberFormat="1" applyBorder="1" applyAlignment="1">
      <alignment horizontal="right" wrapText="1"/>
    </xf>
    <xf numFmtId="6" fontId="3" fillId="6" borderId="54" xfId="1" applyNumberFormat="1" applyFill="1" applyBorder="1" applyAlignment="1">
      <alignment horizontal="center" wrapText="1"/>
    </xf>
    <xf numFmtId="167" fontId="3" fillId="8" borderId="53" xfId="1" applyNumberFormat="1" applyFill="1" applyBorder="1" applyAlignment="1">
      <alignment wrapText="1"/>
    </xf>
    <xf numFmtId="167" fontId="3" fillId="8" borderId="2" xfId="1" applyNumberFormat="1" applyFill="1" applyBorder="1" applyAlignment="1">
      <alignment wrapText="1"/>
    </xf>
    <xf numFmtId="167" fontId="3" fillId="8" borderId="7" xfId="1" applyNumberFormat="1" applyFill="1" applyBorder="1" applyAlignment="1">
      <alignment wrapText="1"/>
    </xf>
    <xf numFmtId="167" fontId="3" fillId="6" borderId="3" xfId="1" applyNumberFormat="1" applyFill="1" applyBorder="1" applyAlignment="1">
      <alignment wrapText="1"/>
    </xf>
    <xf numFmtId="167" fontId="3" fillId="6" borderId="53" xfId="1" applyNumberFormat="1" applyFill="1" applyBorder="1" applyAlignment="1">
      <alignment wrapText="1"/>
    </xf>
    <xf numFmtId="167" fontId="3" fillId="6" borderId="2" xfId="1" applyNumberFormat="1" applyFill="1" applyBorder="1" applyAlignment="1">
      <alignment wrapText="1"/>
    </xf>
    <xf numFmtId="167" fontId="3" fillId="6" borderId="7" xfId="1" applyNumberFormat="1" applyFill="1" applyBorder="1" applyAlignment="1">
      <alignment wrapText="1"/>
    </xf>
    <xf numFmtId="167" fontId="3" fillId="6" borderId="29" xfId="1" applyNumberFormat="1" applyFill="1" applyBorder="1" applyAlignment="1">
      <alignment wrapText="1"/>
    </xf>
    <xf numFmtId="167" fontId="3" fillId="6" borderId="69" xfId="1" applyNumberFormat="1" applyFill="1" applyBorder="1" applyAlignment="1">
      <alignment wrapText="1"/>
    </xf>
    <xf numFmtId="167" fontId="3" fillId="6" borderId="20" xfId="1" applyNumberFormat="1" applyFill="1" applyBorder="1" applyAlignment="1">
      <alignment wrapText="1"/>
    </xf>
    <xf numFmtId="167" fontId="3" fillId="8" borderId="23" xfId="1" applyNumberFormat="1" applyFill="1" applyBorder="1" applyAlignment="1">
      <alignment wrapText="1"/>
    </xf>
    <xf numFmtId="167" fontId="3" fillId="8" borderId="29" xfId="1" applyNumberFormat="1" applyFill="1" applyBorder="1" applyAlignment="1">
      <alignment wrapText="1"/>
    </xf>
    <xf numFmtId="167" fontId="3" fillId="8" borderId="69" xfId="1" applyNumberFormat="1" applyFill="1" applyBorder="1" applyAlignment="1">
      <alignment wrapText="1"/>
    </xf>
    <xf numFmtId="167" fontId="3" fillId="8" borderId="20" xfId="1" applyNumberFormat="1" applyFill="1" applyBorder="1" applyAlignment="1">
      <alignment wrapText="1"/>
    </xf>
    <xf numFmtId="167" fontId="3" fillId="6" borderId="70" xfId="1" applyNumberFormat="1" applyFill="1" applyBorder="1" applyAlignment="1">
      <alignment wrapText="1"/>
    </xf>
    <xf numFmtId="167" fontId="3" fillId="6" borderId="24" xfId="1" applyNumberFormat="1" applyFill="1" applyBorder="1" applyAlignment="1">
      <alignment wrapText="1"/>
    </xf>
    <xf numFmtId="167" fontId="3" fillId="6" borderId="67" xfId="1" applyNumberFormat="1" applyFill="1" applyBorder="1" applyAlignment="1">
      <alignment wrapText="1"/>
    </xf>
    <xf numFmtId="167" fontId="3" fillId="6" borderId="40" xfId="1" applyNumberFormat="1" applyFill="1" applyBorder="1" applyAlignment="1">
      <alignment wrapText="1"/>
    </xf>
    <xf numFmtId="167" fontId="3" fillId="6" borderId="77" xfId="1" applyNumberFormat="1" applyFill="1" applyBorder="1" applyAlignment="1">
      <alignment wrapText="1"/>
    </xf>
    <xf numFmtId="167" fontId="3" fillId="8" borderId="24" xfId="1" applyNumberFormat="1" applyFill="1" applyBorder="1" applyAlignment="1">
      <alignment wrapText="1"/>
    </xf>
    <xf numFmtId="167" fontId="3" fillId="8" borderId="9" xfId="1" applyNumberFormat="1" applyFill="1" applyBorder="1" applyAlignment="1">
      <alignment wrapText="1"/>
    </xf>
    <xf numFmtId="167" fontId="3" fillId="8" borderId="66" xfId="1" applyNumberFormat="1" applyFill="1" applyBorder="1" applyAlignment="1">
      <alignment wrapText="1"/>
    </xf>
    <xf numFmtId="167" fontId="3" fillId="8" borderId="10" xfId="1" applyNumberFormat="1" applyFill="1" applyBorder="1" applyAlignment="1">
      <alignment wrapText="1"/>
    </xf>
    <xf numFmtId="167" fontId="8" fillId="6" borderId="64" xfId="1" applyNumberFormat="1" applyFont="1" applyFill="1" applyBorder="1" applyAlignment="1">
      <alignment horizontal="center" wrapText="1"/>
    </xf>
    <xf numFmtId="167" fontId="8" fillId="6" borderId="72" xfId="1" applyNumberFormat="1" applyFont="1" applyFill="1" applyBorder="1" applyAlignment="1">
      <alignment horizontal="center" wrapText="1"/>
    </xf>
    <xf numFmtId="167" fontId="8" fillId="0" borderId="73" xfId="1" applyNumberFormat="1" applyFont="1" applyBorder="1" applyAlignment="1">
      <alignment horizontal="center" wrapText="1"/>
    </xf>
    <xf numFmtId="167" fontId="8" fillId="0" borderId="0" xfId="1" applyNumberFormat="1" applyFont="1" applyAlignment="1">
      <alignment horizontal="center" wrapText="1"/>
    </xf>
    <xf numFmtId="167" fontId="3" fillId="6" borderId="4" xfId="1" applyNumberFormat="1" applyFill="1" applyBorder="1" applyAlignment="1">
      <alignment wrapText="1"/>
    </xf>
    <xf numFmtId="167" fontId="3" fillId="6" borderId="32" xfId="1" applyNumberFormat="1" applyFill="1" applyBorder="1" applyAlignment="1">
      <alignment wrapText="1"/>
    </xf>
    <xf numFmtId="167" fontId="3" fillId="6" borderId="51" xfId="1" applyNumberFormat="1" applyFill="1" applyBorder="1" applyAlignment="1">
      <alignment wrapText="1"/>
    </xf>
    <xf numFmtId="167" fontId="3" fillId="6" borderId="5" xfId="1" applyNumberFormat="1" applyFill="1" applyBorder="1" applyAlignment="1">
      <alignment wrapText="1"/>
    </xf>
    <xf numFmtId="167" fontId="3" fillId="6" borderId="42" xfId="1" applyNumberFormat="1" applyFill="1" applyBorder="1" applyAlignment="1">
      <alignment wrapText="1"/>
    </xf>
    <xf numFmtId="6" fontId="3" fillId="6" borderId="54" xfId="1" applyNumberFormat="1" applyFill="1" applyBorder="1" applyAlignment="1">
      <alignment horizontal="right" wrapText="1"/>
    </xf>
    <xf numFmtId="167" fontId="3" fillId="6" borderId="6" xfId="1" applyNumberFormat="1" applyFill="1" applyBorder="1" applyAlignment="1">
      <alignment wrapText="1"/>
    </xf>
    <xf numFmtId="167" fontId="3" fillId="6" borderId="11" xfId="1" applyNumberFormat="1" applyFill="1" applyBorder="1" applyAlignment="1">
      <alignment wrapText="1"/>
    </xf>
    <xf numFmtId="167" fontId="3" fillId="6" borderId="8" xfId="1" applyNumberFormat="1" applyFill="1" applyBorder="1" applyAlignment="1">
      <alignment wrapText="1"/>
    </xf>
    <xf numFmtId="167" fontId="3" fillId="6" borderId="9" xfId="1" applyNumberFormat="1" applyFill="1" applyBorder="1" applyAlignment="1">
      <alignment wrapText="1"/>
    </xf>
    <xf numFmtId="167" fontId="3" fillId="6" borderId="66" xfId="1" applyNumberFormat="1" applyFill="1" applyBorder="1" applyAlignment="1">
      <alignment wrapText="1"/>
    </xf>
    <xf numFmtId="167" fontId="3" fillId="6" borderId="10" xfId="1" applyNumberFormat="1" applyFill="1" applyBorder="1" applyAlignment="1">
      <alignment wrapText="1"/>
    </xf>
    <xf numFmtId="167" fontId="3" fillId="6" borderId="12" xfId="1" applyNumberFormat="1" applyFill="1" applyBorder="1" applyAlignment="1">
      <alignment wrapText="1"/>
    </xf>
    <xf numFmtId="167" fontId="3" fillId="6" borderId="22" xfId="1" applyNumberFormat="1" applyFill="1" applyBorder="1" applyAlignment="1">
      <alignment wrapText="1"/>
    </xf>
    <xf numFmtId="167" fontId="3" fillId="6" borderId="13" xfId="1" applyNumberFormat="1" applyFill="1" applyBorder="1" applyAlignment="1">
      <alignment wrapText="1"/>
    </xf>
    <xf numFmtId="6" fontId="3" fillId="6" borderId="56" xfId="1" applyNumberFormat="1" applyFill="1" applyBorder="1" applyAlignment="1">
      <alignment horizontal="right" wrapText="1"/>
    </xf>
    <xf numFmtId="6" fontId="3" fillId="6" borderId="56" xfId="1" applyNumberFormat="1" applyFill="1" applyBorder="1" applyAlignment="1">
      <alignment horizontal="center" wrapText="1"/>
    </xf>
    <xf numFmtId="167" fontId="3" fillId="6" borderId="43" xfId="1" applyNumberFormat="1" applyFill="1" applyBorder="1" applyAlignment="1">
      <alignment wrapText="1"/>
    </xf>
    <xf numFmtId="6" fontId="3" fillId="6" borderId="65" xfId="1" applyNumberFormat="1" applyFill="1" applyBorder="1" applyAlignment="1">
      <alignment horizontal="right" wrapText="1"/>
    </xf>
    <xf numFmtId="6" fontId="3" fillId="6" borderId="65" xfId="1" applyNumberFormat="1" applyFill="1" applyBorder="1" applyAlignment="1">
      <alignment horizontal="center" wrapText="1"/>
    </xf>
    <xf numFmtId="167" fontId="8" fillId="6" borderId="14" xfId="1" applyNumberFormat="1" applyFont="1" applyFill="1" applyBorder="1" applyAlignment="1">
      <alignment horizontal="center" wrapText="1"/>
    </xf>
    <xf numFmtId="167" fontId="8" fillId="6" borderId="15" xfId="1" applyNumberFormat="1" applyFont="1" applyFill="1" applyBorder="1" applyAlignment="1">
      <alignment horizontal="center" wrapText="1"/>
    </xf>
    <xf numFmtId="167" fontId="8" fillId="6" borderId="21" xfId="1" applyNumberFormat="1" applyFont="1" applyFill="1" applyBorder="1" applyAlignment="1">
      <alignment horizontal="center" wrapText="1"/>
    </xf>
    <xf numFmtId="167" fontId="8" fillId="6" borderId="17" xfId="1" applyNumberFormat="1" applyFont="1" applyFill="1" applyBorder="1" applyAlignment="1">
      <alignment horizontal="center" wrapText="1"/>
    </xf>
    <xf numFmtId="167" fontId="8" fillId="6" borderId="16" xfId="1" applyNumberFormat="1" applyFont="1" applyFill="1" applyBorder="1" applyAlignment="1">
      <alignment horizontal="center" wrapText="1"/>
    </xf>
    <xf numFmtId="167" fontId="8" fillId="6" borderId="0" xfId="1" applyNumberFormat="1" applyFont="1" applyFill="1" applyAlignment="1">
      <alignment horizontal="center" wrapText="1"/>
    </xf>
    <xf numFmtId="167" fontId="3" fillId="0" borderId="0" xfId="1" applyNumberFormat="1" applyAlignment="1">
      <alignment wrapText="1"/>
    </xf>
    <xf numFmtId="167" fontId="8" fillId="0" borderId="0" xfId="1" applyNumberFormat="1" applyFont="1" applyAlignment="1">
      <alignment wrapText="1"/>
    </xf>
    <xf numFmtId="165" fontId="3" fillId="7" borderId="53" xfId="1" applyNumberFormat="1" applyFill="1" applyBorder="1"/>
    <xf numFmtId="168" fontId="0" fillId="6" borderId="1" xfId="0" applyNumberFormat="1" applyFill="1" applyBorder="1"/>
    <xf numFmtId="168" fontId="0" fillId="0" borderId="1" xfId="0" applyNumberFormat="1" applyBorder="1"/>
    <xf numFmtId="6" fontId="2" fillId="0" borderId="0" xfId="0" applyNumberFormat="1" applyFont="1"/>
    <xf numFmtId="167" fontId="1" fillId="6" borderId="31" xfId="0" applyNumberFormat="1" applyFont="1" applyFill="1" applyBorder="1" applyAlignment="1">
      <alignment horizontal="center" vertical="center"/>
    </xf>
    <xf numFmtId="170" fontId="1" fillId="8" borderId="34" xfId="0" applyNumberFormat="1" applyFont="1" applyFill="1" applyBorder="1" applyAlignment="1" applyProtection="1">
      <alignment horizontal="center" vertical="center"/>
      <protection locked="0"/>
    </xf>
    <xf numFmtId="170" fontId="1" fillId="8" borderId="41" xfId="0" applyNumberFormat="1" applyFont="1" applyFill="1" applyBorder="1" applyAlignment="1" applyProtection="1">
      <alignment horizontal="center" vertical="center"/>
      <protection locked="0"/>
    </xf>
    <xf numFmtId="170" fontId="1" fillId="8" borderId="8" xfId="0" applyNumberFormat="1" applyFont="1" applyFill="1" applyBorder="1" applyAlignment="1" applyProtection="1">
      <alignment horizontal="center" vertical="center"/>
      <protection locked="0"/>
    </xf>
    <xf numFmtId="170" fontId="1" fillId="0" borderId="50" xfId="0" applyNumberFormat="1" applyFont="1" applyBorder="1" applyAlignment="1" applyProtection="1">
      <alignment horizontal="center" vertical="center"/>
      <protection locked="0"/>
    </xf>
    <xf numFmtId="170" fontId="1" fillId="0" borderId="0" xfId="0" applyNumberFormat="1" applyFont="1" applyAlignment="1" applyProtection="1">
      <alignment horizontal="center" vertical="center"/>
      <protection locked="0"/>
    </xf>
    <xf numFmtId="1" fontId="1" fillId="6" borderId="31" xfId="0" applyNumberFormat="1" applyFont="1" applyFill="1" applyBorder="1" applyAlignment="1">
      <alignment horizontal="center" vertical="center"/>
    </xf>
    <xf numFmtId="0" fontId="3" fillId="0" borderId="0" xfId="1" applyBorder="1" applyAlignment="1">
      <alignment wrapText="1"/>
    </xf>
    <xf numFmtId="0" fontId="0" fillId="0" borderId="0" xfId="0" applyBorder="1"/>
    <xf numFmtId="0" fontId="3" fillId="0" borderId="0" xfId="1"/>
    <xf numFmtId="0" fontId="2" fillId="8" borderId="18" xfId="0" applyFont="1" applyFill="1" applyBorder="1" applyAlignment="1">
      <alignment horizontal="center" vertical="center"/>
    </xf>
    <xf numFmtId="0" fontId="2" fillId="8" borderId="16" xfId="0" applyFont="1" applyFill="1" applyBorder="1" applyAlignment="1">
      <alignment horizontal="center" vertical="center"/>
    </xf>
    <xf numFmtId="0" fontId="2" fillId="6" borderId="18" xfId="0" applyFont="1" applyFill="1" applyBorder="1" applyAlignment="1">
      <alignment horizontal="center" vertical="center"/>
    </xf>
    <xf numFmtId="0" fontId="0" fillId="0" borderId="16" xfId="0" applyBorder="1"/>
    <xf numFmtId="0" fontId="8" fillId="0" borderId="18" xfId="1" applyFont="1" applyBorder="1" applyAlignment="1">
      <alignment horizontal="center"/>
    </xf>
    <xf numFmtId="0" fontId="0" fillId="0" borderId="25" xfId="0" applyBorder="1" applyAlignment="1">
      <alignment horizontal="center"/>
    </xf>
    <xf numFmtId="0" fontId="0" fillId="0" borderId="16" xfId="0" applyBorder="1" applyAlignment="1">
      <alignment horizontal="center"/>
    </xf>
    <xf numFmtId="0" fontId="8" fillId="0" borderId="65" xfId="1" applyFont="1" applyBorder="1" applyAlignment="1">
      <alignment horizontal="center" wrapText="1"/>
    </xf>
    <xf numFmtId="0" fontId="11" fillId="0" borderId="79" xfId="0" applyFont="1" applyBorder="1" applyAlignment="1">
      <alignment horizontal="center" wrapText="1"/>
    </xf>
    <xf numFmtId="0" fontId="11" fillId="0" borderId="67" xfId="0" applyFont="1" applyBorder="1" applyAlignment="1">
      <alignment horizontal="center" wrapText="1"/>
    </xf>
    <xf numFmtId="0" fontId="8" fillId="0" borderId="35" xfId="1" applyFont="1" applyBorder="1" applyAlignment="1">
      <alignment horizontal="center" wrapText="1"/>
    </xf>
    <xf numFmtId="0" fontId="8" fillId="0" borderId="36" xfId="1" applyFont="1" applyBorder="1" applyAlignment="1">
      <alignment horizontal="center" wrapText="1"/>
    </xf>
    <xf numFmtId="0" fontId="8" fillId="0" borderId="37" xfId="1" applyFont="1" applyBorder="1" applyAlignment="1">
      <alignment horizontal="center" wrapText="1"/>
    </xf>
    <xf numFmtId="0" fontId="8" fillId="0" borderId="26" xfId="1" applyFont="1" applyBorder="1" applyAlignment="1">
      <alignment horizontal="center" wrapText="1"/>
    </xf>
    <xf numFmtId="0" fontId="8" fillId="0" borderId="49" xfId="1" applyFont="1" applyBorder="1" applyAlignment="1">
      <alignment horizontal="center" wrapText="1"/>
    </xf>
    <xf numFmtId="0" fontId="8" fillId="0" borderId="27" xfId="1" applyFont="1" applyBorder="1" applyAlignment="1">
      <alignment horizontal="center" wrapText="1"/>
    </xf>
    <xf numFmtId="0" fontId="8" fillId="0" borderId="74" xfId="1" applyFont="1" applyBorder="1" applyAlignment="1">
      <alignment horizontal="center" wrapText="1"/>
    </xf>
    <xf numFmtId="0" fontId="8" fillId="0" borderId="38" xfId="1" applyFont="1" applyBorder="1" applyAlignment="1">
      <alignment horizontal="center" wrapText="1"/>
    </xf>
    <xf numFmtId="0" fontId="8" fillId="6" borderId="74" xfId="1" applyFont="1" applyFill="1" applyBorder="1" applyAlignment="1">
      <alignment horizontal="center" wrapText="1"/>
    </xf>
    <xf numFmtId="0" fontId="8" fillId="6" borderId="39" xfId="1" applyFont="1" applyFill="1" applyBorder="1" applyAlignment="1">
      <alignment horizontal="center" wrapText="1"/>
    </xf>
    <xf numFmtId="0" fontId="8" fillId="6" borderId="46" xfId="1" applyFont="1" applyFill="1" applyBorder="1" applyAlignment="1">
      <alignment horizontal="center" wrapText="1"/>
    </xf>
    <xf numFmtId="0" fontId="8" fillId="6" borderId="42" xfId="1" applyFont="1" applyFill="1" applyBorder="1" applyAlignment="1">
      <alignment horizontal="center" wrapText="1"/>
    </xf>
    <xf numFmtId="0" fontId="8" fillId="6" borderId="14" xfId="1" applyFont="1" applyFill="1" applyBorder="1" applyAlignment="1">
      <alignment horizontal="center" wrapText="1"/>
    </xf>
    <xf numFmtId="0" fontId="8" fillId="6" borderId="15" xfId="1" applyFont="1" applyFill="1" applyBorder="1" applyAlignment="1">
      <alignment horizontal="center" wrapText="1"/>
    </xf>
    <xf numFmtId="0" fontId="3" fillId="6" borderId="21" xfId="1" applyFill="1" applyBorder="1" applyAlignment="1">
      <alignment horizontal="center" wrapText="1"/>
    </xf>
    <xf numFmtId="0" fontId="8" fillId="0" borderId="61" xfId="1" applyFont="1" applyBorder="1" applyAlignment="1">
      <alignment horizontal="center" wrapText="1"/>
    </xf>
    <xf numFmtId="0" fontId="8" fillId="0" borderId="62" xfId="1" applyFont="1" applyBorder="1" applyAlignment="1">
      <alignment horizontal="center" wrapText="1"/>
    </xf>
    <xf numFmtId="0" fontId="8" fillId="0" borderId="63" xfId="1" applyFont="1" applyBorder="1" applyAlignment="1">
      <alignment horizontal="center" wrapText="1"/>
    </xf>
    <xf numFmtId="0" fontId="8" fillId="6" borderId="37" xfId="1" applyFont="1" applyFill="1" applyBorder="1" applyAlignment="1">
      <alignment horizontal="center" wrapText="1"/>
    </xf>
    <xf numFmtId="0" fontId="8" fillId="6" borderId="50" xfId="1" applyFont="1" applyFill="1" applyBorder="1" applyAlignment="1">
      <alignment horizontal="center" wrapText="1"/>
    </xf>
    <xf numFmtId="0" fontId="8" fillId="6" borderId="26" xfId="1" applyFont="1" applyFill="1" applyBorder="1" applyAlignment="1">
      <alignment horizontal="center" wrapText="1"/>
    </xf>
    <xf numFmtId="0" fontId="8" fillId="0" borderId="71" xfId="1" applyFont="1" applyBorder="1" applyAlignment="1">
      <alignment horizontal="center" wrapText="1"/>
    </xf>
    <xf numFmtId="0" fontId="8" fillId="0" borderId="72" xfId="1" applyFont="1" applyBorder="1" applyAlignment="1">
      <alignment horizontal="center" wrapText="1"/>
    </xf>
    <xf numFmtId="0" fontId="0" fillId="0" borderId="72" xfId="0" applyBorder="1" applyAlignment="1">
      <alignment horizontal="center" wrapText="1"/>
    </xf>
    <xf numFmtId="0" fontId="8" fillId="0" borderId="0" xfId="1" applyFont="1" applyAlignment="1">
      <alignment horizontal="center" textRotation="90" wrapText="1"/>
    </xf>
    <xf numFmtId="0" fontId="0" fillId="0" borderId="0" xfId="0" applyAlignment="1">
      <alignment textRotation="90"/>
    </xf>
    <xf numFmtId="0" fontId="21" fillId="11" borderId="22" xfId="1" applyFont="1" applyFill="1" applyBorder="1" applyAlignment="1">
      <alignment horizontal="center" vertical="center" wrapText="1"/>
    </xf>
    <xf numFmtId="0" fontId="3" fillId="0" borderId="0" xfId="1"/>
    <xf numFmtId="0" fontId="23" fillId="11" borderId="0" xfId="0" applyFont="1" applyFill="1" applyAlignment="1">
      <alignment horizontal="center" vertical="center" wrapText="1"/>
    </xf>
    <xf numFmtId="0" fontId="15" fillId="0" borderId="0" xfId="53" applyAlignment="1">
      <alignment vertical="top" wrapText="1"/>
    </xf>
    <xf numFmtId="0" fontId="3" fillId="0" borderId="0" xfId="1" applyAlignment="1">
      <alignment wrapText="1"/>
    </xf>
    <xf numFmtId="0" fontId="0" fillId="0" borderId="0" xfId="0" applyAlignment="1">
      <alignment vertical="top" wrapText="1"/>
    </xf>
    <xf numFmtId="0" fontId="3" fillId="0" borderId="0" xfId="1" applyAlignment="1">
      <alignment horizontal="center" wrapText="1"/>
    </xf>
    <xf numFmtId="0" fontId="3" fillId="0" borderId="0" xfId="1" applyAlignment="1">
      <alignment horizontal="center"/>
    </xf>
    <xf numFmtId="0" fontId="3" fillId="9" borderId="0" xfId="1" applyFill="1" applyAlignment="1">
      <alignment horizontal="center" wrapText="1"/>
    </xf>
    <xf numFmtId="0" fontId="3" fillId="9" borderId="0" xfId="1" applyFill="1" applyAlignment="1">
      <alignment horizontal="center"/>
    </xf>
    <xf numFmtId="0" fontId="3" fillId="14" borderId="0" xfId="1" applyFill="1" applyAlignment="1">
      <alignment wrapText="1"/>
    </xf>
    <xf numFmtId="0" fontId="18" fillId="0" borderId="50" xfId="0" applyFont="1" applyBorder="1" applyAlignment="1">
      <alignment horizontal="center"/>
    </xf>
    <xf numFmtId="0" fontId="19" fillId="0" borderId="50" xfId="0" applyFont="1" applyBorder="1" applyAlignment="1">
      <alignment horizontal="center"/>
    </xf>
    <xf numFmtId="171" fontId="13" fillId="2" borderId="49" xfId="0" applyNumberFormat="1" applyFont="1" applyFill="1" applyBorder="1" applyAlignment="1">
      <alignment horizontal="center" vertical="center" wrapText="1"/>
    </xf>
    <xf numFmtId="171" fontId="13" fillId="2" borderId="27" xfId="0" applyNumberFormat="1" applyFont="1" applyFill="1" applyBorder="1" applyAlignment="1">
      <alignment horizontal="center" vertical="center" wrapText="1"/>
    </xf>
    <xf numFmtId="0" fontId="13" fillId="2" borderId="49" xfId="0" applyFont="1" applyFill="1" applyBorder="1" applyAlignment="1">
      <alignment horizontal="center" vertical="center" wrapText="1"/>
    </xf>
    <xf numFmtId="0" fontId="13" fillId="2" borderId="27" xfId="0" applyFont="1" applyFill="1" applyBorder="1" applyAlignment="1">
      <alignment horizontal="center" vertical="center" wrapText="1"/>
    </xf>
    <xf numFmtId="0" fontId="13" fillId="2" borderId="8" xfId="0" applyFont="1" applyFill="1" applyBorder="1" applyAlignment="1">
      <alignment horizontal="center" vertical="center" wrapText="1"/>
    </xf>
    <xf numFmtId="0" fontId="13" fillId="2" borderId="9" xfId="0" applyFont="1" applyFill="1" applyBorder="1" applyAlignment="1">
      <alignment horizontal="center" vertical="center" wrapText="1"/>
    </xf>
    <xf numFmtId="0" fontId="17" fillId="0" borderId="50" xfId="0" applyFont="1" applyBorder="1" applyAlignment="1">
      <alignment horizontal="center"/>
    </xf>
    <xf numFmtId="0" fontId="0" fillId="0" borderId="50" xfId="0" applyBorder="1" applyAlignment="1">
      <alignment horizontal="center"/>
    </xf>
    <xf numFmtId="0" fontId="0" fillId="0" borderId="25" xfId="0" applyBorder="1" applyAlignment="1"/>
    <xf numFmtId="0" fontId="0" fillId="0" borderId="16" xfId="0" applyBorder="1" applyAlignment="1"/>
    <xf numFmtId="0" fontId="6" fillId="2" borderId="18" xfId="0" applyFont="1" applyFill="1" applyBorder="1" applyAlignment="1">
      <alignment horizontal="center" wrapText="1"/>
    </xf>
    <xf numFmtId="0" fontId="1" fillId="3" borderId="18" xfId="0" applyFont="1" applyFill="1" applyBorder="1" applyAlignment="1">
      <alignment horizontal="center" vertical="center"/>
    </xf>
    <xf numFmtId="0" fontId="0" fillId="0" borderId="25" xfId="0" applyBorder="1" applyAlignment="1">
      <alignment horizontal="center" vertical="center"/>
    </xf>
    <xf numFmtId="0" fontId="10" fillId="3" borderId="46" xfId="0" applyFont="1" applyFill="1" applyBorder="1" applyAlignment="1">
      <alignment horizontal="center" vertical="center" wrapText="1"/>
    </xf>
    <xf numFmtId="0" fontId="10" fillId="3" borderId="42" xfId="0" applyFont="1" applyFill="1" applyBorder="1" applyAlignment="1">
      <alignment horizontal="center" vertical="center"/>
    </xf>
    <xf numFmtId="0" fontId="6" fillId="3" borderId="47" xfId="0" applyFont="1" applyFill="1" applyBorder="1" applyAlignment="1">
      <alignment horizontal="center" vertical="center" wrapText="1"/>
    </xf>
    <xf numFmtId="0" fontId="6" fillId="3" borderId="45" xfId="0" applyFont="1" applyFill="1" applyBorder="1" applyAlignment="1">
      <alignment horizontal="center" vertical="center" wrapText="1"/>
    </xf>
    <xf numFmtId="0" fontId="6" fillId="3" borderId="4" xfId="0" applyFont="1" applyFill="1" applyBorder="1" applyAlignment="1">
      <alignment horizontal="center" vertical="center"/>
    </xf>
    <xf numFmtId="0" fontId="6" fillId="3" borderId="32" xfId="0" applyFont="1" applyFill="1" applyBorder="1" applyAlignment="1">
      <alignment horizontal="center" vertical="center"/>
    </xf>
    <xf numFmtId="0" fontId="6" fillId="3" borderId="5" xfId="0" applyFont="1" applyFill="1" applyBorder="1" applyAlignment="1">
      <alignment horizontal="center" vertical="center"/>
    </xf>
    <xf numFmtId="0" fontId="6" fillId="3" borderId="32" xfId="0" applyFont="1" applyFill="1" applyBorder="1" applyAlignment="1">
      <alignment horizontal="center" vertical="center" wrapText="1"/>
    </xf>
    <xf numFmtId="0" fontId="6" fillId="3" borderId="51" xfId="0" applyFont="1" applyFill="1" applyBorder="1" applyAlignment="1">
      <alignment horizontal="center" vertical="center" wrapText="1"/>
    </xf>
    <xf numFmtId="0" fontId="6" fillId="3" borderId="46" xfId="0" applyFont="1" applyFill="1" applyBorder="1" applyAlignment="1">
      <alignment horizontal="center" vertical="center"/>
    </xf>
    <xf numFmtId="0" fontId="6" fillId="3" borderId="42" xfId="0" applyFont="1" applyFill="1" applyBorder="1" applyAlignment="1">
      <alignment horizontal="center" vertical="center"/>
    </xf>
    <xf numFmtId="0" fontId="6" fillId="3" borderId="46" xfId="0" applyFont="1" applyFill="1" applyBorder="1" applyAlignment="1">
      <alignment horizontal="center" vertical="center" wrapText="1"/>
    </xf>
    <xf numFmtId="0" fontId="0" fillId="0" borderId="47" xfId="0" applyBorder="1" applyAlignment="1">
      <alignment horizontal="center" vertical="center" wrapText="1"/>
    </xf>
    <xf numFmtId="0" fontId="6" fillId="2" borderId="37" xfId="0" applyFont="1" applyFill="1" applyBorder="1" applyAlignment="1">
      <alignment horizontal="center" vertical="center"/>
    </xf>
    <xf numFmtId="0" fontId="0" fillId="0" borderId="26" xfId="0" applyBorder="1" applyAlignment="1">
      <alignment horizontal="center"/>
    </xf>
    <xf numFmtId="0" fontId="1" fillId="2" borderId="37" xfId="0" applyFont="1" applyFill="1" applyBorder="1" applyAlignment="1">
      <alignment horizontal="center" vertical="center"/>
    </xf>
    <xf numFmtId="0" fontId="8" fillId="2" borderId="18"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2" fillId="0" borderId="0" xfId="0" applyFont="1" applyAlignment="1">
      <alignment horizontal="left"/>
    </xf>
    <xf numFmtId="0" fontId="6" fillId="2" borderId="25" xfId="0" applyFont="1" applyFill="1" applyBorder="1" applyAlignment="1">
      <alignment horizontal="center" vertical="center" wrapText="1"/>
    </xf>
    <xf numFmtId="2" fontId="6" fillId="2" borderId="18" xfId="0" applyNumberFormat="1" applyFont="1" applyFill="1" applyBorder="1" applyAlignment="1">
      <alignment horizontal="center" vertical="center" wrapText="1"/>
    </xf>
    <xf numFmtId="2" fontId="6" fillId="2" borderId="25" xfId="0" applyNumberFormat="1" applyFont="1" applyFill="1" applyBorder="1" applyAlignment="1">
      <alignment horizontal="center" vertical="center" wrapText="1"/>
    </xf>
    <xf numFmtId="2" fontId="6" fillId="2" borderId="16" xfId="0" applyNumberFormat="1" applyFont="1" applyFill="1" applyBorder="1" applyAlignment="1">
      <alignment horizontal="center" vertical="center" wrapText="1"/>
    </xf>
    <xf numFmtId="0" fontId="0" fillId="0" borderId="0" xfId="12" applyFont="1"/>
  </cellXfs>
  <cellStyles count="86">
    <cellStyle name="Comma 2" xfId="2"/>
    <cellStyle name="Comma 2 2" xfId="5"/>
    <cellStyle name="Comma 3" xfId="7"/>
    <cellStyle name="Comma 3 2" xfId="8"/>
    <cellStyle name="Comma 4" xfId="9"/>
    <cellStyle name="Comma 4 2" xfId="85"/>
    <cellStyle name="Comma 5" xfId="10"/>
    <cellStyle name="Comma 6" xfId="11"/>
    <cellStyle name="Comma 7" xfId="12"/>
    <cellStyle name="Currency 2" xfId="3"/>
    <cellStyle name="Normal" xfId="0" builtinId="0"/>
    <cellStyle name="Normal 10" xfId="13"/>
    <cellStyle name="Normal 10 2" xfId="14"/>
    <cellStyle name="Normal 11" xfId="15"/>
    <cellStyle name="Normal 11 2" xfId="16"/>
    <cellStyle name="Normal 12" xfId="17"/>
    <cellStyle name="Normal 12 2" xfId="18"/>
    <cellStyle name="Normal 12 2 2" xfId="19"/>
    <cellStyle name="Normal 12 3" xfId="20"/>
    <cellStyle name="Normal 12 3 2" xfId="21"/>
    <cellStyle name="Normal 12 3 3" xfId="22"/>
    <cellStyle name="Normal 12 3 3 2" xfId="23"/>
    <cellStyle name="Normal 12 4" xfId="24"/>
    <cellStyle name="Normal 13" xfId="25"/>
    <cellStyle name="Normal 13 2" xfId="26"/>
    <cellStyle name="Normal 14" xfId="27"/>
    <cellStyle name="Normal 14 2" xfId="28"/>
    <cellStyle name="Normal 15" xfId="29"/>
    <cellStyle name="Normal 15 2" xfId="30"/>
    <cellStyle name="Normal 16" xfId="31"/>
    <cellStyle name="Normal 16 2" xfId="32"/>
    <cellStyle name="Normal 17" xfId="33"/>
    <cellStyle name="Normal 18" xfId="34"/>
    <cellStyle name="Normal 19" xfId="35"/>
    <cellStyle name="Normal 19 2" xfId="36"/>
    <cellStyle name="Normal 19 2 2" xfId="37"/>
    <cellStyle name="Normal 2" xfId="1"/>
    <cellStyle name="Normal 2 2" xfId="38"/>
    <cellStyle name="Normal 2 2 2" xfId="39"/>
    <cellStyle name="Normal 2 3" xfId="40"/>
    <cellStyle name="Normal 2 3 2" xfId="41"/>
    <cellStyle name="Normal 2 4" xfId="42"/>
    <cellStyle name="Normal 2 4 2" xfId="43"/>
    <cellStyle name="Normal 2 5" xfId="44"/>
    <cellStyle name="Normal 2 5 2" xfId="45"/>
    <cellStyle name="Normal 2 6" xfId="46"/>
    <cellStyle name="Normal 2 6 2" xfId="47"/>
    <cellStyle name="Normal 2 6 3" xfId="48"/>
    <cellStyle name="Normal 2 6 3 2" xfId="49"/>
    <cellStyle name="Normal 2 6 4" xfId="50"/>
    <cellStyle name="Normal 2 7" xfId="51"/>
    <cellStyle name="Normal 20" xfId="52"/>
    <cellStyle name="Normal 21" xfId="53"/>
    <cellStyle name="Normal 22" xfId="54"/>
    <cellStyle name="Normal 3" xfId="55"/>
    <cellStyle name="Normal 3 14 3" xfId="56"/>
    <cellStyle name="Normal 3 2" xfId="57"/>
    <cellStyle name="Normal 3 2 2" xfId="58"/>
    <cellStyle name="Normal 4" xfId="59"/>
    <cellStyle name="Normal 5" xfId="60"/>
    <cellStyle name="Normal 5 2" xfId="61"/>
    <cellStyle name="Normal 6" xfId="62"/>
    <cellStyle name="Normal 7" xfId="63"/>
    <cellStyle name="Normal 7 2" xfId="64"/>
    <cellStyle name="Normal 7 7" xfId="65"/>
    <cellStyle name="Normal 8" xfId="66"/>
    <cellStyle name="Normal 8 2" xfId="67"/>
    <cellStyle name="Normal 8 2 2" xfId="68"/>
    <cellStyle name="Normal 8 3" xfId="69"/>
    <cellStyle name="Normal 8 3 2" xfId="70"/>
    <cellStyle name="Normal 8 4" xfId="71"/>
    <cellStyle name="Normal 8 5" xfId="72"/>
    <cellStyle name="Normal 9" xfId="73"/>
    <cellStyle name="Normal 9 2" xfId="74"/>
    <cellStyle name="Normal 9 2 2" xfId="75"/>
    <cellStyle name="Normal 9 3" xfId="76"/>
    <cellStyle name="Normal 9 3 2" xfId="77"/>
    <cellStyle name="Normal 9 4" xfId="78"/>
    <cellStyle name="Normal 9 4 2" xfId="79"/>
    <cellStyle name="Normal 9 5" xfId="80"/>
    <cellStyle name="Percent 2" xfId="4"/>
    <cellStyle name="Percent 2 2" xfId="6"/>
    <cellStyle name="Percent 3" xfId="81"/>
    <cellStyle name="Percent 4" xfId="82"/>
    <cellStyle name="Percent 5" xfId="83"/>
    <cellStyle name="Style 1" xfId="84"/>
  </cellStyles>
  <dxfs count="5">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w/o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MP_new!$I$13:$I$18</c:f>
              <c:numCache>
                <c:formatCode>#,##0</c:formatCode>
                <c:ptCount val="6"/>
                <c:pt idx="0">
                  <c:v>0</c:v>
                </c:pt>
                <c:pt idx="1">
                  <c:v>4926.6207202706355</c:v>
                </c:pt>
                <c:pt idx="2">
                  <c:v>8010.3044875290361</c:v>
                </c:pt>
                <c:pt idx="3">
                  <c:v>10986.01091947699</c:v>
                </c:pt>
                <c:pt idx="4">
                  <c:v>12266.580595219071</c:v>
                </c:pt>
                <c:pt idx="5">
                  <c:v>13243.861425604351</c:v>
                </c:pt>
              </c:numCache>
            </c:numRef>
          </c:val>
          <c:smooth val="0"/>
        </c:ser>
        <c:ser>
          <c:idx val="1"/>
          <c:order val="1"/>
          <c:tx>
            <c:v>w/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MP_new!$K$13:$K$18</c:f>
              <c:numCache>
                <c:formatCode>#,##0</c:formatCode>
                <c:ptCount val="6"/>
                <c:pt idx="0">
                  <c:v>0</c:v>
                </c:pt>
                <c:pt idx="1">
                  <c:v>9926.6207202706355</c:v>
                </c:pt>
                <c:pt idx="2">
                  <c:v>17010.304487529036</c:v>
                </c:pt>
                <c:pt idx="3">
                  <c:v>19986.01091947699</c:v>
                </c:pt>
                <c:pt idx="4">
                  <c:v>21266.580595219071</c:v>
                </c:pt>
                <c:pt idx="5">
                  <c:v>22243.861425604351</c:v>
                </c:pt>
              </c:numCache>
            </c:numRef>
          </c:val>
          <c:smooth val="0"/>
        </c:ser>
        <c:dLbls>
          <c:showLegendKey val="0"/>
          <c:showVal val="0"/>
          <c:showCatName val="0"/>
          <c:showSerName val="0"/>
          <c:showPercent val="0"/>
          <c:showBubbleSize val="0"/>
        </c:dLbls>
        <c:marker val="1"/>
        <c:smooth val="0"/>
        <c:axId val="123693568"/>
        <c:axId val="34238976"/>
      </c:lineChart>
      <c:catAx>
        <c:axId val="123693568"/>
        <c:scaling>
          <c:orientation val="minMax"/>
        </c:scaling>
        <c:delete val="0"/>
        <c:axPos val="b"/>
        <c:title>
          <c:tx>
            <c:rich>
              <a:bodyPr/>
              <a:lstStyle/>
              <a:p>
                <a:pPr>
                  <a:defRPr/>
                </a:pPr>
                <a:r>
                  <a:rPr lang="en-US"/>
                  <a:t>Step</a:t>
                </a:r>
              </a:p>
            </c:rich>
          </c:tx>
          <c:layout/>
          <c:overlay val="0"/>
        </c:title>
        <c:numFmt formatCode="General" sourceLinked="1"/>
        <c:majorTickMark val="none"/>
        <c:minorTickMark val="none"/>
        <c:tickLblPos val="nextTo"/>
        <c:crossAx val="34238976"/>
        <c:crosses val="autoZero"/>
        <c:auto val="1"/>
        <c:lblAlgn val="ctr"/>
        <c:lblOffset val="100"/>
        <c:noMultiLvlLbl val="1"/>
      </c:catAx>
      <c:valAx>
        <c:axId val="34238976"/>
        <c:scaling>
          <c:orientation val="minMax"/>
        </c:scaling>
        <c:delete val="0"/>
        <c:axPos val="l"/>
        <c:majorGridlines/>
        <c:title>
          <c:tx>
            <c:rich>
              <a:bodyPr/>
              <a:lstStyle/>
              <a:p>
                <a:pPr>
                  <a:defRPr/>
                </a:pPr>
                <a:r>
                  <a:rPr lang="en-US"/>
                  <a:t>Total</a:t>
                </a:r>
                <a:r>
                  <a:rPr lang="en-US" baseline="0"/>
                  <a:t> </a:t>
                </a:r>
                <a:r>
                  <a:rPr lang="en-US"/>
                  <a:t>Water Savings (a-f/y)</a:t>
                </a:r>
              </a:p>
            </c:rich>
          </c:tx>
          <c:layout/>
          <c:overlay val="0"/>
        </c:title>
        <c:numFmt formatCode="#,##0" sourceLinked="1"/>
        <c:majorTickMark val="none"/>
        <c:minorTickMark val="none"/>
        <c:tickLblPos val="nextTo"/>
        <c:crossAx val="123693568"/>
        <c:crosses val="autoZero"/>
        <c:crossBetween val="between"/>
      </c:valAx>
    </c:plotArea>
    <c:legend>
      <c:legendPos val="t"/>
      <c:layout/>
      <c:overlay val="1"/>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912948381452"/>
          <c:y val="5.1400554097404488E-2"/>
          <c:w val="0.81701159230096243"/>
          <c:h val="0.82202719451735196"/>
        </c:manualLayout>
      </c:layout>
      <c:lineChart>
        <c:grouping val="standard"/>
        <c:varyColors val="0"/>
        <c:ser>
          <c:idx val="0"/>
          <c:order val="0"/>
          <c:tx>
            <c:strRef>
              <c:f>MP_new!$B$11</c:f>
              <c:strCache>
                <c:ptCount val="1"/>
                <c:pt idx="0">
                  <c:v>BWF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MP_new!$B$13:$B$18</c:f>
              <c:numCache>
                <c:formatCode>0%</c:formatCode>
                <c:ptCount val="6"/>
                <c:pt idx="0">
                  <c:v>2.1005477801387333</c:v>
                </c:pt>
                <c:pt idx="1">
                  <c:v>2.0785334641965729</c:v>
                </c:pt>
                <c:pt idx="2">
                  <c:v>1.9058537118994825</c:v>
                </c:pt>
                <c:pt idx="3">
                  <c:v>1.8335266463262627</c:v>
                </c:pt>
                <c:pt idx="4">
                  <c:v>1.8335266463262627</c:v>
                </c:pt>
                <c:pt idx="5">
                  <c:v>1.8335266463262627</c:v>
                </c:pt>
              </c:numCache>
            </c:numRef>
          </c:val>
          <c:smooth val="0"/>
        </c:ser>
        <c:ser>
          <c:idx val="1"/>
          <c:order val="1"/>
          <c:tx>
            <c:strRef>
              <c:f>MP_new!$C$11</c:f>
              <c:strCache>
                <c:ptCount val="1"/>
                <c:pt idx="0">
                  <c:v>MWF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MP_new!$C$13:$C$18</c:f>
              <c:numCache>
                <c:formatCode>0%</c:formatCode>
                <c:ptCount val="6"/>
                <c:pt idx="0">
                  <c:v>0.97824344759700355</c:v>
                </c:pt>
                <c:pt idx="1">
                  <c:v>0.9382694221923642</c:v>
                </c:pt>
                <c:pt idx="2">
                  <c:v>0.90772370817979864</c:v>
                </c:pt>
                <c:pt idx="3">
                  <c:v>0.90663862492688851</c:v>
                </c:pt>
                <c:pt idx="4">
                  <c:v>0.92848932854776189</c:v>
                </c:pt>
                <c:pt idx="5">
                  <c:v>0.90516774620740204</c:v>
                </c:pt>
              </c:numCache>
            </c:numRef>
          </c:val>
          <c:smooth val="0"/>
        </c:ser>
        <c:ser>
          <c:idx val="2"/>
          <c:order val="2"/>
          <c:tx>
            <c:strRef>
              <c:f>MP_new!$D$11</c:f>
              <c:strCache>
                <c:ptCount val="1"/>
                <c:pt idx="0">
                  <c:v>Plover</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MP_new!$D$13:$D$18</c:f>
              <c:numCache>
                <c:formatCode>0%</c:formatCode>
                <c:ptCount val="6"/>
                <c:pt idx="0">
                  <c:v>0.99961756413569214</c:v>
                </c:pt>
                <c:pt idx="1">
                  <c:v>1.0176368154509927</c:v>
                </c:pt>
                <c:pt idx="2">
                  <c:v>0.98151778507556697</c:v>
                </c:pt>
                <c:pt idx="3">
                  <c:v>1.0173323650976691</c:v>
                </c:pt>
                <c:pt idx="4">
                  <c:v>0.97503475205132384</c:v>
                </c:pt>
                <c:pt idx="5">
                  <c:v>0.93654363024276988</c:v>
                </c:pt>
              </c:numCache>
            </c:numRef>
          </c:val>
          <c:smooth val="0"/>
        </c:ser>
        <c:ser>
          <c:idx val="3"/>
          <c:order val="3"/>
          <c:tx>
            <c:strRef>
              <c:f>MP_new!$E$11</c:f>
              <c:strCache>
                <c:ptCount val="1"/>
                <c:pt idx="0">
                  <c:v>MSB</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MP_new!$E$13:$E$18</c:f>
              <c:numCache>
                <c:formatCode>0%</c:formatCode>
                <c:ptCount val="6"/>
                <c:pt idx="0">
                  <c:v>0.90639366309330827</c:v>
                </c:pt>
                <c:pt idx="1">
                  <c:v>0.90000167824924227</c:v>
                </c:pt>
                <c:pt idx="2">
                  <c:v>0.89494757050711493</c:v>
                </c:pt>
                <c:pt idx="3">
                  <c:v>0.90024278427093529</c:v>
                </c:pt>
                <c:pt idx="4">
                  <c:v>0.90089331569719711</c:v>
                </c:pt>
                <c:pt idx="5">
                  <c:v>0.90065957988852696</c:v>
                </c:pt>
              </c:numCache>
            </c:numRef>
          </c:val>
          <c:smooth val="0"/>
        </c:ser>
        <c:ser>
          <c:idx val="4"/>
          <c:order val="4"/>
          <c:tx>
            <c:strRef>
              <c:f>MP_new!$F$11</c:f>
              <c:strCache>
                <c:ptCount val="1"/>
                <c:pt idx="0">
                  <c:v>Meadow</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MP_new!$F$13:$F$18</c:f>
              <c:numCache>
                <c:formatCode>0%</c:formatCode>
                <c:ptCount val="6"/>
                <c:pt idx="0">
                  <c:v>1.3860992059091843</c:v>
                </c:pt>
                <c:pt idx="1">
                  <c:v>1.3400570388796187</c:v>
                </c:pt>
                <c:pt idx="2">
                  <c:v>1.0230894704281621</c:v>
                </c:pt>
                <c:pt idx="3">
                  <c:v>0.90064842063125883</c:v>
                </c:pt>
                <c:pt idx="4">
                  <c:v>0.90034646398425622</c:v>
                </c:pt>
                <c:pt idx="5">
                  <c:v>0.9000135069388242</c:v>
                </c:pt>
              </c:numCache>
            </c:numRef>
          </c:val>
          <c:smooth val="0"/>
        </c:ser>
        <c:dLbls>
          <c:showLegendKey val="0"/>
          <c:showVal val="0"/>
          <c:showCatName val="0"/>
          <c:showSerName val="0"/>
          <c:showPercent val="0"/>
          <c:showBubbleSize val="0"/>
        </c:dLbls>
        <c:marker val="1"/>
        <c:smooth val="0"/>
        <c:axId val="123694592"/>
        <c:axId val="123314752"/>
      </c:lineChart>
      <c:catAx>
        <c:axId val="123694592"/>
        <c:scaling>
          <c:orientation val="minMax"/>
        </c:scaling>
        <c:delete val="0"/>
        <c:axPos val="b"/>
        <c:title>
          <c:tx>
            <c:rich>
              <a:bodyPr/>
              <a:lstStyle/>
              <a:p>
                <a:pPr>
                  <a:defRPr/>
                </a:pPr>
                <a:r>
                  <a:rPr lang="en-US"/>
                  <a:t>Step</a:t>
                </a:r>
              </a:p>
            </c:rich>
          </c:tx>
          <c:layout/>
          <c:overlay val="0"/>
        </c:title>
        <c:numFmt formatCode="General" sourceLinked="1"/>
        <c:majorTickMark val="none"/>
        <c:minorTickMark val="none"/>
        <c:tickLblPos val="nextTo"/>
        <c:crossAx val="123314752"/>
        <c:crosses val="autoZero"/>
        <c:auto val="1"/>
        <c:lblAlgn val="ctr"/>
        <c:lblOffset val="100"/>
        <c:noMultiLvlLbl val="1"/>
      </c:catAx>
      <c:valAx>
        <c:axId val="123314752"/>
        <c:scaling>
          <c:orientation val="minMax"/>
          <c:min val="0.5"/>
        </c:scaling>
        <c:delete val="0"/>
        <c:axPos val="l"/>
        <c:majorGridlines/>
        <c:title>
          <c:tx>
            <c:rich>
              <a:bodyPr/>
              <a:lstStyle/>
              <a:p>
                <a:pPr>
                  <a:defRPr/>
                </a:pPr>
                <a:r>
                  <a:rPr lang="en-US"/>
                  <a:t>%</a:t>
                </a:r>
                <a:r>
                  <a:rPr lang="en-US" baseline="0"/>
                  <a:t> of Base Area</a:t>
                </a:r>
                <a:endParaRPr lang="en-US"/>
              </a:p>
            </c:rich>
          </c:tx>
          <c:layout/>
          <c:overlay val="0"/>
        </c:title>
        <c:numFmt formatCode="0%" sourceLinked="1"/>
        <c:majorTickMark val="none"/>
        <c:minorTickMark val="none"/>
        <c:tickLblPos val="nextTo"/>
        <c:crossAx val="123694592"/>
        <c:crosses val="autoZero"/>
        <c:crossBetween val="between"/>
        <c:majorUnit val="0.1"/>
      </c:valAx>
    </c:plotArea>
    <c:legend>
      <c:legendPos val="t"/>
      <c:layout/>
      <c:overlay val="0"/>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a:prstDash val="solid"/>
            </a:ln>
          </c:spPr>
          <c:marker>
            <c:symbol val="none"/>
          </c:marker>
          <c:cat>
            <c:strRef>
              <c:f>MP_new!$A$3:$A$9</c:f>
              <c:strCache>
                <c:ptCount val="7"/>
                <c:pt idx="0">
                  <c:v>Base</c:v>
                </c:pt>
                <c:pt idx="1">
                  <c:v>0</c:v>
                </c:pt>
                <c:pt idx="2">
                  <c:v>1</c:v>
                </c:pt>
                <c:pt idx="3">
                  <c:v>2</c:v>
                </c:pt>
                <c:pt idx="4">
                  <c:v>3</c:v>
                </c:pt>
                <c:pt idx="5">
                  <c:v>4</c:v>
                </c:pt>
                <c:pt idx="6">
                  <c:v>5</c:v>
                </c:pt>
              </c:strCache>
            </c:strRef>
          </c:cat>
          <c:val>
            <c:numRef>
              <c:f>MP_new!$G$3:$G$9</c:f>
              <c:numCache>
                <c:formatCode>_(* #,##0_);_(* \(#,##0\);_(* "-"??_);_(@_)</c:formatCode>
                <c:ptCount val="7"/>
                <c:pt idx="0">
                  <c:v>73351</c:v>
                </c:pt>
                <c:pt idx="1">
                  <c:v>64619.055153407739</c:v>
                </c:pt>
                <c:pt idx="2">
                  <c:v>59692.434433137103</c:v>
                </c:pt>
                <c:pt idx="3">
                  <c:v>56608.750665878702</c:v>
                </c:pt>
                <c:pt idx="4">
                  <c:v>53633.044233930748</c:v>
                </c:pt>
                <c:pt idx="5">
                  <c:v>52352.474558188667</c:v>
                </c:pt>
                <c:pt idx="6">
                  <c:v>51375.193727803387</c:v>
                </c:pt>
              </c:numCache>
            </c:numRef>
          </c:val>
          <c:smooth val="0"/>
        </c:ser>
        <c:dLbls>
          <c:showLegendKey val="0"/>
          <c:showVal val="0"/>
          <c:showCatName val="0"/>
          <c:showSerName val="0"/>
          <c:showPercent val="0"/>
          <c:showBubbleSize val="0"/>
        </c:dLbls>
        <c:marker val="1"/>
        <c:smooth val="0"/>
        <c:axId val="124510720"/>
        <c:axId val="123317056"/>
      </c:lineChart>
      <c:catAx>
        <c:axId val="124510720"/>
        <c:scaling>
          <c:orientation val="minMax"/>
        </c:scaling>
        <c:delete val="0"/>
        <c:axPos val="b"/>
        <c:title>
          <c:tx>
            <c:rich>
              <a:bodyPr/>
              <a:lstStyle/>
              <a:p>
                <a:pPr>
                  <a:defRPr/>
                </a:pPr>
                <a:r>
                  <a:rPr lang="en-US"/>
                  <a:t>Step</a:t>
                </a:r>
              </a:p>
            </c:rich>
          </c:tx>
          <c:layout/>
          <c:overlay val="0"/>
        </c:title>
        <c:numFmt formatCode="General" sourceLinked="1"/>
        <c:majorTickMark val="none"/>
        <c:minorTickMark val="none"/>
        <c:tickLblPos val="nextTo"/>
        <c:crossAx val="123317056"/>
        <c:crosses val="autoZero"/>
        <c:auto val="1"/>
        <c:lblAlgn val="ctr"/>
        <c:lblOffset val="100"/>
        <c:noMultiLvlLbl val="0"/>
      </c:catAx>
      <c:valAx>
        <c:axId val="123317056"/>
        <c:scaling>
          <c:orientation val="minMax"/>
        </c:scaling>
        <c:delete val="0"/>
        <c:axPos val="l"/>
        <c:majorGridlines/>
        <c:title>
          <c:tx>
            <c:rich>
              <a:bodyPr/>
              <a:lstStyle/>
              <a:p>
                <a:pPr>
                  <a:defRPr/>
                </a:pPr>
                <a:r>
                  <a:rPr lang="en-US"/>
                  <a:t>Total</a:t>
                </a:r>
                <a:r>
                  <a:rPr lang="en-US" baseline="0"/>
                  <a:t> </a:t>
                </a:r>
                <a:r>
                  <a:rPr lang="en-US"/>
                  <a:t>Water Demand (a-f/y)</a:t>
                </a:r>
              </a:p>
            </c:rich>
          </c:tx>
          <c:layout/>
          <c:overlay val="0"/>
        </c:title>
        <c:numFmt formatCode="_(* #,##0_);_(* \(#,##0\);_(* &quot;-&quot;??_);_(@_)" sourceLinked="1"/>
        <c:majorTickMark val="none"/>
        <c:minorTickMark val="none"/>
        <c:tickLblPos val="nextTo"/>
        <c:crossAx val="12451072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None</a:t>
            </a:r>
          </a:p>
        </c:rich>
      </c:tx>
      <c:overlay val="0"/>
    </c:title>
    <c:autoTitleDeleted val="0"/>
    <c:plotArea>
      <c:layout>
        <c:manualLayout>
          <c:layoutTarget val="inner"/>
          <c:xMode val="edge"/>
          <c:yMode val="edge"/>
          <c:x val="0.1115959698586064"/>
          <c:y val="2.7262172338954869E-2"/>
          <c:w val="0.85945521594746899"/>
          <c:h val="0.83472090964744894"/>
        </c:manualLayout>
      </c:layout>
      <c:lineChart>
        <c:grouping val="standard"/>
        <c:varyColors val="0"/>
        <c:ser>
          <c:idx val="0"/>
          <c:order val="0"/>
          <c:tx>
            <c:v>Capital Cost</c:v>
          </c:tx>
          <c:spPr>
            <a:ln>
              <a:prstDash val="solid"/>
            </a:ln>
          </c:spPr>
          <c:marker>
            <c:symbol val="none"/>
          </c:marker>
          <c:cat>
            <c:numRef>
              <c:f>'10 YEAR PROJECTION'!$E$5:$T$5</c:f>
              <c:numCache>
                <c:formatCode>General</c:formatCode>
                <c:ptCount val="16"/>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numCache>
            </c:numRef>
          </c:cat>
          <c:val>
            <c:numRef>
              <c:f>'10 YEAR PROJECTION'!$E$47:$T$47</c:f>
              <c:numCache>
                <c:formatCode>"$"#,##0</c:formatCode>
                <c:ptCount val="16"/>
                <c:pt idx="0">
                  <c:v>1500000</c:v>
                </c:pt>
                <c:pt idx="1">
                  <c:v>5318762</c:v>
                </c:pt>
                <c:pt idx="2">
                  <c:v>28062667.999999993</c:v>
                </c:pt>
                <c:pt idx="3">
                  <c:v>134838483.99999997</c:v>
                </c:pt>
                <c:pt idx="4">
                  <c:v>182551471.99999994</c:v>
                </c:pt>
                <c:pt idx="5">
                  <c:v>224405727.99999994</c:v>
                </c:pt>
                <c:pt idx="6">
                  <c:v>301451284</c:v>
                </c:pt>
                <c:pt idx="7">
                  <c:v>345459704</c:v>
                </c:pt>
                <c:pt idx="8">
                  <c:v>386376296</c:v>
                </c:pt>
                <c:pt idx="9">
                  <c:v>461646988</c:v>
                </c:pt>
                <c:pt idx="10">
                  <c:v>504416506</c:v>
                </c:pt>
                <c:pt idx="11">
                  <c:v>538398434</c:v>
                </c:pt>
                <c:pt idx="12">
                  <c:v>599414408</c:v>
                </c:pt>
                <c:pt idx="13">
                  <c:v>658901424</c:v>
                </c:pt>
                <c:pt idx="14">
                  <c:v>709178912</c:v>
                </c:pt>
                <c:pt idx="15">
                  <c:v>736184000</c:v>
                </c:pt>
              </c:numCache>
            </c:numRef>
          </c:val>
          <c:smooth val="0"/>
        </c:ser>
        <c:dLbls>
          <c:showLegendKey val="0"/>
          <c:showVal val="0"/>
          <c:showCatName val="0"/>
          <c:showSerName val="0"/>
          <c:showPercent val="0"/>
          <c:showBubbleSize val="0"/>
        </c:dLbls>
        <c:marker val="1"/>
        <c:smooth val="0"/>
        <c:axId val="123113472"/>
        <c:axId val="123319360"/>
      </c:lineChart>
      <c:catAx>
        <c:axId val="123113472"/>
        <c:scaling>
          <c:orientation val="minMax"/>
        </c:scaling>
        <c:delete val="0"/>
        <c:axPos val="b"/>
        <c:majorGridlines/>
        <c:numFmt formatCode="General" sourceLinked="1"/>
        <c:majorTickMark val="out"/>
        <c:minorTickMark val="none"/>
        <c:tickLblPos val="nextTo"/>
        <c:crossAx val="123319360"/>
        <c:crosses val="autoZero"/>
        <c:auto val="1"/>
        <c:lblAlgn val="ctr"/>
        <c:lblOffset val="100"/>
        <c:noMultiLvlLbl val="0"/>
      </c:catAx>
      <c:valAx>
        <c:axId val="123319360"/>
        <c:scaling>
          <c:orientation val="minMax"/>
          <c:max val="1000000000"/>
          <c:min val="1"/>
        </c:scaling>
        <c:delete val="0"/>
        <c:axPos val="l"/>
        <c:majorGridlines/>
        <c:numFmt formatCode="&quot;$&quot;#,##0" sourceLinked="0"/>
        <c:majorTickMark val="out"/>
        <c:minorTickMark val="none"/>
        <c:tickLblPos val="nextTo"/>
        <c:crossAx val="123113472"/>
        <c:crosses val="autoZero"/>
        <c:crossBetween val="between"/>
        <c:majorUnit val="100000000"/>
        <c:dispUnits>
          <c:builtInUnit val="millions"/>
          <c:dispUnitsLbl>
            <c:layout>
              <c:manualLayout>
                <c:xMode val="edge"/>
                <c:yMode val="edge"/>
                <c:x val="1.6224517634220451E-2"/>
                <c:y val="0.1045058317986495"/>
              </c:manualLayout>
            </c:layout>
            <c:tx>
              <c:rich>
                <a:bodyPr/>
                <a:lstStyle/>
                <a:p>
                  <a:pPr>
                    <a:defRPr/>
                  </a:pPr>
                  <a:r>
                    <a:rPr lang="en-US" sz="2400"/>
                    <a:t>Cumulative</a:t>
                  </a:r>
                  <a:r>
                    <a:rPr lang="en-US" sz="2400" baseline="0"/>
                    <a:t> Capital Cost ($</a:t>
                  </a:r>
                  <a:r>
                    <a:rPr lang="en-US" sz="2400"/>
                    <a:t>M)</a:t>
                  </a:r>
                </a:p>
              </c:rich>
            </c:tx>
          </c:dispUnitsLbl>
        </c:dispUnits>
      </c:valAx>
    </c:plotArea>
    <c:legend>
      <c:legendPos val="r"/>
      <c:layout>
        <c:manualLayout>
          <c:xMode val="edge"/>
          <c:yMode val="edge"/>
          <c:x val="0.86710853347632622"/>
          <c:y val="0.74615485630483092"/>
          <c:w val="9.3464943226182748E-2"/>
          <c:h val="7.9050973873589975E-2"/>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
          <c:y val="3.4049242969010837E-2"/>
          <c:w val="0.86177476632075356"/>
          <c:h val="0.86248146998124242"/>
        </c:manualLayout>
      </c:layout>
      <c:lineChart>
        <c:grouping val="standard"/>
        <c:varyColors val="0"/>
        <c:ser>
          <c:idx val="0"/>
          <c:order val="0"/>
          <c:tx>
            <c:v>Cumulative Cost</c:v>
          </c:tx>
          <c:spPr>
            <a:ln>
              <a:prstDash val="solid"/>
            </a:ln>
          </c:spPr>
          <c:marker>
            <c:symbol val="none"/>
          </c:marker>
          <c:cat>
            <c:numRef>
              <c:f>'Step Analysis'!$B$9:$B$51</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 Analysis'!$R$9:$R$51</c:f>
              <c:numCache>
                <c:formatCode>_(* #,##0.000_);_(* \(#,##0.000\);_(* "-"???_);_(@_)</c:formatCode>
                <c:ptCount val="43"/>
                <c:pt idx="0">
                  <c:v>1.5</c:v>
                </c:pt>
                <c:pt idx="1">
                  <c:v>5.8091060979999991</c:v>
                </c:pt>
                <c:pt idx="2">
                  <c:v>30.286070270945991</c:v>
                </c:pt>
                <c:pt idx="3">
                  <c:v>145.72809636659036</c:v>
                </c:pt>
                <c:pt idx="4">
                  <c:v>195.85544633592883</c:v>
                </c:pt>
                <c:pt idx="5">
                  <c:v>198.51516007622851</c:v>
                </c:pt>
                <c:pt idx="6">
                  <c:v>201.26265863830594</c:v>
                </c:pt>
                <c:pt idx="7">
                  <c:v>204.10089530319721</c:v>
                </c:pt>
                <c:pt idx="8">
                  <c:v>207.03292473982481</c:v>
                </c:pt>
                <c:pt idx="9">
                  <c:v>210.0619065582124</c:v>
                </c:pt>
                <c:pt idx="10">
                  <c:v>213.19110898975921</c:v>
                </c:pt>
                <c:pt idx="11">
                  <c:v>216.42391269920435</c:v>
                </c:pt>
                <c:pt idx="12">
                  <c:v>219.76381473308285</c:v>
                </c:pt>
                <c:pt idx="13">
                  <c:v>223.2144326096537</c:v>
                </c:pt>
                <c:pt idx="14">
                  <c:v>226.77950855546467</c:v>
                </c:pt>
                <c:pt idx="15">
                  <c:v>230.46291389391075</c:v>
                </c:pt>
                <c:pt idx="16">
                  <c:v>234.26865359134138</c:v>
                </c:pt>
                <c:pt idx="17">
                  <c:v>238.20087096647936</c:v>
                </c:pt>
                <c:pt idx="18">
                  <c:v>242.26385256912727</c:v>
                </c:pt>
                <c:pt idx="19">
                  <c:v>246.46203323436066</c:v>
                </c:pt>
                <c:pt idx="20">
                  <c:v>250.80000131863733</c:v>
                </c:pt>
                <c:pt idx="21">
                  <c:v>255.28250412449202</c:v>
                </c:pt>
                <c:pt idx="22">
                  <c:v>259.91445352073407</c:v>
                </c:pt>
                <c:pt idx="23">
                  <c:v>264.70093176532356</c:v>
                </c:pt>
                <c:pt idx="24">
                  <c:v>269.64719753836937</c:v>
                </c:pt>
                <c:pt idx="25">
                  <c:v>274.75869219296987</c:v>
                </c:pt>
                <c:pt idx="26">
                  <c:v>280.04104623190625</c:v>
                </c:pt>
                <c:pt idx="27">
                  <c:v>285.50008601849652</c:v>
                </c:pt>
                <c:pt idx="28">
                  <c:v>291.14184073022972</c:v>
                </c:pt>
                <c:pt idx="29">
                  <c:v>296.97254956412195</c:v>
                </c:pt>
                <c:pt idx="30">
                  <c:v>302.99866920307022</c:v>
                </c:pt>
                <c:pt idx="31">
                  <c:v>309.22688155282788</c:v>
                </c:pt>
                <c:pt idx="32">
                  <c:v>315.66410175958475</c:v>
                </c:pt>
                <c:pt idx="33">
                  <c:v>322.31748651851109</c:v>
                </c:pt>
                <c:pt idx="34">
                  <c:v>329.19444268401071</c:v>
                </c:pt>
                <c:pt idx="35">
                  <c:v>336.30263619283295</c:v>
                </c:pt>
                <c:pt idx="36">
                  <c:v>343.65000131161185</c:v>
                </c:pt>
                <c:pt idx="37">
                  <c:v>351.24475022083374</c:v>
                </c:pt>
                <c:pt idx="38">
                  <c:v>359.09538294768714</c:v>
                </c:pt>
                <c:pt idx="39">
                  <c:v>367.2106976607152</c:v>
                </c:pt>
                <c:pt idx="40">
                  <c:v>375.59980133967787</c:v>
                </c:pt>
                <c:pt idx="41">
                  <c:v>384.27212083453497</c:v>
                </c:pt>
                <c:pt idx="42">
                  <c:v>393.23741432798437</c:v>
                </c:pt>
              </c:numCache>
            </c:numRef>
          </c:val>
          <c:smooth val="0"/>
        </c:ser>
        <c:ser>
          <c:idx val="1"/>
          <c:order val="1"/>
          <c:tx>
            <c:v>Cumulative Benefit</c:v>
          </c:tx>
          <c:spPr>
            <a:ln>
              <a:prstDash val="solid"/>
            </a:ln>
          </c:spPr>
          <c:marker>
            <c:symbol val="none"/>
          </c:marker>
          <c:dLbls>
            <c:dLbl>
              <c:idx val="35"/>
              <c:showLegendKey val="0"/>
              <c:showVal val="1"/>
              <c:showCatName val="0"/>
              <c:showSerName val="0"/>
              <c:showPercent val="0"/>
              <c:showBubbleSize val="0"/>
            </c:dLbl>
            <c:showLegendKey val="0"/>
            <c:showVal val="0"/>
            <c:showCatName val="0"/>
            <c:showSerName val="0"/>
            <c:showPercent val="0"/>
            <c:showBubbleSize val="0"/>
          </c:dLbls>
          <c:val>
            <c:numRef>
              <c:f>'Step Analysis'!$X$9:$X$51</c:f>
              <c:numCache>
                <c:formatCode>_(* #,##0.000_);_(* \(#,##0.000\);_(* "-"???_);_(@_)</c:formatCode>
                <c:ptCount val="43"/>
                <c:pt idx="0">
                  <c:v>0</c:v>
                </c:pt>
                <c:pt idx="1">
                  <c:v>3.88</c:v>
                </c:pt>
                <c:pt idx="2">
                  <c:v>12.260000000000002</c:v>
                </c:pt>
                <c:pt idx="3">
                  <c:v>25.126000000000001</c:v>
                </c:pt>
                <c:pt idx="4">
                  <c:v>39.027999999999999</c:v>
                </c:pt>
                <c:pt idx="5">
                  <c:v>53.637025135563896</c:v>
                </c:pt>
                <c:pt idx="6">
                  <c:v>69.555152618833233</c:v>
                </c:pt>
                <c:pt idx="7">
                  <c:v>86.573483139003955</c:v>
                </c:pt>
                <c:pt idx="8">
                  <c:v>104.19065835014631</c:v>
                </c:pt>
                <c:pt idx="9">
                  <c:v>123.43724818556032</c:v>
                </c:pt>
                <c:pt idx="10">
                  <c:v>143.82582092003653</c:v>
                </c:pt>
                <c:pt idx="11">
                  <c:v>164.96643117340736</c:v>
                </c:pt>
                <c:pt idx="12">
                  <c:v>188.2795942591404</c:v>
                </c:pt>
                <c:pt idx="13">
                  <c:v>213.12468562410322</c:v>
                </c:pt>
                <c:pt idx="14">
                  <c:v>238.66610802507955</c:v>
                </c:pt>
                <c:pt idx="15">
                  <c:v>267.22960712235465</c:v>
                </c:pt>
                <c:pt idx="16">
                  <c:v>296.60085022140544</c:v>
                </c:pt>
                <c:pt idx="17">
                  <c:v>325.8467537339738</c:v>
                </c:pt>
                <c:pt idx="18">
                  <c:v>356.98667766449893</c:v>
                </c:pt>
                <c:pt idx="19">
                  <c:v>389.08753842472277</c:v>
                </c:pt>
                <c:pt idx="20">
                  <c:v>421.23017904710741</c:v>
                </c:pt>
                <c:pt idx="21">
                  <c:v>454.97995170061125</c:v>
                </c:pt>
                <c:pt idx="22">
                  <c:v>490.41721298679033</c:v>
                </c:pt>
                <c:pt idx="23">
                  <c:v>527.6263373372783</c:v>
                </c:pt>
                <c:pt idx="24">
                  <c:v>566.69591790529068</c:v>
                </c:pt>
                <c:pt idx="25">
                  <c:v>607.71897750170376</c:v>
                </c:pt>
                <c:pt idx="26">
                  <c:v>650.79319007793742</c:v>
                </c:pt>
                <c:pt idx="27">
                  <c:v>696.02111328298281</c:v>
                </c:pt>
                <c:pt idx="28">
                  <c:v>743.51043264828047</c:v>
                </c:pt>
                <c:pt idx="29">
                  <c:v>793.374217981843</c:v>
                </c:pt>
                <c:pt idx="30">
                  <c:v>845.73119258208362</c:v>
                </c:pt>
                <c:pt idx="31">
                  <c:v>900.70601591233628</c:v>
                </c:pt>
                <c:pt idx="32">
                  <c:v>958.42958040910162</c:v>
                </c:pt>
                <c:pt idx="33">
                  <c:v>1019.0393231307053</c:v>
                </c:pt>
                <c:pt idx="34">
                  <c:v>1082.6795529883891</c:v>
                </c:pt>
                <c:pt idx="35">
                  <c:v>1149.5017943389571</c:v>
                </c:pt>
                <c:pt idx="36">
                  <c:v>1219.6651477570535</c:v>
                </c:pt>
                <c:pt idx="37">
                  <c:v>1293.3366688460546</c:v>
                </c:pt>
                <c:pt idx="38">
                  <c:v>1370.6917659895059</c:v>
                </c:pt>
                <c:pt idx="39">
                  <c:v>1451.9146179901297</c:v>
                </c:pt>
                <c:pt idx="40">
                  <c:v>1537.1986125907847</c:v>
                </c:pt>
                <c:pt idx="41">
                  <c:v>1626.7468069214724</c:v>
                </c:pt>
                <c:pt idx="42">
                  <c:v>1720.7724109686947</c:v>
                </c:pt>
              </c:numCache>
            </c:numRef>
          </c:val>
          <c:smooth val="0"/>
        </c:ser>
        <c:dLbls>
          <c:showLegendKey val="0"/>
          <c:showVal val="0"/>
          <c:showCatName val="0"/>
          <c:showSerName val="0"/>
          <c:showPercent val="0"/>
          <c:showBubbleSize val="0"/>
        </c:dLbls>
        <c:marker val="1"/>
        <c:smooth val="0"/>
        <c:axId val="152242176"/>
        <c:axId val="222625792"/>
      </c:lineChart>
      <c:catAx>
        <c:axId val="152242176"/>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222625792"/>
        <c:crosses val="autoZero"/>
        <c:auto val="1"/>
        <c:lblAlgn val="ctr"/>
        <c:lblOffset val="100"/>
        <c:noMultiLvlLbl val="0"/>
      </c:catAx>
      <c:valAx>
        <c:axId val="222625792"/>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152242176"/>
        <c:crosses val="autoZero"/>
        <c:crossBetween val="between"/>
        <c:majorUnit val="100"/>
      </c:valAx>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
          <c:y val="0.37239849208716752"/>
          <c:w val="0.14639588966114919"/>
          <c:h val="0.1390298985695867"/>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11</xdr:col>
      <xdr:colOff>600075</xdr:colOff>
      <xdr:row>7</xdr:row>
      <xdr:rowOff>19050</xdr:rowOff>
    </xdr:from>
    <xdr:to>
      <xdr:col>17</xdr:col>
      <xdr:colOff>9525</xdr:colOff>
      <xdr:row>19</xdr:row>
      <xdr:rowOff>195262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609600</xdr:colOff>
      <xdr:row>20</xdr:row>
      <xdr:rowOff>161925</xdr:rowOff>
    </xdr:from>
    <xdr:to>
      <xdr:col>17</xdr:col>
      <xdr:colOff>9525</xdr:colOff>
      <xdr:row>34</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628650</xdr:colOff>
      <xdr:row>35</xdr:row>
      <xdr:rowOff>76200</xdr:rowOff>
    </xdr:from>
    <xdr:to>
      <xdr:col>17</xdr:col>
      <xdr:colOff>38100</xdr:colOff>
      <xdr:row>50</xdr:row>
      <xdr:rowOff>147637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123825</xdr:colOff>
      <xdr:row>162</xdr:row>
      <xdr:rowOff>19049</xdr:rowOff>
    </xdr:from>
    <xdr:to>
      <xdr:col>15</xdr:col>
      <xdr:colOff>809625</xdr:colOff>
      <xdr:row>197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123265</xdr:colOff>
      <xdr:row>55</xdr:row>
      <xdr:rowOff>107577</xdr:rowOff>
    </xdr:from>
    <xdr:to>
      <xdr:col>26</xdr:col>
      <xdr:colOff>212911</xdr:colOff>
      <xdr:row>96</xdr:row>
      <xdr:rowOff>168089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omefolders\LADWP\Water%20Resources%20Development\Share\Local%20Water%20Supply%20Program\Local%20Water%20Supply%20Analysis%20v29-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Assumptions"/>
      <sheetName val="Summary Costs"/>
      <sheetName val="CostperAF - Baseline"/>
      <sheetName val="CostperAF - Accelerated"/>
      <sheetName val="CostperAFCharts"/>
      <sheetName val="Total Supplies"/>
      <sheetName val="Forecast"/>
      <sheetName val="$ per AF"/>
      <sheetName val="Met Water Prices"/>
      <sheetName val="Total"/>
      <sheetName val="Groundwater"/>
      <sheetName val="GWR"/>
      <sheetName val="PP"/>
      <sheetName val="SWRecharge"/>
      <sheetName val="SWHarvesting"/>
      <sheetName val="Conservation"/>
      <sheetName val="ConservationTest"/>
      <sheetName val="TotalCharts"/>
      <sheetName val="GWCharts"/>
      <sheetName val="RecycledGWRCharts"/>
      <sheetName val="RecycledPPCharts"/>
      <sheetName val="SWRechargeCharts"/>
      <sheetName val="SWHarvestingCharts"/>
      <sheetName val="ConservationCharts"/>
    </sheetNames>
    <sheetDataSet>
      <sheetData sheetId="0">
        <row r="37">
          <cell r="E37">
            <v>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pageSetUpPr fitToPage="1"/>
  </sheetPr>
  <dimension ref="A1:CP241"/>
  <sheetViews>
    <sheetView topLeftCell="A40" workbookViewId="0">
      <selection activeCell="F59" sqref="F59"/>
    </sheetView>
  </sheetViews>
  <sheetFormatPr defaultColWidth="8.85546875" defaultRowHeight="15" x14ac:dyDescent="0.25"/>
  <cols>
    <col min="1" max="1" width="19.42578125" style="248" customWidth="1"/>
    <col min="2" max="2" width="11.140625" style="248" customWidth="1"/>
    <col min="3" max="4" width="9.28515625" style="248" customWidth="1"/>
    <col min="5" max="5" width="14.42578125" style="248" customWidth="1"/>
    <col min="6" max="6" width="26.7109375" style="248" customWidth="1"/>
    <col min="7" max="7" width="14" style="248" customWidth="1"/>
    <col min="8" max="8" width="16" style="103" customWidth="1"/>
    <col min="9" max="11" width="16" style="248" customWidth="1"/>
    <col min="12" max="13" width="27.7109375" style="248" customWidth="1"/>
    <col min="14" max="14" width="10.42578125" style="248" customWidth="1"/>
    <col min="15" max="15" width="5.7109375" style="248" customWidth="1"/>
    <col min="19" max="20" width="10.42578125" style="248" customWidth="1"/>
    <col min="21" max="21" width="10.42578125" style="256" customWidth="1"/>
    <col min="22" max="22" width="2.28515625" style="248" customWidth="1"/>
    <col min="23" max="23" width="10.42578125" style="248" customWidth="1"/>
    <col min="24" max="28" width="8.7109375" style="248" customWidth="1"/>
    <col min="29" max="29" width="5.28515625" style="248" customWidth="1"/>
    <col min="30" max="32" width="8.7109375" style="248" customWidth="1"/>
    <col min="33" max="33" width="11.140625" style="248" customWidth="1"/>
    <col min="34" max="34" width="8.7109375" style="248" customWidth="1"/>
    <col min="35" max="35" width="10" style="245" customWidth="1"/>
    <col min="36" max="36" width="2.140625" style="245" customWidth="1"/>
    <col min="37" max="42" width="8.7109375" style="245" customWidth="1"/>
    <col min="43" max="43" width="6.140625" style="245" customWidth="1"/>
    <col min="44" max="48" width="8.7109375" style="245" customWidth="1"/>
    <col min="49" max="49" width="10" style="245" customWidth="1"/>
    <col min="50" max="50" width="1.85546875" style="245" customWidth="1"/>
    <col min="51" max="56" width="8.7109375" style="245" customWidth="1"/>
    <col min="57" max="57" width="5.140625" style="245" customWidth="1"/>
    <col min="58" max="62" width="8.7109375" style="245" customWidth="1"/>
    <col min="63" max="63" width="10" style="245" customWidth="1"/>
    <col min="64" max="64" width="8.140625" style="245" customWidth="1"/>
    <col min="65" max="73" width="8.85546875" style="245" customWidth="1"/>
    <col min="74" max="74" width="9.42578125" style="245" customWidth="1"/>
    <col min="75" max="94" width="8.7109375" style="245" customWidth="1"/>
    <col min="95" max="98" width="8.85546875" style="248" customWidth="1"/>
    <col min="99" max="16384" width="8.85546875" style="248"/>
  </cols>
  <sheetData>
    <row r="1" spans="1:94" ht="12.75" customHeight="1" x14ac:dyDescent="0.25">
      <c r="CK1" s="248"/>
      <c r="CL1" s="248"/>
      <c r="CM1" s="248"/>
      <c r="CN1" s="248"/>
      <c r="CO1" s="248"/>
      <c r="CP1" s="248"/>
    </row>
    <row r="2" spans="1:94" ht="21.75" customHeight="1" x14ac:dyDescent="0.25">
      <c r="A2" s="104" t="s">
        <v>0</v>
      </c>
      <c r="B2" s="105" t="s">
        <v>1</v>
      </c>
      <c r="C2" s="105" t="s">
        <v>2</v>
      </c>
      <c r="D2" s="105" t="s">
        <v>3</v>
      </c>
      <c r="E2" s="105" t="s">
        <v>4</v>
      </c>
      <c r="F2" s="105" t="s">
        <v>5</v>
      </c>
      <c r="G2" s="106" t="s">
        <v>6</v>
      </c>
      <c r="H2" s="106" t="s">
        <v>7</v>
      </c>
      <c r="I2" s="106" t="s">
        <v>8</v>
      </c>
      <c r="J2" s="104" t="s">
        <v>9</v>
      </c>
      <c r="L2" s="248" t="s">
        <v>10</v>
      </c>
      <c r="CK2" s="248"/>
      <c r="CL2" s="248"/>
      <c r="CM2" s="248"/>
      <c r="CN2" s="248"/>
      <c r="CO2" s="248"/>
      <c r="CP2" s="248"/>
    </row>
    <row r="3" spans="1:94" ht="15" customHeight="1" x14ac:dyDescent="0.25">
      <c r="A3" s="107" t="s">
        <v>11</v>
      </c>
      <c r="B3" s="257">
        <v>1086.8952688621671</v>
      </c>
      <c r="C3" s="257">
        <v>6087.8927696454766</v>
      </c>
      <c r="D3" s="257">
        <v>4593.6260009019097</v>
      </c>
      <c r="E3" s="257">
        <v>11705.630042300791</v>
      </c>
      <c r="F3" s="257">
        <v>1318.720583059936</v>
      </c>
      <c r="G3" s="257">
        <v>73351</v>
      </c>
      <c r="H3" s="108" t="s">
        <v>12</v>
      </c>
      <c r="I3" s="108" t="s">
        <v>12</v>
      </c>
      <c r="J3" s="258">
        <v>0</v>
      </c>
      <c r="L3" s="109" t="s">
        <v>13</v>
      </c>
      <c r="M3" s="206"/>
      <c r="CK3" s="248"/>
      <c r="CL3" s="248"/>
      <c r="CM3" s="248"/>
      <c r="CN3" s="248"/>
      <c r="CO3" s="248"/>
      <c r="CP3" s="248"/>
    </row>
    <row r="4" spans="1:94" x14ac:dyDescent="0.25">
      <c r="A4" s="107">
        <v>0</v>
      </c>
      <c r="B4" s="257">
        <v>2283.0754442517168</v>
      </c>
      <c r="C4" s="257">
        <v>5955.4412115788618</v>
      </c>
      <c r="D4" s="257">
        <v>4591.8692335719479</v>
      </c>
      <c r="E4" s="257">
        <v>10609.90889285609</v>
      </c>
      <c r="F4" s="257">
        <v>1827.8775529954739</v>
      </c>
      <c r="G4" s="257">
        <v>64619.055153407739</v>
      </c>
      <c r="H4" s="111" t="s">
        <v>12</v>
      </c>
      <c r="I4" s="108" t="s">
        <v>12</v>
      </c>
      <c r="J4" s="258">
        <v>0</v>
      </c>
      <c r="L4" s="140" t="s">
        <v>14</v>
      </c>
      <c r="M4" s="140"/>
      <c r="CK4" s="248"/>
      <c r="CL4" s="248"/>
      <c r="CM4" s="248"/>
      <c r="CN4" s="248"/>
      <c r="CO4" s="248"/>
      <c r="CP4" s="248"/>
    </row>
    <row r="5" spans="1:94" x14ac:dyDescent="0.25">
      <c r="A5" s="107">
        <v>1</v>
      </c>
      <c r="B5" s="257">
        <v>2259.1481884069458</v>
      </c>
      <c r="C5" s="257">
        <v>5712.0836313443333</v>
      </c>
      <c r="D5" s="257">
        <v>4674.6429349306982</v>
      </c>
      <c r="E5" s="257">
        <v>10535.086683035461</v>
      </c>
      <c r="F5" s="257">
        <v>1767.160799644902</v>
      </c>
      <c r="G5" s="257">
        <v>59692.434433137103</v>
      </c>
      <c r="H5" s="113">
        <f>SUMIFS($C$22:$C$241, $H$22:$H$241, "="&amp;$A5,$I$22:$I$241, "hard")</f>
        <v>2.9685640625</v>
      </c>
      <c r="I5" s="113">
        <f>SUMIFS($C$22:$C$241, $H$22:$H$241, "="&amp;$A5,$I$22:$I$241, "soft")</f>
        <v>0.38253593750000003</v>
      </c>
      <c r="J5" s="258">
        <v>5000</v>
      </c>
      <c r="L5" s="112" t="s">
        <v>15</v>
      </c>
      <c r="M5" s="208"/>
      <c r="CK5" s="248"/>
      <c r="CL5" s="248"/>
      <c r="CM5" s="248"/>
      <c r="CN5" s="248"/>
      <c r="CO5" s="248"/>
      <c r="CP5" s="248"/>
    </row>
    <row r="6" spans="1:94" x14ac:dyDescent="0.25">
      <c r="A6" s="107">
        <v>2</v>
      </c>
      <c r="B6" s="257">
        <v>2071.4633826069471</v>
      </c>
      <c r="C6" s="257">
        <v>5526.1245998635768</v>
      </c>
      <c r="D6" s="257">
        <v>4508.7256178707767</v>
      </c>
      <c r="E6" s="257">
        <v>10475.925167612189</v>
      </c>
      <c r="F6" s="257">
        <v>1349.169142965507</v>
      </c>
      <c r="G6" s="257">
        <v>56608.750665878702</v>
      </c>
      <c r="H6" s="113">
        <f>SUMIFS($C$22:$C$241, $H$22:$H$241, "="&amp;$A6,$I$22:$I$241, "hard")</f>
        <v>2.9970249999999994</v>
      </c>
      <c r="I6" s="113">
        <f>SUMIFS($C$22:$C$241, $H$22:$H$241, "="&amp;$A6,$I$22:$I$241, "soft")</f>
        <v>1.2844031250000001</v>
      </c>
      <c r="J6" s="258">
        <v>9000</v>
      </c>
      <c r="L6" s="114" t="s">
        <v>16</v>
      </c>
      <c r="M6" s="207"/>
      <c r="CK6" s="248"/>
      <c r="CL6" s="248"/>
      <c r="CM6" s="248"/>
      <c r="CN6" s="248"/>
      <c r="CO6" s="248"/>
      <c r="CP6" s="248"/>
    </row>
    <row r="7" spans="1:94" x14ac:dyDescent="0.25">
      <c r="A7" s="107">
        <v>3</v>
      </c>
      <c r="B7" s="257">
        <v>1992.8514372247309</v>
      </c>
      <c r="C7" s="257">
        <v>5519.5187293737217</v>
      </c>
      <c r="D7" s="257">
        <v>4673.2444038716876</v>
      </c>
      <c r="E7" s="257">
        <v>10537.90898092637</v>
      </c>
      <c r="F7" s="257">
        <v>1187.7036103868641</v>
      </c>
      <c r="G7" s="257">
        <v>53633.044233930748</v>
      </c>
      <c r="H7" s="113">
        <f>SUMIFS($C$22:$C$241, $H$22:$H$241, "="&amp;$A7,$I$22:$I$241, "hard")</f>
        <v>2.9411640625000008</v>
      </c>
      <c r="I7" s="113">
        <f>SUMIFS($C$22:$C$241, $H$22:$H$241, "="&amp;$A7,$I$22:$I$241, "soft")</f>
        <v>2.1477328125000001</v>
      </c>
      <c r="J7" s="258">
        <v>9000</v>
      </c>
      <c r="CK7" s="248"/>
      <c r="CL7" s="248"/>
      <c r="CM7" s="248"/>
      <c r="CN7" s="248"/>
      <c r="CO7" s="248"/>
      <c r="CP7" s="248"/>
    </row>
    <row r="8" spans="1:94" x14ac:dyDescent="0.25">
      <c r="A8" s="107">
        <v>4</v>
      </c>
      <c r="B8" s="257">
        <v>1992.8514372247309</v>
      </c>
      <c r="C8" s="257">
        <v>5652.5434699589032</v>
      </c>
      <c r="D8" s="257">
        <v>4478.944988805908</v>
      </c>
      <c r="E8" s="257">
        <v>10545.523861133081</v>
      </c>
      <c r="F8" s="257">
        <v>1187.30541394127</v>
      </c>
      <c r="G8" s="257">
        <v>52352.474558188667</v>
      </c>
      <c r="H8" s="113">
        <f>SUMIFS($C$22:$C$241, $H$22:$H$241, "="&amp;$A8,$I$22:$I$241, "hard")</f>
        <v>2.9953281250000003</v>
      </c>
      <c r="I8" s="113">
        <f>SUMIFS($C$22:$C$241, $H$22:$H$241, "="&amp;$A8,$I$22:$I$241, "soft")</f>
        <v>0.99581718750000014</v>
      </c>
      <c r="J8" s="258">
        <v>9000</v>
      </c>
      <c r="CK8" s="248"/>
      <c r="CL8" s="248"/>
      <c r="CM8" s="248"/>
      <c r="CN8" s="248"/>
      <c r="CO8" s="248"/>
      <c r="CP8" s="248"/>
    </row>
    <row r="9" spans="1:94" x14ac:dyDescent="0.25">
      <c r="A9" s="107">
        <v>5</v>
      </c>
      <c r="B9" s="257">
        <v>1992.8514372247309</v>
      </c>
      <c r="C9" s="257">
        <v>5510.5641774523347</v>
      </c>
      <c r="D9" s="257">
        <v>4302.1311708622516</v>
      </c>
      <c r="E9" s="257">
        <v>10542.78783622915</v>
      </c>
      <c r="F9" s="257">
        <v>1186.8663366321839</v>
      </c>
      <c r="G9" s="257">
        <v>51375.193727803387</v>
      </c>
      <c r="H9" s="113">
        <f>SUMIFS($C$22:$C$241, $H$22:$H$241, "="&amp;$A9,$I$22:$I$241, "hard")</f>
        <v>2.7344734375000002</v>
      </c>
      <c r="I9" s="113">
        <f>SUMIFS($C$22:$C$241, $H$22:$H$241, "="&amp;$A9,$I$22:$I$241, "soft")</f>
        <v>1.3354296875</v>
      </c>
      <c r="J9" s="258">
        <v>9000</v>
      </c>
      <c r="CK9" s="248"/>
      <c r="CL9" s="248"/>
      <c r="CM9" s="248"/>
      <c r="CN9" s="248"/>
      <c r="CO9" s="248"/>
      <c r="CP9" s="248"/>
    </row>
    <row r="10" spans="1:94" x14ac:dyDescent="0.25">
      <c r="A10" s="118"/>
      <c r="B10" s="259"/>
      <c r="C10" s="260"/>
      <c r="D10" s="260"/>
      <c r="E10" s="260"/>
      <c r="F10" s="260"/>
      <c r="G10" s="261"/>
      <c r="H10" s="119"/>
      <c r="I10" s="120"/>
      <c r="CK10" s="248"/>
      <c r="CL10" s="248"/>
      <c r="CM10" s="248"/>
      <c r="CN10" s="248"/>
      <c r="CO10" s="248"/>
      <c r="CP10" s="248"/>
    </row>
    <row r="11" spans="1:94" ht="33" customHeight="1" x14ac:dyDescent="0.25">
      <c r="A11" s="104" t="s">
        <v>0</v>
      </c>
      <c r="B11" s="105" t="s">
        <v>1</v>
      </c>
      <c r="C11" s="105" t="s">
        <v>2</v>
      </c>
      <c r="D11" s="105" t="s">
        <v>3</v>
      </c>
      <c r="E11" s="105" t="s">
        <v>4</v>
      </c>
      <c r="F11" s="105" t="s">
        <v>5</v>
      </c>
      <c r="G11" s="121" t="s">
        <v>17</v>
      </c>
      <c r="H11" s="104" t="s">
        <v>18</v>
      </c>
      <c r="I11" s="104" t="s">
        <v>19</v>
      </c>
      <c r="J11" s="104" t="s">
        <v>20</v>
      </c>
      <c r="K11" s="104" t="s">
        <v>21</v>
      </c>
      <c r="CK11" s="248"/>
      <c r="CL11" s="248"/>
      <c r="CM11" s="248"/>
      <c r="CN11" s="248"/>
      <c r="CO11" s="248"/>
      <c r="CP11" s="248"/>
    </row>
    <row r="12" spans="1:94" ht="18" customHeight="1" x14ac:dyDescent="0.25">
      <c r="A12" s="107" t="s">
        <v>11</v>
      </c>
      <c r="B12" s="122">
        <f t="shared" ref="B12:G18" si="0">B3/B$3</f>
        <v>1</v>
      </c>
      <c r="C12" s="122">
        <f t="shared" si="0"/>
        <v>1</v>
      </c>
      <c r="D12" s="122">
        <f t="shared" si="0"/>
        <v>1</v>
      </c>
      <c r="E12" s="122">
        <f t="shared" si="0"/>
        <v>1</v>
      </c>
      <c r="F12" s="122">
        <f t="shared" si="0"/>
        <v>1</v>
      </c>
      <c r="G12" s="122">
        <f t="shared" si="0"/>
        <v>1</v>
      </c>
      <c r="H12" s="151">
        <f>G$3-G3</f>
        <v>0</v>
      </c>
      <c r="I12" s="151">
        <f>H12</f>
        <v>0</v>
      </c>
      <c r="J12" s="151">
        <f>G3-G3 -J3</f>
        <v>0</v>
      </c>
      <c r="K12" s="151">
        <f>J12</f>
        <v>0</v>
      </c>
      <c r="CK12" s="248"/>
      <c r="CL12" s="248"/>
      <c r="CM12" s="248"/>
      <c r="CN12" s="248"/>
      <c r="CO12" s="248"/>
      <c r="CP12" s="248"/>
    </row>
    <row r="13" spans="1:94" ht="18" customHeight="1" x14ac:dyDescent="0.25">
      <c r="A13" s="107">
        <v>0</v>
      </c>
      <c r="B13" s="122">
        <f t="shared" si="0"/>
        <v>2.1005477801387333</v>
      </c>
      <c r="C13" s="122">
        <f t="shared" si="0"/>
        <v>0.97824344759700355</v>
      </c>
      <c r="D13" s="122">
        <f t="shared" si="0"/>
        <v>0.99961756413569214</v>
      </c>
      <c r="E13" s="122">
        <f t="shared" si="0"/>
        <v>0.90639366309330827</v>
      </c>
      <c r="F13" s="122">
        <f t="shared" si="0"/>
        <v>1.3860992059091843</v>
      </c>
      <c r="G13" s="122">
        <f t="shared" si="0"/>
        <v>0.88095670343155152</v>
      </c>
      <c r="H13" s="151">
        <f t="shared" ref="H13:H18" si="1">$G3-$G4</f>
        <v>8731.9448465922615</v>
      </c>
      <c r="I13" s="151">
        <v>0</v>
      </c>
      <c r="J13" s="151">
        <f t="shared" ref="J13:J18" si="2">G3-(G4 -J4)</f>
        <v>8731.9448465922615</v>
      </c>
      <c r="K13" s="151">
        <v>0</v>
      </c>
      <c r="CK13" s="248"/>
      <c r="CL13" s="248"/>
      <c r="CM13" s="248"/>
      <c r="CN13" s="248"/>
      <c r="CO13" s="248"/>
      <c r="CP13" s="248"/>
    </row>
    <row r="14" spans="1:94" ht="18" customHeight="1" x14ac:dyDescent="0.25">
      <c r="A14" s="107">
        <v>1</v>
      </c>
      <c r="B14" s="122">
        <f t="shared" si="0"/>
        <v>2.0785334641965729</v>
      </c>
      <c r="C14" s="122">
        <f t="shared" si="0"/>
        <v>0.9382694221923642</v>
      </c>
      <c r="D14" s="122">
        <f t="shared" si="0"/>
        <v>1.0176368154509927</v>
      </c>
      <c r="E14" s="122">
        <f t="shared" si="0"/>
        <v>0.90000167824924227</v>
      </c>
      <c r="F14" s="122">
        <f t="shared" si="0"/>
        <v>1.3400570388796187</v>
      </c>
      <c r="G14" s="122">
        <f t="shared" si="0"/>
        <v>0.81379169245323313</v>
      </c>
      <c r="H14" s="151">
        <f t="shared" si="1"/>
        <v>4926.6207202706355</v>
      </c>
      <c r="I14" s="151">
        <f>SUM(H$14:H14)</f>
        <v>4926.6207202706355</v>
      </c>
      <c r="J14" s="151">
        <f t="shared" si="2"/>
        <v>9926.6207202706355</v>
      </c>
      <c r="K14" s="151">
        <f>SUM(H$14:H14)+J5</f>
        <v>9926.6207202706355</v>
      </c>
      <c r="CK14" s="248"/>
      <c r="CL14" s="248"/>
      <c r="CM14" s="248"/>
      <c r="CN14" s="248"/>
      <c r="CO14" s="248"/>
      <c r="CP14" s="248"/>
    </row>
    <row r="15" spans="1:94" ht="18" customHeight="1" x14ac:dyDescent="0.25">
      <c r="A15" s="107">
        <v>2</v>
      </c>
      <c r="B15" s="122">
        <f t="shared" si="0"/>
        <v>1.9058537118994825</v>
      </c>
      <c r="C15" s="122">
        <f t="shared" si="0"/>
        <v>0.90772370817979864</v>
      </c>
      <c r="D15" s="122">
        <f t="shared" si="0"/>
        <v>0.98151778507556697</v>
      </c>
      <c r="E15" s="122">
        <f t="shared" si="0"/>
        <v>0.89494757050711493</v>
      </c>
      <c r="F15" s="122">
        <f t="shared" si="0"/>
        <v>1.0230894704281621</v>
      </c>
      <c r="G15" s="122">
        <f t="shared" si="0"/>
        <v>0.7717515871069065</v>
      </c>
      <c r="H15" s="151">
        <f t="shared" si="1"/>
        <v>3083.6837672584006</v>
      </c>
      <c r="I15" s="151">
        <f>SUM(H$14:H15)</f>
        <v>8010.3044875290361</v>
      </c>
      <c r="J15" s="151">
        <f t="shared" si="2"/>
        <v>12083.683767258401</v>
      </c>
      <c r="K15" s="151">
        <f>SUM(H$14:H15)+J6</f>
        <v>17010.304487529036</v>
      </c>
      <c r="CK15" s="248"/>
      <c r="CL15" s="248"/>
      <c r="CM15" s="248"/>
      <c r="CN15" s="248"/>
      <c r="CO15" s="248"/>
      <c r="CP15" s="248"/>
    </row>
    <row r="16" spans="1:94" ht="18" customHeight="1" x14ac:dyDescent="0.25">
      <c r="A16" s="107">
        <v>3</v>
      </c>
      <c r="B16" s="122">
        <f t="shared" si="0"/>
        <v>1.8335266463262627</v>
      </c>
      <c r="C16" s="122">
        <f t="shared" si="0"/>
        <v>0.90663862492688851</v>
      </c>
      <c r="D16" s="122">
        <f t="shared" si="0"/>
        <v>1.0173323650976691</v>
      </c>
      <c r="E16" s="122">
        <f t="shared" si="0"/>
        <v>0.90024278427093529</v>
      </c>
      <c r="F16" s="122">
        <f t="shared" si="0"/>
        <v>0.90064842063125883</v>
      </c>
      <c r="G16" s="122">
        <f t="shared" si="0"/>
        <v>0.73118354533586116</v>
      </c>
      <c r="H16" s="151">
        <f t="shared" si="1"/>
        <v>2975.7064319479541</v>
      </c>
      <c r="I16" s="151">
        <f>SUM(H$14:H16)</f>
        <v>10986.01091947699</v>
      </c>
      <c r="J16" s="151">
        <f t="shared" si="2"/>
        <v>11975.706431947954</v>
      </c>
      <c r="K16" s="151">
        <f>SUM(H$14:H16)+J7</f>
        <v>19986.01091947699</v>
      </c>
      <c r="CK16" s="248"/>
      <c r="CL16" s="248"/>
      <c r="CM16" s="248"/>
      <c r="CN16" s="248"/>
      <c r="CO16" s="248"/>
      <c r="CP16" s="248"/>
    </row>
    <row r="17" spans="1:94" ht="18" customHeight="1" x14ac:dyDescent="0.25">
      <c r="A17" s="107">
        <v>4</v>
      </c>
      <c r="B17" s="122">
        <f t="shared" si="0"/>
        <v>1.8335266463262627</v>
      </c>
      <c r="C17" s="122">
        <f t="shared" si="0"/>
        <v>0.92848932854776189</v>
      </c>
      <c r="D17" s="122">
        <f t="shared" si="0"/>
        <v>0.97503475205132384</v>
      </c>
      <c r="E17" s="122">
        <f t="shared" si="0"/>
        <v>0.90089331569719711</v>
      </c>
      <c r="F17" s="122">
        <f t="shared" si="0"/>
        <v>0.90034646398425622</v>
      </c>
      <c r="G17" s="122">
        <f t="shared" si="0"/>
        <v>0.71372543739265537</v>
      </c>
      <c r="H17" s="151">
        <f t="shared" si="1"/>
        <v>1280.569675742081</v>
      </c>
      <c r="I17" s="151">
        <f>SUM(H$14:H17)</f>
        <v>12266.580595219071</v>
      </c>
      <c r="J17" s="151">
        <f t="shared" si="2"/>
        <v>10280.569675742081</v>
      </c>
      <c r="K17" s="151">
        <f>SUM(H$14:H17)+J8</f>
        <v>21266.580595219071</v>
      </c>
      <c r="CK17" s="248"/>
      <c r="CL17" s="248"/>
      <c r="CM17" s="248"/>
      <c r="CN17" s="248"/>
      <c r="CO17" s="248"/>
      <c r="CP17" s="248"/>
    </row>
    <row r="18" spans="1:94" ht="18" customHeight="1" x14ac:dyDescent="0.25">
      <c r="A18" s="107">
        <v>5</v>
      </c>
      <c r="B18" s="122">
        <f t="shared" si="0"/>
        <v>1.8335266463262627</v>
      </c>
      <c r="C18" s="122">
        <f t="shared" si="0"/>
        <v>0.90516774620740204</v>
      </c>
      <c r="D18" s="122">
        <f t="shared" si="0"/>
        <v>0.93654363024276988</v>
      </c>
      <c r="E18" s="122">
        <f t="shared" si="0"/>
        <v>0.90065957988852696</v>
      </c>
      <c r="F18" s="122">
        <f t="shared" si="0"/>
        <v>0.9000135069388242</v>
      </c>
      <c r="G18" s="122">
        <f t="shared" si="0"/>
        <v>0.70040209033010303</v>
      </c>
      <c r="H18" s="151">
        <f t="shared" si="1"/>
        <v>977.28083038527984</v>
      </c>
      <c r="I18" s="151">
        <f>SUM(H$14:H18)</f>
        <v>13243.861425604351</v>
      </c>
      <c r="J18" s="151">
        <f t="shared" si="2"/>
        <v>9977.2808303852798</v>
      </c>
      <c r="K18" s="151">
        <f>SUM(H$14:H18)+J9</f>
        <v>22243.861425604351</v>
      </c>
      <c r="CK18" s="248"/>
      <c r="CL18" s="248"/>
      <c r="CM18" s="248"/>
      <c r="CN18" s="248"/>
      <c r="CO18" s="248"/>
      <c r="CP18" s="248"/>
    </row>
    <row r="19" spans="1:94" ht="12.75" customHeight="1" x14ac:dyDescent="0.25">
      <c r="L19" s="262"/>
      <c r="CK19" s="248"/>
      <c r="CL19" s="248"/>
      <c r="CM19" s="248"/>
      <c r="CN19" s="248"/>
      <c r="CO19" s="248"/>
      <c r="CP19" s="248"/>
    </row>
    <row r="20" spans="1:94" ht="15.75" customHeight="1" x14ac:dyDescent="0.25">
      <c r="A20" s="124"/>
      <c r="B20" s="124"/>
      <c r="C20" s="124"/>
      <c r="I20" s="125"/>
      <c r="J20" s="125"/>
      <c r="L20" s="262"/>
      <c r="CK20" s="248"/>
      <c r="CL20" s="248"/>
      <c r="CM20" s="248"/>
      <c r="CN20" s="248"/>
      <c r="CO20" s="248"/>
      <c r="CP20" s="248"/>
    </row>
    <row r="21" spans="1:94" ht="33" customHeight="1" x14ac:dyDescent="0.25">
      <c r="A21" s="126" t="s">
        <v>22</v>
      </c>
      <c r="B21" s="127" t="s">
        <v>23</v>
      </c>
      <c r="C21" s="127" t="s">
        <v>24</v>
      </c>
      <c r="D21" s="128" t="s">
        <v>11</v>
      </c>
      <c r="E21" s="128" t="s">
        <v>25</v>
      </c>
      <c r="F21" s="128" t="s">
        <v>26</v>
      </c>
      <c r="G21" s="128" t="s">
        <v>27</v>
      </c>
      <c r="H21" s="129" t="s">
        <v>28</v>
      </c>
      <c r="I21" s="130" t="s">
        <v>29</v>
      </c>
      <c r="K21" s="125"/>
      <c r="L21" s="262"/>
      <c r="M21" s="125"/>
      <c r="N21" s="125"/>
      <c r="O21" s="125"/>
      <c r="S21" s="125"/>
      <c r="T21" s="125"/>
      <c r="W21" s="249"/>
      <c r="X21" s="249"/>
      <c r="Y21" s="249"/>
      <c r="Z21" s="249"/>
      <c r="AA21" s="249"/>
      <c r="AB21" s="249"/>
      <c r="AC21" s="249"/>
      <c r="AD21" s="249"/>
      <c r="AE21" s="249"/>
      <c r="AF21" s="249"/>
      <c r="AG21" s="249"/>
      <c r="AH21" s="249"/>
      <c r="CK21" s="248"/>
      <c r="CL21" s="248"/>
      <c r="CM21" s="248"/>
      <c r="CN21" s="248"/>
      <c r="CO21" s="248"/>
      <c r="CP21" s="248"/>
    </row>
    <row r="22" spans="1:94" s="124" customFormat="1" ht="15" customHeight="1" x14ac:dyDescent="0.25">
      <c r="A22" t="s">
        <v>30</v>
      </c>
      <c r="B22" s="263">
        <v>133.67500000000001</v>
      </c>
      <c r="C22" s="263">
        <f t="shared" ref="C22:C87" si="3">B22*0.0015625</f>
        <v>0.20886718750000002</v>
      </c>
      <c r="D22" s="264" t="s">
        <v>31</v>
      </c>
      <c r="E22" s="264" t="s">
        <v>31</v>
      </c>
      <c r="F22" s="237" t="s">
        <v>31</v>
      </c>
      <c r="G22" s="131" t="s">
        <v>31</v>
      </c>
      <c r="H22" s="139">
        <v>0</v>
      </c>
      <c r="I22" s="115" t="str">
        <f>IF(EXACT(F22, G22), "none", IF(ISNUMBER(MATCH(G22, 'MP Analysis Input'!$A$15:$A$21, 0)), "soft", "hard"))</f>
        <v>none</v>
      </c>
      <c r="K22" s="245"/>
      <c r="L22" s="245"/>
    </row>
    <row r="23" spans="1:94" ht="15" customHeight="1" x14ac:dyDescent="0.25">
      <c r="A23" t="s">
        <v>32</v>
      </c>
      <c r="B23" s="263">
        <v>197.95400000000001</v>
      </c>
      <c r="C23" s="263">
        <f t="shared" si="3"/>
        <v>0.30930312500000001</v>
      </c>
      <c r="D23" s="264" t="s">
        <v>31</v>
      </c>
      <c r="E23" s="264" t="s">
        <v>31</v>
      </c>
      <c r="F23" s="237" t="s">
        <v>31</v>
      </c>
      <c r="G23" s="131" t="s">
        <v>31</v>
      </c>
      <c r="H23" s="139">
        <v>0</v>
      </c>
      <c r="I23" s="115" t="str">
        <f>IF(EXACT(F23, G23), "none", IF(ISNUMBER(MATCH(G23, 'MP Analysis Input'!$A$15:$A$21, 0)), "soft", "hard"))</f>
        <v>none</v>
      </c>
      <c r="J23" s="124"/>
      <c r="K23" s="245"/>
      <c r="L23" s="245"/>
    </row>
    <row r="24" spans="1:94" ht="15" customHeight="1" x14ac:dyDescent="0.25">
      <c r="A24" t="s">
        <v>33</v>
      </c>
      <c r="B24" s="263">
        <v>88.391000000000005</v>
      </c>
      <c r="C24" s="263">
        <f t="shared" si="3"/>
        <v>0.1381109375</v>
      </c>
      <c r="D24" s="264" t="s">
        <v>34</v>
      </c>
      <c r="E24" s="264" t="s">
        <v>34</v>
      </c>
      <c r="F24" s="237" t="s">
        <v>34</v>
      </c>
      <c r="G24" s="131" t="s">
        <v>34</v>
      </c>
      <c r="H24" s="139">
        <v>0</v>
      </c>
      <c r="I24" s="115" t="str">
        <f>IF(EXACT(F24, G24), "none", IF(ISNUMBER(MATCH(G24, 'MP Analysis Input'!$A$15:$A$21, 0)), "soft", "hard"))</f>
        <v>none</v>
      </c>
      <c r="J24" s="124"/>
      <c r="K24" s="245"/>
      <c r="L24" s="245"/>
    </row>
    <row r="25" spans="1:94" ht="15" customHeight="1" x14ac:dyDescent="0.25">
      <c r="A25" t="s">
        <v>35</v>
      </c>
      <c r="B25" s="263">
        <v>10.31</v>
      </c>
      <c r="C25" s="263">
        <f t="shared" si="3"/>
        <v>1.6109375000000002E-2</v>
      </c>
      <c r="D25" s="264" t="s">
        <v>36</v>
      </c>
      <c r="E25" s="264" t="s">
        <v>36</v>
      </c>
      <c r="F25" s="237" t="s">
        <v>34</v>
      </c>
      <c r="G25" s="131" t="s">
        <v>34</v>
      </c>
      <c r="H25" s="139">
        <v>0</v>
      </c>
      <c r="I25" s="115" t="str">
        <f>IF(EXACT(F25, G25), "none", IF(ISNUMBER(MATCH(G25, 'MP Analysis Input'!$A$15:$A$21, 0)), "soft", "hard"))</f>
        <v>none</v>
      </c>
      <c r="J25" s="124"/>
      <c r="K25" s="245"/>
      <c r="L25" s="245"/>
    </row>
    <row r="26" spans="1:94" ht="15" customHeight="1" x14ac:dyDescent="0.25">
      <c r="A26" t="s">
        <v>37</v>
      </c>
      <c r="B26" s="263">
        <v>1252.0540000000001</v>
      </c>
      <c r="C26" s="263">
        <f t="shared" si="3"/>
        <v>1.9563343750000002</v>
      </c>
      <c r="D26" s="264" t="s">
        <v>34</v>
      </c>
      <c r="E26" s="264" t="s">
        <v>34</v>
      </c>
      <c r="F26" s="237" t="s">
        <v>34</v>
      </c>
      <c r="G26" s="131" t="s">
        <v>34</v>
      </c>
      <c r="H26" s="139">
        <v>0</v>
      </c>
      <c r="I26" s="115" t="str">
        <f>IF(EXACT(F26, G26), "none", IF(ISNUMBER(MATCH(G26, 'MP Analysis Input'!$A$15:$A$21, 0)), "soft", "hard"))</f>
        <v>none</v>
      </c>
      <c r="J26" s="124"/>
      <c r="K26" s="245"/>
      <c r="L26" s="245"/>
    </row>
    <row r="27" spans="1:94" ht="15" customHeight="1" x14ac:dyDescent="0.25">
      <c r="A27" t="s">
        <v>38</v>
      </c>
      <c r="B27" s="263">
        <v>34.537999999999997</v>
      </c>
      <c r="C27" s="263">
        <f t="shared" si="3"/>
        <v>5.3965624999999996E-2</v>
      </c>
      <c r="D27" s="264" t="s">
        <v>34</v>
      </c>
      <c r="E27" s="264" t="s">
        <v>34</v>
      </c>
      <c r="F27" s="237" t="s">
        <v>34</v>
      </c>
      <c r="G27" s="131" t="s">
        <v>34</v>
      </c>
      <c r="H27" s="139">
        <v>0</v>
      </c>
      <c r="I27" s="115" t="str">
        <f>IF(EXACT(F27, G27), "none", IF(ISNUMBER(MATCH(G27, 'MP Analysis Input'!$A$15:$A$21, 0)), "soft", "hard"))</f>
        <v>none</v>
      </c>
      <c r="J27" s="124"/>
      <c r="K27" s="245"/>
      <c r="L27" s="245"/>
    </row>
    <row r="28" spans="1:94" ht="15" customHeight="1" x14ac:dyDescent="0.25">
      <c r="A28" t="s">
        <v>39</v>
      </c>
      <c r="B28" s="263">
        <v>40.901000000000003</v>
      </c>
      <c r="C28" s="263">
        <f t="shared" si="3"/>
        <v>6.3907812500000008E-2</v>
      </c>
      <c r="D28" s="264" t="s">
        <v>40</v>
      </c>
      <c r="E28" s="264" t="s">
        <v>41</v>
      </c>
      <c r="F28" s="237" t="s">
        <v>41</v>
      </c>
      <c r="G28" s="131" t="s">
        <v>42</v>
      </c>
      <c r="H28" s="139">
        <v>4</v>
      </c>
      <c r="I28" s="115" t="str">
        <f>IF(EXACT(F28, G28), "none", IF(ISNUMBER(MATCH(G28, 'MP Analysis Input'!$A$15:$A$21, 0)), "soft", "hard"))</f>
        <v>hard</v>
      </c>
      <c r="J28" s="124"/>
      <c r="K28" s="245"/>
      <c r="L28" s="245"/>
    </row>
    <row r="29" spans="1:94" ht="15" customHeight="1" x14ac:dyDescent="0.25">
      <c r="A29" t="s">
        <v>43</v>
      </c>
      <c r="B29" s="263">
        <v>243.08500000000001</v>
      </c>
      <c r="C29" s="263">
        <f t="shared" si="3"/>
        <v>0.37982031250000003</v>
      </c>
      <c r="D29" s="264" t="s">
        <v>40</v>
      </c>
      <c r="E29" s="264" t="s">
        <v>41</v>
      </c>
      <c r="F29" s="237" t="s">
        <v>41</v>
      </c>
      <c r="G29" s="131" t="s">
        <v>41</v>
      </c>
      <c r="H29" s="139">
        <v>0</v>
      </c>
      <c r="I29" s="115" t="str">
        <f>IF(EXACT(F29, G29), "none", IF(ISNUMBER(MATCH(G29, 'MP Analysis Input'!$A$15:$A$21, 0)), "soft", "hard"))</f>
        <v>none</v>
      </c>
      <c r="J29" s="124"/>
      <c r="K29" s="245"/>
      <c r="L29" s="245"/>
    </row>
    <row r="30" spans="1:94" ht="15" customHeight="1" x14ac:dyDescent="0.25">
      <c r="A30" t="s">
        <v>44</v>
      </c>
      <c r="B30" s="263">
        <v>166.435</v>
      </c>
      <c r="C30" s="263">
        <f t="shared" si="3"/>
        <v>0.26005468749999999</v>
      </c>
      <c r="D30" s="264" t="s">
        <v>40</v>
      </c>
      <c r="E30" s="264" t="s">
        <v>41</v>
      </c>
      <c r="F30" s="237" t="s">
        <v>41</v>
      </c>
      <c r="G30" s="131" t="s">
        <v>41</v>
      </c>
      <c r="H30" s="139">
        <v>0</v>
      </c>
      <c r="I30" s="115" t="str">
        <f>IF(EXACT(F30, G30), "none", IF(ISNUMBER(MATCH(G30, 'MP Analysis Input'!$A$15:$A$21, 0)), "soft", "hard"))</f>
        <v>none</v>
      </c>
      <c r="J30" s="124"/>
      <c r="K30" s="245"/>
      <c r="L30" s="245"/>
    </row>
    <row r="31" spans="1:94" ht="15" customHeight="1" x14ac:dyDescent="0.25">
      <c r="A31" t="s">
        <v>45</v>
      </c>
      <c r="B31" s="263">
        <v>41.264000000000003</v>
      </c>
      <c r="C31" s="263">
        <f t="shared" si="3"/>
        <v>6.4475000000000005E-2</v>
      </c>
      <c r="D31" s="264" t="s">
        <v>36</v>
      </c>
      <c r="E31" s="264" t="s">
        <v>42</v>
      </c>
      <c r="F31" s="237" t="s">
        <v>41</v>
      </c>
      <c r="G31" s="131" t="s">
        <v>4</v>
      </c>
      <c r="H31" s="139">
        <v>4</v>
      </c>
      <c r="I31" s="115" t="str">
        <f>IF(EXACT(F31, G31), "none", IF(ISNUMBER(MATCH(G31, 'MP Analysis Input'!$A$15:$A$21, 0)), "soft", "hard"))</f>
        <v>hard</v>
      </c>
      <c r="J31" s="124"/>
      <c r="K31" s="245"/>
      <c r="L31" s="245"/>
    </row>
    <row r="32" spans="1:94" ht="15" customHeight="1" x14ac:dyDescent="0.25">
      <c r="A32" t="s">
        <v>46</v>
      </c>
      <c r="B32" s="263">
        <v>201.977</v>
      </c>
      <c r="C32" s="263">
        <f t="shared" si="3"/>
        <v>0.31558906250000002</v>
      </c>
      <c r="D32" s="264" t="s">
        <v>40</v>
      </c>
      <c r="E32" s="264" t="s">
        <v>42</v>
      </c>
      <c r="F32" s="237" t="s">
        <v>42</v>
      </c>
      <c r="G32" s="131" t="s">
        <v>4</v>
      </c>
      <c r="H32" s="139">
        <v>5</v>
      </c>
      <c r="I32" s="115" t="str">
        <f>IF(EXACT(F32, G32), "none", IF(ISNUMBER(MATCH(G32, 'MP Analysis Input'!$A$15:$A$21, 0)), "soft", "hard"))</f>
        <v>hard</v>
      </c>
      <c r="J32" s="124"/>
      <c r="K32" s="245"/>
      <c r="L32" s="245"/>
    </row>
    <row r="33" spans="1:12" ht="15" customHeight="1" x14ac:dyDescent="0.25">
      <c r="A33" t="s">
        <v>47</v>
      </c>
      <c r="B33" s="263">
        <v>701.226</v>
      </c>
      <c r="C33" s="263">
        <f t="shared" si="3"/>
        <v>1.0956656250000001</v>
      </c>
      <c r="D33" s="264" t="s">
        <v>48</v>
      </c>
      <c r="E33" s="264" t="s">
        <v>42</v>
      </c>
      <c r="F33" s="237" t="s">
        <v>42</v>
      </c>
      <c r="G33" s="131" t="s">
        <v>4</v>
      </c>
      <c r="H33" s="139">
        <v>5</v>
      </c>
      <c r="I33" s="115" t="str">
        <f>IF(EXACT(F33, G33), "none", IF(ISNUMBER(MATCH(G33, 'MP Analysis Input'!$A$15:$A$21, 0)), "soft", "hard"))</f>
        <v>hard</v>
      </c>
      <c r="J33" s="124"/>
      <c r="K33" s="245"/>
      <c r="L33" s="245"/>
    </row>
    <row r="34" spans="1:12" ht="15" customHeight="1" x14ac:dyDescent="0.25">
      <c r="A34" t="s">
        <v>49</v>
      </c>
      <c r="B34" s="263">
        <v>316.48500000000001</v>
      </c>
      <c r="C34" s="263">
        <f t="shared" si="3"/>
        <v>0.49450781250000003</v>
      </c>
      <c r="D34" s="264" t="s">
        <v>36</v>
      </c>
      <c r="E34" s="264" t="s">
        <v>36</v>
      </c>
      <c r="F34" s="237" t="s">
        <v>34</v>
      </c>
      <c r="G34" s="131" t="s">
        <v>34</v>
      </c>
      <c r="H34" s="139">
        <v>0</v>
      </c>
      <c r="I34" s="115" t="str">
        <f>IF(EXACT(F34, G34), "none", IF(ISNUMBER(MATCH(G34, 'MP Analysis Input'!$A$15:$A$21, 0)), "soft", "hard"))</f>
        <v>none</v>
      </c>
      <c r="J34" s="124"/>
      <c r="K34" s="245"/>
      <c r="L34" s="245"/>
    </row>
    <row r="35" spans="1:12" ht="15" customHeight="1" x14ac:dyDescent="0.25">
      <c r="A35" t="s">
        <v>50</v>
      </c>
      <c r="B35" s="263">
        <v>178.59700000000001</v>
      </c>
      <c r="C35" s="263">
        <f t="shared" si="3"/>
        <v>0.2790578125</v>
      </c>
      <c r="D35" s="264" t="s">
        <v>40</v>
      </c>
      <c r="E35" s="264" t="s">
        <v>42</v>
      </c>
      <c r="F35" s="237" t="s">
        <v>42</v>
      </c>
      <c r="G35" s="131" t="s">
        <v>4</v>
      </c>
      <c r="H35" s="139">
        <v>4</v>
      </c>
      <c r="I35" s="115" t="str">
        <f>IF(EXACT(F35, G35), "none", IF(ISNUMBER(MATCH(G35, 'MP Analysis Input'!$A$15:$A$21, 0)), "soft", "hard"))</f>
        <v>hard</v>
      </c>
      <c r="J35" s="124"/>
      <c r="K35" s="245"/>
      <c r="L35" s="245"/>
    </row>
    <row r="36" spans="1:12" ht="15" customHeight="1" x14ac:dyDescent="0.25">
      <c r="A36" t="s">
        <v>51</v>
      </c>
      <c r="B36" s="263">
        <v>103.259</v>
      </c>
      <c r="C36" s="263">
        <f t="shared" si="3"/>
        <v>0.16134218750000001</v>
      </c>
      <c r="D36" s="264" t="s">
        <v>52</v>
      </c>
      <c r="E36" s="264" t="s">
        <v>52</v>
      </c>
      <c r="F36" s="237" t="s">
        <v>52</v>
      </c>
      <c r="G36" s="131" t="s">
        <v>52</v>
      </c>
      <c r="H36" s="139">
        <v>0</v>
      </c>
      <c r="I36" s="115" t="str">
        <f>IF(EXACT(F36, G36), "none", IF(ISNUMBER(MATCH(G36, 'MP Analysis Input'!$A$15:$A$21, 0)), "soft", "hard"))</f>
        <v>none</v>
      </c>
      <c r="J36" s="124"/>
      <c r="K36" s="245"/>
      <c r="L36" s="245"/>
    </row>
    <row r="37" spans="1:12" ht="15" customHeight="1" x14ac:dyDescent="0.25">
      <c r="A37" t="s">
        <v>53</v>
      </c>
      <c r="B37" s="263">
        <v>432.983</v>
      </c>
      <c r="C37" s="263">
        <f t="shared" si="3"/>
        <v>0.67653593750000007</v>
      </c>
      <c r="D37" s="264" t="s">
        <v>40</v>
      </c>
      <c r="E37" s="264" t="s">
        <v>40</v>
      </c>
      <c r="F37" s="237" t="s">
        <v>52</v>
      </c>
      <c r="G37" s="131" t="s">
        <v>52</v>
      </c>
      <c r="H37" s="139">
        <v>0</v>
      </c>
      <c r="I37" s="115" t="str">
        <f>IF(EXACT(F37, G37), "none", IF(ISNUMBER(MATCH(G37, 'MP Analysis Input'!$A$15:$A$21, 0)), "soft", "hard"))</f>
        <v>none</v>
      </c>
      <c r="J37" s="124"/>
      <c r="K37" s="245"/>
      <c r="L37" s="245"/>
    </row>
    <row r="38" spans="1:12" ht="15" customHeight="1" x14ac:dyDescent="0.25">
      <c r="A38" t="s">
        <v>54</v>
      </c>
      <c r="B38" s="263">
        <v>150.96199999999999</v>
      </c>
      <c r="C38" s="263">
        <f t="shared" si="3"/>
        <v>0.23587812499999999</v>
      </c>
      <c r="D38" s="264" t="s">
        <v>40</v>
      </c>
      <c r="E38" s="264" t="s">
        <v>41</v>
      </c>
      <c r="F38" s="237" t="s">
        <v>41</v>
      </c>
      <c r="G38" s="131" t="s">
        <v>55</v>
      </c>
      <c r="H38" s="139">
        <v>5</v>
      </c>
      <c r="I38" s="115" t="str">
        <f>IF(EXACT(F38, G38), "none", IF(ISNUMBER(MATCH(G38, 'MP Analysis Input'!$A$15:$A$21, 0)), "soft", "hard"))</f>
        <v>hard</v>
      </c>
      <c r="J38" s="124"/>
      <c r="K38" s="245"/>
      <c r="L38" s="245"/>
    </row>
    <row r="39" spans="1:12" ht="15" customHeight="1" x14ac:dyDescent="0.25">
      <c r="A39" t="s">
        <v>56</v>
      </c>
      <c r="B39" s="263">
        <v>216.74199999999999</v>
      </c>
      <c r="C39" s="263">
        <f t="shared" si="3"/>
        <v>0.33865937499999998</v>
      </c>
      <c r="D39" s="264" t="s">
        <v>36</v>
      </c>
      <c r="E39" s="264" t="s">
        <v>36</v>
      </c>
      <c r="F39" s="237" t="s">
        <v>57</v>
      </c>
      <c r="G39" s="131" t="s">
        <v>57</v>
      </c>
      <c r="H39" s="139">
        <v>0</v>
      </c>
      <c r="I39" s="115" t="str">
        <f>IF(EXACT(F39, G39), "none", IF(ISNUMBER(MATCH(G39, 'MP Analysis Input'!$A$15:$A$21, 0)), "soft", "hard"))</f>
        <v>none</v>
      </c>
      <c r="J39" s="124"/>
      <c r="K39" s="245"/>
      <c r="L39" s="245"/>
    </row>
    <row r="40" spans="1:12" ht="15" customHeight="1" x14ac:dyDescent="0.25">
      <c r="A40" t="s">
        <v>58</v>
      </c>
      <c r="B40" s="263">
        <v>380.46300000000002</v>
      </c>
      <c r="C40" s="263">
        <f t="shared" si="3"/>
        <v>0.59447343750000003</v>
      </c>
      <c r="D40" s="264" t="s">
        <v>48</v>
      </c>
      <c r="E40" s="264" t="s">
        <v>48</v>
      </c>
      <c r="F40" s="237" t="s">
        <v>48</v>
      </c>
      <c r="G40" s="131" t="s">
        <v>52</v>
      </c>
      <c r="H40" s="139">
        <v>2</v>
      </c>
      <c r="I40" s="115" t="str">
        <f>IF(EXACT(F40, G40), "none", IF(ISNUMBER(MATCH(G40, 'MP Analysis Input'!$A$15:$A$21, 0)), "soft", "hard"))</f>
        <v>hard</v>
      </c>
      <c r="J40" s="124"/>
      <c r="K40" s="245"/>
      <c r="L40" s="245"/>
    </row>
    <row r="41" spans="1:12" ht="15" customHeight="1" x14ac:dyDescent="0.25">
      <c r="A41" t="s">
        <v>59</v>
      </c>
      <c r="B41" s="263">
        <v>368.125</v>
      </c>
      <c r="C41" s="263">
        <f t="shared" si="3"/>
        <v>0.5751953125</v>
      </c>
      <c r="D41" s="264" t="s">
        <v>48</v>
      </c>
      <c r="E41" s="264" t="s">
        <v>48</v>
      </c>
      <c r="F41" s="237" t="s">
        <v>48</v>
      </c>
      <c r="G41" s="131" t="s">
        <v>52</v>
      </c>
      <c r="H41" s="139">
        <v>3</v>
      </c>
      <c r="I41" s="115" t="str">
        <f>IF(EXACT(F41, G41), "none", IF(ISNUMBER(MATCH(G41, 'MP Analysis Input'!$A$15:$A$21, 0)), "soft", "hard"))</f>
        <v>hard</v>
      </c>
      <c r="J41" s="124"/>
      <c r="K41" s="245"/>
      <c r="L41" s="245"/>
    </row>
    <row r="42" spans="1:12" ht="15" customHeight="1" x14ac:dyDescent="0.25">
      <c r="A42" t="s">
        <v>60</v>
      </c>
      <c r="B42" s="263">
        <v>4.8559999999999999</v>
      </c>
      <c r="C42" s="263">
        <f t="shared" si="3"/>
        <v>7.5875000000000005E-3</v>
      </c>
      <c r="D42" s="264" t="s">
        <v>48</v>
      </c>
      <c r="E42" s="264" t="s">
        <v>42</v>
      </c>
      <c r="F42" s="237" t="s">
        <v>48</v>
      </c>
      <c r="G42" s="131" t="s">
        <v>4</v>
      </c>
      <c r="H42" s="139">
        <v>1</v>
      </c>
      <c r="I42" s="115" t="str">
        <f>IF(EXACT(F42, G42), "none", IF(ISNUMBER(MATCH(G42, 'MP Analysis Input'!$A$15:$A$21, 0)), "soft", "hard"))</f>
        <v>hard</v>
      </c>
      <c r="J42" s="124"/>
      <c r="K42" s="245"/>
      <c r="L42" s="245"/>
    </row>
    <row r="43" spans="1:12" ht="15" customHeight="1" x14ac:dyDescent="0.25">
      <c r="A43" t="s">
        <v>61</v>
      </c>
      <c r="B43" s="263">
        <v>4.9690000000000003</v>
      </c>
      <c r="C43" s="263">
        <f t="shared" si="3"/>
        <v>7.764062500000001E-3</v>
      </c>
      <c r="D43" s="264" t="s">
        <v>48</v>
      </c>
      <c r="E43" s="264" t="s">
        <v>42</v>
      </c>
      <c r="F43" s="237" t="s">
        <v>48</v>
      </c>
      <c r="G43" s="131" t="s">
        <v>4</v>
      </c>
      <c r="H43" s="139">
        <v>1</v>
      </c>
      <c r="I43" s="115" t="str">
        <f>IF(EXACT(F43, G43), "none", IF(ISNUMBER(MATCH(G43, 'MP Analysis Input'!$A$15:$A$21, 0)), "soft", "hard"))</f>
        <v>hard</v>
      </c>
      <c r="J43" s="124"/>
      <c r="K43" s="245"/>
      <c r="L43" s="245"/>
    </row>
    <row r="44" spans="1:12" ht="15" customHeight="1" x14ac:dyDescent="0.25">
      <c r="A44" t="s">
        <v>62</v>
      </c>
      <c r="B44" s="263">
        <v>9.94</v>
      </c>
      <c r="C44" s="263">
        <f t="shared" si="3"/>
        <v>1.553125E-2</v>
      </c>
      <c r="D44" s="264" t="s">
        <v>48</v>
      </c>
      <c r="E44" s="264" t="s">
        <v>42</v>
      </c>
      <c r="F44" s="237" t="s">
        <v>48</v>
      </c>
      <c r="G44" s="131" t="s">
        <v>4</v>
      </c>
      <c r="H44" s="139">
        <v>1</v>
      </c>
      <c r="I44" s="115" t="str">
        <f>IF(EXACT(F44, G44), "none", IF(ISNUMBER(MATCH(G44, 'MP Analysis Input'!$A$15:$A$21, 0)), "soft", "hard"))</f>
        <v>hard</v>
      </c>
      <c r="J44" s="124"/>
      <c r="K44" s="245"/>
      <c r="L44" s="245"/>
    </row>
    <row r="45" spans="1:12" ht="15" customHeight="1" x14ac:dyDescent="0.25">
      <c r="A45" t="s">
        <v>63</v>
      </c>
      <c r="B45" s="263">
        <v>50.363</v>
      </c>
      <c r="C45" s="263">
        <f t="shared" si="3"/>
        <v>7.869218750000001E-2</v>
      </c>
      <c r="D45" s="264" t="s">
        <v>48</v>
      </c>
      <c r="E45" s="264" t="s">
        <v>42</v>
      </c>
      <c r="F45" s="237" t="s">
        <v>48</v>
      </c>
      <c r="G45" s="131" t="s">
        <v>4</v>
      </c>
      <c r="H45" s="139">
        <v>1</v>
      </c>
      <c r="I45" s="115" t="str">
        <f>IF(EXACT(F45, G45), "none", IF(ISNUMBER(MATCH(G45, 'MP Analysis Input'!$A$15:$A$21, 0)), "soft", "hard"))</f>
        <v>hard</v>
      </c>
      <c r="J45" s="124"/>
      <c r="K45" s="245"/>
      <c r="L45" s="245"/>
    </row>
    <row r="46" spans="1:12" ht="15" customHeight="1" x14ac:dyDescent="0.25">
      <c r="A46" t="s">
        <v>64</v>
      </c>
      <c r="B46" s="263">
        <v>9.9719999999999995</v>
      </c>
      <c r="C46" s="263">
        <f t="shared" si="3"/>
        <v>1.558125E-2</v>
      </c>
      <c r="D46" s="264" t="s">
        <v>48</v>
      </c>
      <c r="E46" s="264" t="s">
        <v>42</v>
      </c>
      <c r="F46" s="237" t="s">
        <v>48</v>
      </c>
      <c r="G46" s="131" t="s">
        <v>4</v>
      </c>
      <c r="H46" s="139">
        <v>1</v>
      </c>
      <c r="I46" s="115" t="str">
        <f>IF(EXACT(F46, G46), "none", IF(ISNUMBER(MATCH(G46, 'MP Analysis Input'!$A$15:$A$21, 0)), "soft", "hard"))</f>
        <v>hard</v>
      </c>
      <c r="J46" s="124"/>
      <c r="K46" s="245"/>
      <c r="L46" s="245"/>
    </row>
    <row r="47" spans="1:12" ht="15" customHeight="1" x14ac:dyDescent="0.25">
      <c r="A47" t="s">
        <v>65</v>
      </c>
      <c r="B47" s="263">
        <v>390.27800000000002</v>
      </c>
      <c r="C47" s="263">
        <f t="shared" si="3"/>
        <v>0.6098093750000001</v>
      </c>
      <c r="D47" s="264" t="s">
        <v>40</v>
      </c>
      <c r="E47" s="264" t="s">
        <v>40</v>
      </c>
      <c r="F47" s="237" t="s">
        <v>40</v>
      </c>
      <c r="G47" s="131" t="s">
        <v>57</v>
      </c>
      <c r="H47" s="139">
        <v>3</v>
      </c>
      <c r="I47" s="115" t="str">
        <f>IF(EXACT(F47, G47), "none", IF(ISNUMBER(MATCH(G47, 'MP Analysis Input'!$A$15:$A$21, 0)), "soft", "hard"))</f>
        <v>soft</v>
      </c>
      <c r="J47" s="124"/>
      <c r="K47" s="245"/>
      <c r="L47" s="245"/>
    </row>
    <row r="48" spans="1:12" ht="15" customHeight="1" x14ac:dyDescent="0.25">
      <c r="A48" t="s">
        <v>66</v>
      </c>
      <c r="B48" s="263">
        <v>231.40700000000001</v>
      </c>
      <c r="C48" s="263">
        <f t="shared" si="3"/>
        <v>0.36157343750000004</v>
      </c>
      <c r="D48" s="264" t="s">
        <v>40</v>
      </c>
      <c r="E48" s="264" t="s">
        <v>40</v>
      </c>
      <c r="F48" s="237" t="s">
        <v>40</v>
      </c>
      <c r="G48" s="131" t="s">
        <v>57</v>
      </c>
      <c r="H48" s="139">
        <v>3</v>
      </c>
      <c r="I48" s="115" t="str">
        <f>IF(EXACT(F48, G48), "none", IF(ISNUMBER(MATCH(G48, 'MP Analysis Input'!$A$15:$A$21, 0)), "soft", "hard"))</f>
        <v>soft</v>
      </c>
      <c r="J48" s="124"/>
      <c r="K48" s="245"/>
      <c r="L48" s="245"/>
    </row>
    <row r="49" spans="1:94" ht="15" customHeight="1" x14ac:dyDescent="0.25">
      <c r="A49" t="s">
        <v>67</v>
      </c>
      <c r="B49" s="263">
        <v>205.83799999999999</v>
      </c>
      <c r="C49" s="263">
        <f t="shared" si="3"/>
        <v>0.321621875</v>
      </c>
      <c r="D49" s="264" t="s">
        <v>40</v>
      </c>
      <c r="E49" s="264" t="s">
        <v>40</v>
      </c>
      <c r="F49" s="237" t="s">
        <v>40</v>
      </c>
      <c r="G49" s="131" t="s">
        <v>57</v>
      </c>
      <c r="H49" s="139">
        <v>3</v>
      </c>
      <c r="I49" s="115" t="str">
        <f>IF(EXACT(F49, G49), "none", IF(ISNUMBER(MATCH(G49, 'MP Analysis Input'!$A$15:$A$21, 0)), "soft", "hard"))</f>
        <v>soft</v>
      </c>
      <c r="J49" s="124"/>
      <c r="K49" s="245"/>
      <c r="L49" s="245"/>
    </row>
    <row r="50" spans="1:94" ht="15" customHeight="1" x14ac:dyDescent="0.25">
      <c r="A50" t="s">
        <v>68</v>
      </c>
      <c r="B50" s="263">
        <v>76.466999999999999</v>
      </c>
      <c r="C50" s="263">
        <f t="shared" si="3"/>
        <v>0.1194796875</v>
      </c>
      <c r="D50" s="264" t="s">
        <v>36</v>
      </c>
      <c r="E50" s="264" t="s">
        <v>36</v>
      </c>
      <c r="F50" s="237" t="s">
        <v>34</v>
      </c>
      <c r="G50" s="131" t="s">
        <v>34</v>
      </c>
      <c r="H50" s="139">
        <v>0</v>
      </c>
      <c r="I50" s="115" t="str">
        <f>IF(EXACT(F50, G50), "none", IF(ISNUMBER(MATCH(G50, 'MP Analysis Input'!$A$15:$A$21, 0)), "soft", "hard"))</f>
        <v>none</v>
      </c>
      <c r="J50" s="124"/>
      <c r="K50" s="245"/>
      <c r="L50" s="245"/>
    </row>
    <row r="51" spans="1:94" ht="15" customHeight="1" x14ac:dyDescent="0.25">
      <c r="A51" t="s">
        <v>69</v>
      </c>
      <c r="B51" s="263">
        <v>56.064</v>
      </c>
      <c r="C51" s="263">
        <f t="shared" si="3"/>
        <v>8.7600000000000011E-2</v>
      </c>
      <c r="D51" s="264" t="s">
        <v>40</v>
      </c>
      <c r="E51" s="264" t="s">
        <v>42</v>
      </c>
      <c r="F51" s="237" t="s">
        <v>689</v>
      </c>
      <c r="G51" s="131" t="s">
        <v>55</v>
      </c>
      <c r="H51" s="139">
        <v>0</v>
      </c>
      <c r="I51" s="115" t="str">
        <f>IF(EXACT(F51, G51), "none", IF(ISNUMBER(MATCH(G51, 'MP Analysis Input'!$A$15:$A$21, 0)), "soft", "hard"))</f>
        <v>hard</v>
      </c>
      <c r="J51" s="124"/>
      <c r="K51" s="245"/>
      <c r="L51" s="245"/>
    </row>
    <row r="52" spans="1:94" ht="15" customHeight="1" x14ac:dyDescent="0.25">
      <c r="A52" t="s">
        <v>70</v>
      </c>
      <c r="B52" s="263">
        <v>309.04899999999998</v>
      </c>
      <c r="C52" s="263">
        <f t="shared" si="3"/>
        <v>0.48288906249999997</v>
      </c>
      <c r="D52" s="264" t="s">
        <v>40</v>
      </c>
      <c r="E52" s="264" t="s">
        <v>42</v>
      </c>
      <c r="F52" s="237" t="s">
        <v>689</v>
      </c>
      <c r="G52" s="131" t="s">
        <v>55</v>
      </c>
      <c r="H52" s="139">
        <v>0</v>
      </c>
      <c r="I52" s="115" t="str">
        <f>IF(EXACT(F52, G52), "none", IF(ISNUMBER(MATCH(G52, 'MP Analysis Input'!$A$15:$A$21, 0)), "soft", "hard"))</f>
        <v>hard</v>
      </c>
      <c r="J52" s="124"/>
      <c r="K52" s="245"/>
      <c r="L52" s="245"/>
    </row>
    <row r="53" spans="1:94" ht="15" customHeight="1" x14ac:dyDescent="0.25">
      <c r="A53" t="s">
        <v>71</v>
      </c>
      <c r="B53" s="263">
        <v>151.36000000000001</v>
      </c>
      <c r="C53" s="263">
        <f t="shared" si="3"/>
        <v>0.23650000000000004</v>
      </c>
      <c r="D53" s="264" t="s">
        <v>40</v>
      </c>
      <c r="E53" s="264" t="s">
        <v>42</v>
      </c>
      <c r="F53" s="237" t="s">
        <v>689</v>
      </c>
      <c r="G53" s="131" t="s">
        <v>55</v>
      </c>
      <c r="H53" s="139">
        <v>0</v>
      </c>
      <c r="I53" s="115" t="str">
        <f>IF(EXACT(F53, G53), "none", IF(ISNUMBER(MATCH(G53, 'MP Analysis Input'!$A$15:$A$21, 0)), "soft", "hard"))</f>
        <v>hard</v>
      </c>
      <c r="J53" s="124"/>
      <c r="K53" s="245"/>
      <c r="L53" s="245"/>
    </row>
    <row r="54" spans="1:94" ht="15" customHeight="1" x14ac:dyDescent="0.25">
      <c r="A54" t="s">
        <v>72</v>
      </c>
      <c r="B54" s="263">
        <v>159.613</v>
      </c>
      <c r="C54" s="263">
        <f t="shared" si="3"/>
        <v>0.24939531250000002</v>
      </c>
      <c r="D54" s="264" t="s">
        <v>40</v>
      </c>
      <c r="E54" s="264" t="s">
        <v>42</v>
      </c>
      <c r="F54" s="237" t="s">
        <v>689</v>
      </c>
      <c r="G54" s="131" t="s">
        <v>55</v>
      </c>
      <c r="H54" s="139">
        <v>0</v>
      </c>
      <c r="I54" s="115" t="str">
        <f>IF(EXACT(F54, G54), "none", IF(ISNUMBER(MATCH(G54, 'MP Analysis Input'!$A$15:$A$21, 0)), "soft", "hard"))</f>
        <v>hard</v>
      </c>
      <c r="J54" s="124"/>
      <c r="K54" s="245"/>
      <c r="L54" s="245"/>
    </row>
    <row r="55" spans="1:94" ht="15" customHeight="1" x14ac:dyDescent="0.25">
      <c r="A55" t="s">
        <v>73</v>
      </c>
      <c r="B55" s="263">
        <v>110.831</v>
      </c>
      <c r="C55" s="263">
        <f t="shared" si="3"/>
        <v>0.17317343750000003</v>
      </c>
      <c r="D55" s="264" t="s">
        <v>40</v>
      </c>
      <c r="E55" s="264" t="s">
        <v>42</v>
      </c>
      <c r="F55" s="237" t="s">
        <v>689</v>
      </c>
      <c r="G55" s="131" t="s">
        <v>55</v>
      </c>
      <c r="H55" s="139">
        <v>0</v>
      </c>
      <c r="I55" s="115" t="str">
        <f>IF(EXACT(F55, G55), "none", IF(ISNUMBER(MATCH(G55, 'MP Analysis Input'!$A$15:$A$21, 0)), "soft", "hard"))</f>
        <v>hard</v>
      </c>
      <c r="J55" s="124"/>
      <c r="K55" s="245"/>
      <c r="L55" s="245"/>
    </row>
    <row r="56" spans="1:94" ht="15" customHeight="1" x14ac:dyDescent="0.25">
      <c r="A56" t="s">
        <v>74</v>
      </c>
      <c r="B56" s="263">
        <v>159.52500000000001</v>
      </c>
      <c r="C56" s="263">
        <f t="shared" si="3"/>
        <v>0.24925781250000001</v>
      </c>
      <c r="D56" s="264" t="s">
        <v>40</v>
      </c>
      <c r="E56" s="264" t="s">
        <v>42</v>
      </c>
      <c r="F56" s="237" t="s">
        <v>689</v>
      </c>
      <c r="G56" s="131" t="s">
        <v>55</v>
      </c>
      <c r="H56" s="139">
        <v>0</v>
      </c>
      <c r="I56" s="115" t="str">
        <f>IF(EXACT(F56, G56), "none", IF(ISNUMBER(MATCH(G56, 'MP Analysis Input'!$A$15:$A$21, 0)), "soft", "hard"))</f>
        <v>hard</v>
      </c>
      <c r="J56" s="124"/>
      <c r="K56" s="245"/>
      <c r="L56" s="245"/>
    </row>
    <row r="57" spans="1:94" ht="15" customHeight="1" x14ac:dyDescent="0.25">
      <c r="A57" t="s">
        <v>75</v>
      </c>
      <c r="B57" s="263">
        <v>5.2210000000000001</v>
      </c>
      <c r="C57" s="263">
        <f t="shared" si="3"/>
        <v>8.1578125000000001E-3</v>
      </c>
      <c r="D57" s="264" t="s">
        <v>40</v>
      </c>
      <c r="E57" s="264" t="s">
        <v>42</v>
      </c>
      <c r="F57" s="237" t="s">
        <v>689</v>
      </c>
      <c r="G57" s="131" t="s">
        <v>55</v>
      </c>
      <c r="H57" s="139">
        <v>0</v>
      </c>
      <c r="I57" s="115" t="str">
        <f>IF(EXACT(F57, G57), "none", IF(ISNUMBER(MATCH(G57, 'MP Analysis Input'!$A$15:$A$21, 0)), "soft", "hard"))</f>
        <v>hard</v>
      </c>
      <c r="J57" s="124"/>
      <c r="K57" s="245"/>
      <c r="L57" s="245"/>
    </row>
    <row r="58" spans="1:94" ht="15" customHeight="1" x14ac:dyDescent="0.25">
      <c r="A58" t="s">
        <v>76</v>
      </c>
      <c r="B58" s="263">
        <v>36.976999999999997</v>
      </c>
      <c r="C58" s="263">
        <f t="shared" si="3"/>
        <v>5.7776562499999996E-2</v>
      </c>
      <c r="D58" s="264" t="s">
        <v>40</v>
      </c>
      <c r="E58" s="264" t="s">
        <v>42</v>
      </c>
      <c r="F58" s="237" t="s">
        <v>689</v>
      </c>
      <c r="G58" s="131" t="s">
        <v>55</v>
      </c>
      <c r="H58" s="139">
        <v>0</v>
      </c>
      <c r="I58" s="115" t="str">
        <f>IF(EXACT(F58, G58), "none", IF(ISNUMBER(MATCH(G58, 'MP Analysis Input'!$A$15:$A$21, 0)), "soft", "hard"))</f>
        <v>hard</v>
      </c>
      <c r="J58" s="124"/>
      <c r="K58" s="245"/>
      <c r="L58" s="245"/>
      <c r="U58" s="248"/>
      <c r="CK58" s="248"/>
      <c r="CL58" s="248"/>
      <c r="CM58" s="248"/>
      <c r="CN58" s="248"/>
      <c r="CO58" s="248"/>
      <c r="CP58" s="248"/>
    </row>
    <row r="59" spans="1:94" ht="15" customHeight="1" x14ac:dyDescent="0.25">
      <c r="A59" t="s">
        <v>77</v>
      </c>
      <c r="B59" s="263">
        <v>78.471000000000004</v>
      </c>
      <c r="C59" s="263">
        <f t="shared" si="3"/>
        <v>0.12261093750000002</v>
      </c>
      <c r="D59" s="264" t="s">
        <v>40</v>
      </c>
      <c r="E59" s="264" t="s">
        <v>42</v>
      </c>
      <c r="F59" s="237" t="s">
        <v>689</v>
      </c>
      <c r="G59" s="131" t="s">
        <v>55</v>
      </c>
      <c r="H59" s="139">
        <v>0</v>
      </c>
      <c r="I59" s="115" t="str">
        <f>IF(EXACT(F59, G59), "none", IF(ISNUMBER(MATCH(G59, 'MP Analysis Input'!$A$15:$A$21, 0)), "soft", "hard"))</f>
        <v>hard</v>
      </c>
      <c r="J59" s="124"/>
      <c r="K59" s="245"/>
      <c r="L59" s="245"/>
    </row>
    <row r="60" spans="1:94" s="341" customFormat="1" ht="15" customHeight="1" x14ac:dyDescent="0.25">
      <c r="A60" s="245" t="s">
        <v>682</v>
      </c>
      <c r="B60" s="263">
        <v>19.969000000000001</v>
      </c>
      <c r="C60" s="263">
        <f t="shared" si="3"/>
        <v>3.1201562500000002E-2</v>
      </c>
      <c r="D60" s="264" t="s">
        <v>40</v>
      </c>
      <c r="E60" s="264" t="s">
        <v>42</v>
      </c>
      <c r="F60" s="237" t="s">
        <v>689</v>
      </c>
      <c r="G60" s="131" t="s">
        <v>55</v>
      </c>
      <c r="H60" s="139">
        <v>0</v>
      </c>
      <c r="I60" s="115" t="str">
        <f>IF(EXACT(F60, G60), "none", IF(ISNUMBER(MATCH(G60, 'MP Analysis Input'!$A$15:$A$21, 0)), "soft", "hard"))</f>
        <v>hard</v>
      </c>
      <c r="J60" s="124"/>
      <c r="K60" s="245"/>
      <c r="L60" s="245"/>
      <c r="P60" s="245"/>
      <c r="Q60" s="245"/>
      <c r="R60" s="245"/>
      <c r="U60" s="256"/>
      <c r="AI60" s="245"/>
      <c r="AJ60" s="245"/>
      <c r="AK60" s="245"/>
      <c r="AL60" s="245"/>
      <c r="AM60" s="245"/>
      <c r="AN60" s="245"/>
      <c r="AO60" s="245"/>
      <c r="AP60" s="245"/>
      <c r="AQ60" s="245"/>
      <c r="AR60" s="245"/>
      <c r="AS60" s="245"/>
      <c r="AT60" s="245"/>
      <c r="AU60" s="245"/>
      <c r="AV60" s="245"/>
      <c r="AW60" s="245"/>
      <c r="AX60" s="245"/>
      <c r="AY60" s="245"/>
      <c r="AZ60" s="245"/>
      <c r="BA60" s="245"/>
      <c r="BB60" s="245"/>
      <c r="BC60" s="245"/>
      <c r="BD60" s="245"/>
      <c r="BE60" s="245"/>
      <c r="BF60" s="245"/>
      <c r="BG60" s="245"/>
      <c r="BH60" s="245"/>
      <c r="BI60" s="245"/>
      <c r="BJ60" s="245"/>
      <c r="BK60" s="245"/>
      <c r="BL60" s="245"/>
      <c r="BM60" s="245"/>
      <c r="BN60" s="245"/>
      <c r="BO60" s="245"/>
      <c r="BP60" s="245"/>
      <c r="BQ60" s="245"/>
      <c r="BR60" s="245"/>
      <c r="BS60" s="245"/>
      <c r="BT60" s="245"/>
      <c r="BU60" s="245"/>
      <c r="BV60" s="245"/>
      <c r="BW60" s="245"/>
      <c r="BX60" s="245"/>
      <c r="BY60" s="245"/>
      <c r="BZ60" s="245"/>
      <c r="CA60" s="245"/>
      <c r="CB60" s="245"/>
      <c r="CC60" s="245"/>
      <c r="CD60" s="245"/>
      <c r="CE60" s="245"/>
      <c r="CF60" s="245"/>
      <c r="CG60" s="245"/>
      <c r="CH60" s="245"/>
      <c r="CI60" s="245"/>
      <c r="CJ60" s="245"/>
      <c r="CK60" s="245"/>
      <c r="CL60" s="245"/>
      <c r="CM60" s="245"/>
      <c r="CN60" s="245"/>
      <c r="CO60" s="245"/>
      <c r="CP60" s="245"/>
    </row>
    <row r="61" spans="1:94" ht="15" customHeight="1" x14ac:dyDescent="0.25">
      <c r="A61" t="s">
        <v>78</v>
      </c>
      <c r="B61" s="263">
        <v>523.452</v>
      </c>
      <c r="C61" s="263">
        <f t="shared" si="3"/>
        <v>0.81789375000000009</v>
      </c>
      <c r="D61" s="264" t="s">
        <v>40</v>
      </c>
      <c r="E61" s="264" t="s">
        <v>79</v>
      </c>
      <c r="F61" s="264" t="s">
        <v>79</v>
      </c>
      <c r="G61" s="131" t="s">
        <v>42</v>
      </c>
      <c r="H61" s="139">
        <v>4</v>
      </c>
      <c r="I61" s="115" t="str">
        <f>IF(EXACT(F61, G61), "none", IF(ISNUMBER(MATCH(G61, 'MP Analysis Input'!$A$15:$A$21, 0)), "soft", "hard"))</f>
        <v>hard</v>
      </c>
      <c r="J61" s="124"/>
      <c r="K61" s="245"/>
      <c r="L61" s="245"/>
    </row>
    <row r="62" spans="1:94" ht="15" customHeight="1" x14ac:dyDescent="0.25">
      <c r="A62" t="s">
        <v>80</v>
      </c>
      <c r="B62" s="263">
        <v>603.56799999999998</v>
      </c>
      <c r="C62" s="263">
        <f t="shared" si="3"/>
        <v>0.943075</v>
      </c>
      <c r="D62" s="264" t="s">
        <v>40</v>
      </c>
      <c r="E62" s="264" t="s">
        <v>79</v>
      </c>
      <c r="F62" s="264" t="s">
        <v>79</v>
      </c>
      <c r="G62" s="131" t="s">
        <v>42</v>
      </c>
      <c r="H62" s="139">
        <v>5</v>
      </c>
      <c r="I62" s="115" t="str">
        <f>IF(EXACT(F62, G62), "none", IF(ISNUMBER(MATCH(G62, 'MP Analysis Input'!$A$15:$A$21, 0)), "soft", "hard"))</f>
        <v>hard</v>
      </c>
      <c r="J62" s="124"/>
      <c r="K62" s="245"/>
      <c r="L62" s="245"/>
    </row>
    <row r="63" spans="1:94" ht="15" customHeight="1" x14ac:dyDescent="0.25">
      <c r="A63" t="s">
        <v>81</v>
      </c>
      <c r="B63" s="263">
        <v>343.09699999999998</v>
      </c>
      <c r="C63" s="263">
        <f t="shared" si="3"/>
        <v>0.53608906249999999</v>
      </c>
      <c r="D63" s="264" t="s">
        <v>40</v>
      </c>
      <c r="E63" s="264" t="s">
        <v>42</v>
      </c>
      <c r="F63" s="237" t="s">
        <v>42</v>
      </c>
      <c r="G63" s="131" t="s">
        <v>42</v>
      </c>
      <c r="H63" s="139">
        <v>0</v>
      </c>
      <c r="I63" s="115" t="str">
        <f>IF(EXACT(F63, G63), "none", IF(ISNUMBER(MATCH(G63, 'MP Analysis Input'!$A$15:$A$21, 0)), "soft", "hard"))</f>
        <v>none</v>
      </c>
      <c r="J63" s="124"/>
      <c r="K63" s="245"/>
      <c r="L63" s="245"/>
    </row>
    <row r="64" spans="1:94" ht="15" customHeight="1" x14ac:dyDescent="0.25">
      <c r="A64" t="s">
        <v>82</v>
      </c>
      <c r="B64" s="263">
        <v>547.02599999999995</v>
      </c>
      <c r="C64" s="263">
        <f t="shared" si="3"/>
        <v>0.85472812499999995</v>
      </c>
      <c r="D64" s="264" t="s">
        <v>40</v>
      </c>
      <c r="E64" s="264" t="s">
        <v>40</v>
      </c>
      <c r="F64" s="237" t="s">
        <v>40</v>
      </c>
      <c r="G64" s="131" t="s">
        <v>57</v>
      </c>
      <c r="H64" s="139">
        <v>3</v>
      </c>
      <c r="I64" s="115" t="str">
        <f>IF(EXACT(F64, G64), "none", IF(ISNUMBER(MATCH(G64, 'MP Analysis Input'!$A$15:$A$21, 0)), "soft", "hard"))</f>
        <v>soft</v>
      </c>
      <c r="J64" s="124"/>
      <c r="K64" s="245"/>
      <c r="L64" s="245"/>
    </row>
    <row r="65" spans="1:94" ht="15" customHeight="1" x14ac:dyDescent="0.25">
      <c r="A65" t="s">
        <v>83</v>
      </c>
      <c r="B65" s="263">
        <v>21.404</v>
      </c>
      <c r="C65" s="263">
        <f t="shared" si="3"/>
        <v>3.3443750000000001E-2</v>
      </c>
      <c r="D65" s="264" t="s">
        <v>40</v>
      </c>
      <c r="E65" s="264" t="s">
        <v>40</v>
      </c>
      <c r="F65" s="237" t="s">
        <v>40</v>
      </c>
      <c r="G65" s="131" t="s">
        <v>57</v>
      </c>
      <c r="H65" s="139">
        <v>1</v>
      </c>
      <c r="I65" s="115" t="str">
        <f>IF(EXACT(F65, G65), "none", IF(ISNUMBER(MATCH(G65, 'MP Analysis Input'!$A$15:$A$21, 0)), "soft", "hard"))</f>
        <v>soft</v>
      </c>
      <c r="J65" s="124"/>
      <c r="K65" s="245"/>
      <c r="L65" s="245"/>
    </row>
    <row r="66" spans="1:94" ht="15" customHeight="1" x14ac:dyDescent="0.25">
      <c r="A66" t="s">
        <v>84</v>
      </c>
      <c r="B66" s="263">
        <v>669.56299999999999</v>
      </c>
      <c r="C66" s="263">
        <f t="shared" si="3"/>
        <v>1.0461921875</v>
      </c>
      <c r="D66" s="264" t="s">
        <v>40</v>
      </c>
      <c r="E66" s="264" t="s">
        <v>40</v>
      </c>
      <c r="F66" s="237" t="s">
        <v>40</v>
      </c>
      <c r="G66" s="131" t="s">
        <v>40</v>
      </c>
      <c r="H66" s="139">
        <v>0</v>
      </c>
      <c r="I66" s="115" t="str">
        <f>IF(EXACT(F66, G66), "none", IF(ISNUMBER(MATCH(G66, 'MP Analysis Input'!$A$15:$A$21, 0)), "soft", "hard"))</f>
        <v>none</v>
      </c>
      <c r="J66" s="124"/>
      <c r="K66" s="245"/>
      <c r="L66" s="245"/>
    </row>
    <row r="67" spans="1:94" ht="15" customHeight="1" x14ac:dyDescent="0.25">
      <c r="A67" t="s">
        <v>85</v>
      </c>
      <c r="B67" s="263">
        <v>421.589</v>
      </c>
      <c r="C67" s="263">
        <f t="shared" si="3"/>
        <v>0.65873281250000004</v>
      </c>
      <c r="D67" s="264" t="s">
        <v>40</v>
      </c>
      <c r="E67" s="264" t="s">
        <v>40</v>
      </c>
      <c r="F67" s="237" t="s">
        <v>52</v>
      </c>
      <c r="G67" s="131" t="s">
        <v>52</v>
      </c>
      <c r="H67" s="139">
        <v>0</v>
      </c>
      <c r="I67" s="115" t="str">
        <f>IF(EXACT(F67, G67), "none", IF(ISNUMBER(MATCH(G67, 'MP Analysis Input'!$A$15:$A$21, 0)), "soft", "hard"))</f>
        <v>none</v>
      </c>
      <c r="J67" s="124"/>
      <c r="K67" s="245"/>
      <c r="L67" s="245"/>
    </row>
    <row r="68" spans="1:94" s="341" customFormat="1" ht="15" customHeight="1" x14ac:dyDescent="0.25">
      <c r="A68" s="245" t="s">
        <v>683</v>
      </c>
      <c r="B68" s="263">
        <v>69.152000000000001</v>
      </c>
      <c r="C68" s="263">
        <f t="shared" si="3"/>
        <v>0.10805000000000001</v>
      </c>
      <c r="D68" s="264" t="s">
        <v>40</v>
      </c>
      <c r="E68" s="264" t="s">
        <v>40</v>
      </c>
      <c r="F68" s="237" t="s">
        <v>52</v>
      </c>
      <c r="G68" s="131" t="s">
        <v>52</v>
      </c>
      <c r="H68" s="139">
        <v>0</v>
      </c>
      <c r="I68" s="115" t="str">
        <f>IF(EXACT(F68, G68), "none", IF(ISNUMBER(MATCH(G68, 'MP Analysis Input'!$A$15:$A$21, 0)), "soft", "hard"))</f>
        <v>none</v>
      </c>
      <c r="J68" s="124"/>
      <c r="K68" s="245"/>
      <c r="L68" s="245"/>
      <c r="P68" s="245"/>
      <c r="Q68" s="245"/>
      <c r="R68" s="245"/>
      <c r="U68" s="256"/>
      <c r="AI68" s="245"/>
      <c r="AJ68" s="245"/>
      <c r="AK68" s="245"/>
      <c r="AL68" s="245"/>
      <c r="AM68" s="245"/>
      <c r="AN68" s="245"/>
      <c r="AO68" s="245"/>
      <c r="AP68" s="245"/>
      <c r="AQ68" s="245"/>
      <c r="AR68" s="245"/>
      <c r="AS68" s="245"/>
      <c r="AT68" s="245"/>
      <c r="AU68" s="245"/>
      <c r="AV68" s="245"/>
      <c r="AW68" s="245"/>
      <c r="AX68" s="245"/>
      <c r="AY68" s="245"/>
      <c r="AZ68" s="245"/>
      <c r="BA68" s="245"/>
      <c r="BB68" s="245"/>
      <c r="BC68" s="245"/>
      <c r="BD68" s="245"/>
      <c r="BE68" s="245"/>
      <c r="BF68" s="245"/>
      <c r="BG68" s="245"/>
      <c r="BH68" s="245"/>
      <c r="BI68" s="245"/>
      <c r="BJ68" s="245"/>
      <c r="BK68" s="245"/>
      <c r="BL68" s="245"/>
      <c r="BM68" s="245"/>
      <c r="BN68" s="245"/>
      <c r="BO68" s="245"/>
      <c r="BP68" s="245"/>
      <c r="BQ68" s="245"/>
      <c r="BR68" s="245"/>
      <c r="BS68" s="245"/>
      <c r="BT68" s="245"/>
      <c r="BU68" s="245"/>
      <c r="BV68" s="245"/>
      <c r="BW68" s="245"/>
      <c r="BX68" s="245"/>
      <c r="BY68" s="245"/>
      <c r="BZ68" s="245"/>
      <c r="CA68" s="245"/>
      <c r="CB68" s="245"/>
      <c r="CC68" s="245"/>
      <c r="CD68" s="245"/>
      <c r="CE68" s="245"/>
      <c r="CF68" s="245"/>
      <c r="CG68" s="245"/>
      <c r="CH68" s="245"/>
      <c r="CI68" s="245"/>
      <c r="CJ68" s="245"/>
      <c r="CK68" s="245"/>
      <c r="CL68" s="245"/>
      <c r="CM68" s="245"/>
      <c r="CN68" s="245"/>
      <c r="CO68" s="245"/>
      <c r="CP68" s="245"/>
    </row>
    <row r="69" spans="1:94" ht="15" customHeight="1" x14ac:dyDescent="0.25">
      <c r="A69" t="s">
        <v>86</v>
      </c>
      <c r="B69" s="263">
        <v>249.56299999999999</v>
      </c>
      <c r="C69" s="263">
        <f t="shared" si="3"/>
        <v>0.38994218749999998</v>
      </c>
      <c r="D69" s="264" t="s">
        <v>87</v>
      </c>
      <c r="E69" s="264" t="s">
        <v>87</v>
      </c>
      <c r="F69" s="237" t="s">
        <v>87</v>
      </c>
      <c r="G69" s="131" t="s">
        <v>87</v>
      </c>
      <c r="H69" s="139">
        <v>0</v>
      </c>
      <c r="I69" s="115" t="str">
        <f>IF(EXACT(F69, G69), "none", IF(ISNUMBER(MATCH(G69, 'MP Analysis Input'!$A$15:$A$21, 0)), "soft", "hard"))</f>
        <v>none</v>
      </c>
      <c r="J69" s="124"/>
      <c r="K69" s="245"/>
      <c r="L69" s="245"/>
    </row>
    <row r="70" spans="1:94" ht="15" customHeight="1" x14ac:dyDescent="0.25">
      <c r="A70" t="s">
        <v>88</v>
      </c>
      <c r="B70" s="263">
        <v>446.28300000000002</v>
      </c>
      <c r="C70" s="263">
        <f t="shared" si="3"/>
        <v>0.69731718750000005</v>
      </c>
      <c r="D70" s="264" t="s">
        <v>48</v>
      </c>
      <c r="E70" s="264" t="s">
        <v>48</v>
      </c>
      <c r="F70" s="237" t="s">
        <v>690</v>
      </c>
      <c r="G70" s="131" t="s">
        <v>1</v>
      </c>
      <c r="H70" s="139">
        <v>0</v>
      </c>
      <c r="I70" s="115" t="str">
        <f>IF(EXACT(F70, G70), "none", IF(ISNUMBER(MATCH(G70, 'MP Analysis Input'!$A$15:$A$21, 0)), "soft", "hard"))</f>
        <v>hard</v>
      </c>
      <c r="J70" s="124"/>
      <c r="K70" s="245"/>
      <c r="L70" s="245"/>
    </row>
    <row r="71" spans="1:94" ht="15" customHeight="1" x14ac:dyDescent="0.25">
      <c r="A71" t="s">
        <v>89</v>
      </c>
      <c r="B71" s="263">
        <v>28.524999999999999</v>
      </c>
      <c r="C71" s="263">
        <f t="shared" si="3"/>
        <v>4.4570312500000001E-2</v>
      </c>
      <c r="D71" s="264" t="s">
        <v>48</v>
      </c>
      <c r="E71" s="264" t="s">
        <v>48</v>
      </c>
      <c r="F71" s="237" t="s">
        <v>690</v>
      </c>
      <c r="G71" s="131" t="s">
        <v>1</v>
      </c>
      <c r="H71" s="139">
        <v>0</v>
      </c>
      <c r="I71" s="115" t="str">
        <f>IF(EXACT(F71, G71), "none", IF(ISNUMBER(MATCH(G71, 'MP Analysis Input'!$A$15:$A$21, 0)), "soft", "hard"))</f>
        <v>hard</v>
      </c>
      <c r="J71" s="124"/>
      <c r="K71" s="245"/>
      <c r="L71" s="245"/>
    </row>
    <row r="72" spans="1:94" ht="15" customHeight="1" x14ac:dyDescent="0.25">
      <c r="A72" t="s">
        <v>90</v>
      </c>
      <c r="B72" s="263">
        <v>1.2010000000000001</v>
      </c>
      <c r="C72" s="263">
        <f t="shared" si="3"/>
        <v>1.8765625000000002E-3</v>
      </c>
      <c r="D72" s="264" t="s">
        <v>48</v>
      </c>
      <c r="E72" s="264" t="s">
        <v>48</v>
      </c>
      <c r="F72" s="237" t="s">
        <v>690</v>
      </c>
      <c r="G72" s="131" t="s">
        <v>1</v>
      </c>
      <c r="H72" s="139">
        <v>0</v>
      </c>
      <c r="I72" s="115" t="str">
        <f>IF(EXACT(F72, G72), "none", IF(ISNUMBER(MATCH(G72, 'MP Analysis Input'!$A$15:$A$21, 0)), "soft", "hard"))</f>
        <v>hard</v>
      </c>
      <c r="J72" s="124"/>
      <c r="K72" s="245"/>
      <c r="L72" s="245"/>
    </row>
    <row r="73" spans="1:94" ht="15" customHeight="1" x14ac:dyDescent="0.25">
      <c r="A73" t="s">
        <v>91</v>
      </c>
      <c r="B73" s="263">
        <v>33.003</v>
      </c>
      <c r="C73" s="263">
        <f t="shared" si="3"/>
        <v>5.15671875E-2</v>
      </c>
      <c r="D73" s="264" t="s">
        <v>48</v>
      </c>
      <c r="E73" s="264" t="s">
        <v>48</v>
      </c>
      <c r="F73" s="237" t="s">
        <v>690</v>
      </c>
      <c r="G73" s="131" t="s">
        <v>1</v>
      </c>
      <c r="H73" s="139">
        <v>0</v>
      </c>
      <c r="I73" s="115" t="str">
        <f>IF(EXACT(F73, G73), "none", IF(ISNUMBER(MATCH(G73, 'MP Analysis Input'!$A$15:$A$21, 0)), "soft", "hard"))</f>
        <v>hard</v>
      </c>
      <c r="J73" s="124"/>
      <c r="K73" s="245"/>
      <c r="L73" s="245"/>
    </row>
    <row r="74" spans="1:94" ht="15" customHeight="1" x14ac:dyDescent="0.25">
      <c r="A74" t="s">
        <v>92</v>
      </c>
      <c r="B74" s="263">
        <v>194.69399999999999</v>
      </c>
      <c r="C74" s="263">
        <f t="shared" si="3"/>
        <v>0.304209375</v>
      </c>
      <c r="D74" s="264" t="s">
        <v>48</v>
      </c>
      <c r="E74" s="264" t="s">
        <v>48</v>
      </c>
      <c r="F74" s="237" t="s">
        <v>690</v>
      </c>
      <c r="G74" s="131" t="s">
        <v>1</v>
      </c>
      <c r="H74" s="139">
        <v>0</v>
      </c>
      <c r="I74" s="115" t="str">
        <f>IF(EXACT(F74, G74), "none", IF(ISNUMBER(MATCH(G74, 'MP Analysis Input'!$A$15:$A$21, 0)), "soft", "hard"))</f>
        <v>hard</v>
      </c>
      <c r="J74" s="124"/>
      <c r="K74" s="245"/>
      <c r="L74" s="245"/>
    </row>
    <row r="75" spans="1:94" ht="15" customHeight="1" x14ac:dyDescent="0.25">
      <c r="A75" t="s">
        <v>93</v>
      </c>
      <c r="B75" s="263">
        <v>303.93799999999999</v>
      </c>
      <c r="C75" s="263">
        <f t="shared" si="3"/>
        <v>0.47490312499999998</v>
      </c>
      <c r="D75" s="264" t="s">
        <v>36</v>
      </c>
      <c r="E75" s="264" t="s">
        <v>36</v>
      </c>
      <c r="F75" s="237" t="s">
        <v>34</v>
      </c>
      <c r="G75" s="131" t="s">
        <v>34</v>
      </c>
      <c r="H75" s="139">
        <v>0</v>
      </c>
      <c r="I75" s="115" t="str">
        <f>IF(EXACT(F75, G75), "none", IF(ISNUMBER(MATCH(G75, 'MP Analysis Input'!$A$15:$A$21, 0)), "soft", "hard"))</f>
        <v>none</v>
      </c>
      <c r="J75" s="124"/>
      <c r="K75" s="245"/>
      <c r="L75" s="245"/>
    </row>
    <row r="76" spans="1:94" ht="15" customHeight="1" x14ac:dyDescent="0.25">
      <c r="A76" t="s">
        <v>94</v>
      </c>
      <c r="B76" s="263">
        <v>162.589</v>
      </c>
      <c r="C76" s="263">
        <f t="shared" si="3"/>
        <v>0.25404531250000001</v>
      </c>
      <c r="D76" s="264" t="s">
        <v>36</v>
      </c>
      <c r="E76" s="264" t="s">
        <v>36</v>
      </c>
      <c r="F76" s="237" t="s">
        <v>34</v>
      </c>
      <c r="G76" s="131" t="s">
        <v>34</v>
      </c>
      <c r="H76" s="139">
        <v>0</v>
      </c>
      <c r="I76" s="115" t="str">
        <f>IF(EXACT(F76, G76), "none", IF(ISNUMBER(MATCH(G76, 'MP Analysis Input'!$A$15:$A$21, 0)), "soft", "hard"))</f>
        <v>none</v>
      </c>
      <c r="J76" s="124"/>
      <c r="K76" s="245"/>
      <c r="L76" s="245"/>
    </row>
    <row r="77" spans="1:94" ht="15" customHeight="1" x14ac:dyDescent="0.25">
      <c r="A77" t="s">
        <v>95</v>
      </c>
      <c r="B77" s="263">
        <v>41.963000000000001</v>
      </c>
      <c r="C77" s="263">
        <f t="shared" si="3"/>
        <v>6.5567187499999999E-2</v>
      </c>
      <c r="D77" s="264" t="s">
        <v>36</v>
      </c>
      <c r="E77" s="264" t="s">
        <v>36</v>
      </c>
      <c r="F77" s="237" t="s">
        <v>34</v>
      </c>
      <c r="G77" s="131" t="s">
        <v>34</v>
      </c>
      <c r="H77" s="139">
        <v>0</v>
      </c>
      <c r="I77" s="115" t="str">
        <f>IF(EXACT(F77, G77), "none", IF(ISNUMBER(MATCH(G77, 'MP Analysis Input'!$A$15:$A$21, 0)), "soft", "hard"))</f>
        <v>none</v>
      </c>
      <c r="J77" s="124"/>
      <c r="K77" s="245"/>
      <c r="L77" s="245"/>
    </row>
    <row r="78" spans="1:94" ht="15" customHeight="1" x14ac:dyDescent="0.25">
      <c r="A78" t="s">
        <v>96</v>
      </c>
      <c r="B78" s="263">
        <v>617.93499999999995</v>
      </c>
      <c r="C78" s="263">
        <f t="shared" si="3"/>
        <v>0.96552343749999991</v>
      </c>
      <c r="D78" s="264" t="s">
        <v>36</v>
      </c>
      <c r="E78" s="264" t="s">
        <v>36</v>
      </c>
      <c r="F78" s="237" t="s">
        <v>97</v>
      </c>
      <c r="G78" s="131" t="s">
        <v>97</v>
      </c>
      <c r="H78" s="139">
        <v>0</v>
      </c>
      <c r="I78" s="115" t="str">
        <f>IF(EXACT(F78, G78), "none", IF(ISNUMBER(MATCH(G78, 'MP Analysis Input'!$A$15:$A$21, 0)), "soft", "hard"))</f>
        <v>none</v>
      </c>
      <c r="J78" s="124"/>
      <c r="K78" s="245"/>
      <c r="L78" s="245"/>
    </row>
    <row r="79" spans="1:94" ht="15" customHeight="1" x14ac:dyDescent="0.25">
      <c r="A79" t="s">
        <v>98</v>
      </c>
      <c r="B79" s="263">
        <v>139.09299999999999</v>
      </c>
      <c r="C79" s="263">
        <f t="shared" si="3"/>
        <v>0.2173328125</v>
      </c>
      <c r="D79" s="264" t="s">
        <v>36</v>
      </c>
      <c r="E79" s="264" t="s">
        <v>36</v>
      </c>
      <c r="F79" s="237" t="s">
        <v>34</v>
      </c>
      <c r="G79" s="131" t="s">
        <v>34</v>
      </c>
      <c r="H79" s="139">
        <v>0</v>
      </c>
      <c r="I79" s="115" t="str">
        <f>IF(EXACT(F79, G79), "none", IF(ISNUMBER(MATCH(G79, 'MP Analysis Input'!$A$15:$A$21, 0)), "soft", "hard"))</f>
        <v>none</v>
      </c>
      <c r="J79" s="124"/>
      <c r="K79" s="245"/>
      <c r="L79" s="245"/>
    </row>
    <row r="80" spans="1:94" ht="15" customHeight="1" x14ac:dyDescent="0.25">
      <c r="A80" t="s">
        <v>99</v>
      </c>
      <c r="B80" s="263">
        <v>334.32499999999999</v>
      </c>
      <c r="C80" s="263">
        <f t="shared" si="3"/>
        <v>0.52238281249999996</v>
      </c>
      <c r="D80" s="264" t="s">
        <v>48</v>
      </c>
      <c r="E80" s="264" t="s">
        <v>48</v>
      </c>
      <c r="F80" s="237" t="s">
        <v>100</v>
      </c>
      <c r="G80" s="131" t="s">
        <v>2</v>
      </c>
      <c r="H80" s="139">
        <v>4</v>
      </c>
      <c r="I80" s="115" t="str">
        <f>IF(EXACT(F80, G80), "none", IF(ISNUMBER(MATCH(G80, 'MP Analysis Input'!$A$15:$A$21, 0)), "soft", "hard"))</f>
        <v>hard</v>
      </c>
      <c r="J80" s="124"/>
      <c r="K80" s="245"/>
      <c r="L80" s="245"/>
    </row>
    <row r="81" spans="1:12" ht="15" customHeight="1" x14ac:dyDescent="0.25">
      <c r="A81" t="s">
        <v>101</v>
      </c>
      <c r="B81" s="263">
        <v>184.20099999999999</v>
      </c>
      <c r="C81" s="263">
        <f t="shared" si="3"/>
        <v>0.28781406250000002</v>
      </c>
      <c r="D81" s="264" t="s">
        <v>48</v>
      </c>
      <c r="E81" s="264" t="s">
        <v>48</v>
      </c>
      <c r="F81" s="237" t="s">
        <v>48</v>
      </c>
      <c r="G81" s="131" t="s">
        <v>48</v>
      </c>
      <c r="H81" s="139">
        <v>0</v>
      </c>
      <c r="I81" s="115" t="str">
        <f>IF(EXACT(F81, G81), "none", IF(ISNUMBER(MATCH(G81, 'MP Analysis Input'!$A$15:$A$21, 0)), "soft", "hard"))</f>
        <v>none</v>
      </c>
      <c r="J81" s="124"/>
      <c r="K81" s="245"/>
      <c r="L81" s="245"/>
    </row>
    <row r="82" spans="1:12" ht="15" customHeight="1" x14ac:dyDescent="0.25">
      <c r="A82" t="s">
        <v>102</v>
      </c>
      <c r="B82" s="263">
        <v>104.304</v>
      </c>
      <c r="C82" s="263">
        <f t="shared" si="3"/>
        <v>0.16297500000000001</v>
      </c>
      <c r="D82" s="264" t="s">
        <v>36</v>
      </c>
      <c r="E82" s="264" t="s">
        <v>36</v>
      </c>
      <c r="F82" s="237" t="s">
        <v>34</v>
      </c>
      <c r="G82" s="131" t="s">
        <v>34</v>
      </c>
      <c r="H82" s="139">
        <v>0</v>
      </c>
      <c r="I82" s="115" t="str">
        <f>IF(EXACT(F82, G82), "none", IF(ISNUMBER(MATCH(G82, 'MP Analysis Input'!$A$15:$A$21, 0)), "soft", "hard"))</f>
        <v>none</v>
      </c>
      <c r="J82" s="124"/>
      <c r="K82" s="245"/>
      <c r="L82" s="245"/>
    </row>
    <row r="83" spans="1:12" ht="15" customHeight="1" x14ac:dyDescent="0.25">
      <c r="A83" t="s">
        <v>103</v>
      </c>
      <c r="B83" s="263">
        <v>55.835000000000001</v>
      </c>
      <c r="C83" s="263">
        <f t="shared" si="3"/>
        <v>8.7242187500000012E-2</v>
      </c>
      <c r="D83" s="264" t="s">
        <v>36</v>
      </c>
      <c r="E83" s="264" t="s">
        <v>36</v>
      </c>
      <c r="F83" s="237" t="s">
        <v>34</v>
      </c>
      <c r="G83" s="131" t="s">
        <v>34</v>
      </c>
      <c r="H83" s="139">
        <v>0</v>
      </c>
      <c r="I83" s="115" t="str">
        <f>IF(EXACT(F83, G83), "none", IF(ISNUMBER(MATCH(G83, 'MP Analysis Input'!$A$15:$A$21, 0)), "soft", "hard"))</f>
        <v>none</v>
      </c>
      <c r="J83" s="124"/>
      <c r="K83" s="245"/>
      <c r="L83" s="245"/>
    </row>
    <row r="84" spans="1:12" ht="15" customHeight="1" x14ac:dyDescent="0.25">
      <c r="A84" t="s">
        <v>104</v>
      </c>
      <c r="B84" s="263">
        <v>50.402999999999999</v>
      </c>
      <c r="C84" s="263">
        <f t="shared" si="3"/>
        <v>7.8754687500000004E-2</v>
      </c>
      <c r="D84" s="264" t="s">
        <v>36</v>
      </c>
      <c r="E84" s="264" t="s">
        <v>36</v>
      </c>
      <c r="F84" s="237" t="s">
        <v>105</v>
      </c>
      <c r="G84" s="131" t="s">
        <v>105</v>
      </c>
      <c r="H84" s="139">
        <v>0</v>
      </c>
      <c r="I84" s="115" t="str">
        <f>IF(EXACT(F84, G84), "none", IF(ISNUMBER(MATCH(G84, 'MP Analysis Input'!$A$15:$A$21, 0)), "soft", "hard"))</f>
        <v>none</v>
      </c>
      <c r="J84" s="124"/>
      <c r="K84" s="245"/>
      <c r="L84" s="245"/>
    </row>
    <row r="85" spans="1:12" ht="15" customHeight="1" x14ac:dyDescent="0.25">
      <c r="A85" t="s">
        <v>106</v>
      </c>
      <c r="B85" s="263">
        <v>101.733</v>
      </c>
      <c r="C85" s="263">
        <f t="shared" si="3"/>
        <v>0.15895781250000002</v>
      </c>
      <c r="D85" s="264" t="s">
        <v>36</v>
      </c>
      <c r="E85" s="264" t="s">
        <v>36</v>
      </c>
      <c r="F85" s="237" t="s">
        <v>105</v>
      </c>
      <c r="G85" s="131" t="s">
        <v>105</v>
      </c>
      <c r="H85" s="139">
        <v>0</v>
      </c>
      <c r="I85" s="115" t="str">
        <f>IF(EXACT(F85, G85), "none", IF(ISNUMBER(MATCH(G85, 'MP Analysis Input'!$A$15:$A$21, 0)), "soft", "hard"))</f>
        <v>none</v>
      </c>
      <c r="J85" s="124"/>
      <c r="K85" s="245"/>
      <c r="L85" s="245"/>
    </row>
    <row r="86" spans="1:12" ht="15" customHeight="1" x14ac:dyDescent="0.25">
      <c r="A86" t="s">
        <v>107</v>
      </c>
      <c r="B86" s="263">
        <v>274.48</v>
      </c>
      <c r="C86" s="263">
        <f t="shared" si="3"/>
        <v>0.42887500000000006</v>
      </c>
      <c r="D86" s="264" t="s">
        <v>40</v>
      </c>
      <c r="E86" s="264" t="s">
        <v>40</v>
      </c>
      <c r="F86" s="237" t="s">
        <v>100</v>
      </c>
      <c r="G86" s="131" t="s">
        <v>4</v>
      </c>
      <c r="H86" s="139">
        <v>4</v>
      </c>
      <c r="I86" s="115" t="str">
        <f>IF(EXACT(F86, G86), "none", IF(ISNUMBER(MATCH(G86, 'MP Analysis Input'!$A$15:$A$21, 0)), "soft", "hard"))</f>
        <v>hard</v>
      </c>
      <c r="J86" s="124"/>
      <c r="K86" s="245"/>
      <c r="L86" s="245"/>
    </row>
    <row r="87" spans="1:12" ht="15" customHeight="1" x14ac:dyDescent="0.25">
      <c r="A87" t="s">
        <v>108</v>
      </c>
      <c r="B87" s="263">
        <v>43.76</v>
      </c>
      <c r="C87" s="263">
        <f t="shared" si="3"/>
        <v>6.8375000000000005E-2</v>
      </c>
      <c r="D87" s="264" t="s">
        <v>48</v>
      </c>
      <c r="E87" s="264" t="s">
        <v>42</v>
      </c>
      <c r="F87" s="237" t="s">
        <v>42</v>
      </c>
      <c r="G87" s="131" t="s">
        <v>4</v>
      </c>
      <c r="H87" s="139">
        <v>1</v>
      </c>
      <c r="I87" s="115" t="str">
        <f>IF(EXACT(F87, G87), "none", IF(ISNUMBER(MATCH(G87, 'MP Analysis Input'!$A$15:$A$21, 0)), "soft", "hard"))</f>
        <v>hard</v>
      </c>
      <c r="J87" s="124"/>
      <c r="K87" s="245"/>
      <c r="L87" s="245"/>
    </row>
    <row r="88" spans="1:12" ht="15" customHeight="1" x14ac:dyDescent="0.25">
      <c r="A88" t="s">
        <v>109</v>
      </c>
      <c r="B88" s="263">
        <v>367.71899999999999</v>
      </c>
      <c r="C88" s="263">
        <f t="shared" ref="C88:C151" si="4">B88*0.0015625</f>
        <v>0.57456093750000004</v>
      </c>
      <c r="D88" s="264" t="s">
        <v>36</v>
      </c>
      <c r="E88" s="264" t="s">
        <v>36</v>
      </c>
      <c r="F88" s="237" t="s">
        <v>34</v>
      </c>
      <c r="G88" s="131" t="s">
        <v>34</v>
      </c>
      <c r="H88" s="139">
        <v>0</v>
      </c>
      <c r="I88" s="115" t="str">
        <f>IF(EXACT(F88, G88), "none", IF(ISNUMBER(MATCH(G88, 'MP Analysis Input'!$A$15:$A$21, 0)), "soft", "hard"))</f>
        <v>none</v>
      </c>
      <c r="J88" s="124"/>
      <c r="K88" s="245"/>
      <c r="L88" s="245"/>
    </row>
    <row r="89" spans="1:12" ht="15" customHeight="1" x14ac:dyDescent="0.25">
      <c r="A89" t="s">
        <v>110</v>
      </c>
      <c r="B89" s="263">
        <v>119.238</v>
      </c>
      <c r="C89" s="263">
        <f t="shared" si="4"/>
        <v>0.186309375</v>
      </c>
      <c r="D89" s="264" t="s">
        <v>40</v>
      </c>
      <c r="E89" s="264" t="s">
        <v>40</v>
      </c>
      <c r="F89" s="237" t="s">
        <v>100</v>
      </c>
      <c r="G89" s="131" t="s">
        <v>4</v>
      </c>
      <c r="H89" s="139">
        <v>4</v>
      </c>
      <c r="I89" s="115" t="str">
        <f>IF(EXACT(F89, G89), "none", IF(ISNUMBER(MATCH(G89, 'MP Analysis Input'!$A$15:$A$21, 0)), "soft", "hard"))</f>
        <v>hard</v>
      </c>
      <c r="J89" s="124"/>
      <c r="K89" s="245"/>
      <c r="L89" s="245"/>
    </row>
    <row r="90" spans="1:12" ht="15" customHeight="1" x14ac:dyDescent="0.25">
      <c r="A90" t="s">
        <v>111</v>
      </c>
      <c r="B90" s="263">
        <v>14.401</v>
      </c>
      <c r="C90" s="263">
        <f t="shared" si="4"/>
        <v>2.2501562500000002E-2</v>
      </c>
      <c r="D90" s="264" t="s">
        <v>40</v>
      </c>
      <c r="E90" s="264" t="s">
        <v>40</v>
      </c>
      <c r="F90" s="237" t="s">
        <v>57</v>
      </c>
      <c r="G90" s="131" t="s">
        <v>57</v>
      </c>
      <c r="H90" s="139">
        <v>0</v>
      </c>
      <c r="I90" s="115" t="str">
        <f>IF(EXACT(F90, G90), "none", IF(ISNUMBER(MATCH(G90, 'MP Analysis Input'!$A$15:$A$21, 0)), "soft", "hard"))</f>
        <v>none</v>
      </c>
      <c r="J90" s="124"/>
      <c r="K90" s="245"/>
      <c r="L90" s="245"/>
    </row>
    <row r="91" spans="1:12" ht="15" customHeight="1" x14ac:dyDescent="0.25">
      <c r="A91" t="s">
        <v>112</v>
      </c>
      <c r="B91" s="263">
        <v>75.102999999999994</v>
      </c>
      <c r="C91" s="263">
        <f t="shared" si="4"/>
        <v>0.1173484375</v>
      </c>
      <c r="D91" s="264" t="s">
        <v>48</v>
      </c>
      <c r="E91" s="264" t="s">
        <v>48</v>
      </c>
      <c r="F91" s="237" t="s">
        <v>57</v>
      </c>
      <c r="G91" s="131" t="s">
        <v>57</v>
      </c>
      <c r="H91" s="139">
        <v>0</v>
      </c>
      <c r="I91" s="115" t="str">
        <f>IF(EXACT(F91, G91), "none", IF(ISNUMBER(MATCH(G91, 'MP Analysis Input'!$A$15:$A$21, 0)), "soft", "hard"))</f>
        <v>none</v>
      </c>
      <c r="J91" s="124"/>
      <c r="K91" s="245"/>
      <c r="L91" s="245"/>
    </row>
    <row r="92" spans="1:12" ht="15" customHeight="1" x14ac:dyDescent="0.25">
      <c r="A92" t="s">
        <v>113</v>
      </c>
      <c r="B92" s="263">
        <v>194.471</v>
      </c>
      <c r="C92" s="263">
        <f t="shared" si="4"/>
        <v>0.30386093750000004</v>
      </c>
      <c r="D92" s="264" t="s">
        <v>40</v>
      </c>
      <c r="E92" s="264" t="s">
        <v>40</v>
      </c>
      <c r="F92" s="237" t="s">
        <v>41</v>
      </c>
      <c r="G92" s="131" t="s">
        <v>4</v>
      </c>
      <c r="H92" s="139">
        <v>3</v>
      </c>
      <c r="I92" s="115" t="str">
        <f>IF(EXACT(F92, G92), "none", IF(ISNUMBER(MATCH(G92, 'MP Analysis Input'!$A$15:$A$21, 0)), "soft", "hard"))</f>
        <v>hard</v>
      </c>
      <c r="J92" s="124"/>
      <c r="K92" s="245"/>
      <c r="L92" s="245"/>
    </row>
    <row r="93" spans="1:12" ht="15" customHeight="1" x14ac:dyDescent="0.25">
      <c r="A93" t="s">
        <v>114</v>
      </c>
      <c r="B93" s="263">
        <v>74.637</v>
      </c>
      <c r="C93" s="263">
        <f t="shared" si="4"/>
        <v>0.1166203125</v>
      </c>
      <c r="D93" s="264" t="s">
        <v>48</v>
      </c>
      <c r="E93" s="264" t="s">
        <v>48</v>
      </c>
      <c r="F93" s="237" t="s">
        <v>52</v>
      </c>
      <c r="G93" s="131" t="s">
        <v>52</v>
      </c>
      <c r="H93" s="139">
        <v>0</v>
      </c>
      <c r="I93" s="115" t="str">
        <f>IF(EXACT(F93, G93), "none", IF(ISNUMBER(MATCH(G93, 'MP Analysis Input'!$A$15:$A$21, 0)), "soft", "hard"))</f>
        <v>none</v>
      </c>
      <c r="J93" s="124"/>
      <c r="K93" s="245"/>
      <c r="L93" s="245"/>
    </row>
    <row r="94" spans="1:12" ht="15" customHeight="1" x14ac:dyDescent="0.25">
      <c r="A94" t="s">
        <v>115</v>
      </c>
      <c r="B94" s="263">
        <v>102.91500000000001</v>
      </c>
      <c r="C94" s="263">
        <f t="shared" si="4"/>
        <v>0.16080468750000002</v>
      </c>
      <c r="D94" s="264" t="s">
        <v>48</v>
      </c>
      <c r="E94" s="264" t="s">
        <v>48</v>
      </c>
      <c r="F94" s="237" t="s">
        <v>48</v>
      </c>
      <c r="G94" s="131" t="s">
        <v>57</v>
      </c>
      <c r="H94" s="139">
        <v>1</v>
      </c>
      <c r="I94" s="115" t="str">
        <f>IF(EXACT(F94, G94), "none", IF(ISNUMBER(MATCH(G94, 'MP Analysis Input'!$A$15:$A$21, 0)), "soft", "hard"))</f>
        <v>soft</v>
      </c>
      <c r="J94" s="124"/>
      <c r="K94" s="245"/>
      <c r="L94" s="245"/>
    </row>
    <row r="95" spans="1:12" ht="15" customHeight="1" x14ac:dyDescent="0.25">
      <c r="A95" t="s">
        <v>116</v>
      </c>
      <c r="B95" s="263">
        <v>36.168999999999997</v>
      </c>
      <c r="C95" s="263">
        <f t="shared" si="4"/>
        <v>5.6514062499999997E-2</v>
      </c>
      <c r="D95" s="264" t="s">
        <v>48</v>
      </c>
      <c r="E95" s="264" t="s">
        <v>48</v>
      </c>
      <c r="F95" s="237" t="s">
        <v>52</v>
      </c>
      <c r="G95" s="131" t="s">
        <v>52</v>
      </c>
      <c r="H95" s="139">
        <v>0</v>
      </c>
      <c r="I95" s="115" t="str">
        <f>IF(EXACT(F95, G95), "none", IF(ISNUMBER(MATCH(G95, 'MP Analysis Input'!$A$15:$A$21, 0)), "soft", "hard"))</f>
        <v>none</v>
      </c>
      <c r="J95" s="124"/>
      <c r="K95" s="245"/>
      <c r="L95" s="245"/>
    </row>
    <row r="96" spans="1:12" ht="15" customHeight="1" x14ac:dyDescent="0.25">
      <c r="A96" t="s">
        <v>117</v>
      </c>
      <c r="B96" s="263">
        <v>38.795000000000002</v>
      </c>
      <c r="C96" s="263">
        <f t="shared" si="4"/>
        <v>6.0617187500000003E-2</v>
      </c>
      <c r="D96" s="264" t="s">
        <v>48</v>
      </c>
      <c r="E96" s="264" t="s">
        <v>48</v>
      </c>
      <c r="F96" s="237" t="s">
        <v>48</v>
      </c>
      <c r="G96" s="131" t="s">
        <v>57</v>
      </c>
      <c r="H96" s="139">
        <v>1</v>
      </c>
      <c r="I96" s="115" t="str">
        <f>IF(EXACT(F96, G96), "none", IF(ISNUMBER(MATCH(G96, 'MP Analysis Input'!$A$15:$A$21, 0)), "soft", "hard"))</f>
        <v>soft</v>
      </c>
      <c r="J96" s="124"/>
      <c r="K96" s="245"/>
      <c r="L96" s="245"/>
    </row>
    <row r="97" spans="1:12" ht="15" customHeight="1" x14ac:dyDescent="0.25">
      <c r="A97" t="s">
        <v>118</v>
      </c>
      <c r="B97" s="263">
        <v>159.33099999999999</v>
      </c>
      <c r="C97" s="263">
        <f t="shared" si="4"/>
        <v>0.24895468749999999</v>
      </c>
      <c r="D97" s="264" t="s">
        <v>48</v>
      </c>
      <c r="E97" s="264" t="s">
        <v>48</v>
      </c>
      <c r="F97" s="237" t="s">
        <v>48</v>
      </c>
      <c r="G97" s="131" t="s">
        <v>57</v>
      </c>
      <c r="H97" s="139">
        <v>4</v>
      </c>
      <c r="I97" s="115" t="str">
        <f>IF(EXACT(F97, G97), "none", IF(ISNUMBER(MATCH(G97, 'MP Analysis Input'!$A$15:$A$21, 0)), "soft", "hard"))</f>
        <v>soft</v>
      </c>
      <c r="J97" s="124"/>
      <c r="K97" s="245"/>
      <c r="L97" s="245"/>
    </row>
    <row r="98" spans="1:12" ht="15" customHeight="1" x14ac:dyDescent="0.25">
      <c r="A98" t="s">
        <v>119</v>
      </c>
      <c r="B98" s="263">
        <v>61.792000000000002</v>
      </c>
      <c r="C98" s="263">
        <f t="shared" si="4"/>
        <v>9.6550000000000011E-2</v>
      </c>
      <c r="D98" s="264" t="s">
        <v>48</v>
      </c>
      <c r="E98" s="264" t="s">
        <v>48</v>
      </c>
      <c r="F98" s="237" t="s">
        <v>48</v>
      </c>
      <c r="G98" s="131" t="s">
        <v>57</v>
      </c>
      <c r="H98" s="139">
        <v>1</v>
      </c>
      <c r="I98" s="115" t="str">
        <f>IF(EXACT(F98, G98), "none", IF(ISNUMBER(MATCH(G98, 'MP Analysis Input'!$A$15:$A$21, 0)), "soft", "hard"))</f>
        <v>soft</v>
      </c>
      <c r="J98" s="124"/>
      <c r="K98" s="245"/>
      <c r="L98" s="245"/>
    </row>
    <row r="99" spans="1:12" ht="15" customHeight="1" x14ac:dyDescent="0.25">
      <c r="A99" t="s">
        <v>120</v>
      </c>
      <c r="B99" s="263">
        <v>477.99200000000002</v>
      </c>
      <c r="C99" s="263">
        <f t="shared" si="4"/>
        <v>0.7468625000000001</v>
      </c>
      <c r="D99" s="264" t="s">
        <v>48</v>
      </c>
      <c r="E99" s="264" t="s">
        <v>48</v>
      </c>
      <c r="F99" s="237" t="s">
        <v>48</v>
      </c>
      <c r="G99" s="131" t="s">
        <v>57</v>
      </c>
      <c r="H99" s="139">
        <v>4</v>
      </c>
      <c r="I99" s="115" t="str">
        <f>IF(EXACT(F99, G99), "none", IF(ISNUMBER(MATCH(G99, 'MP Analysis Input'!$A$15:$A$21, 0)), "soft", "hard"))</f>
        <v>soft</v>
      </c>
      <c r="J99" s="124"/>
      <c r="K99" s="245"/>
      <c r="L99" s="245"/>
    </row>
    <row r="100" spans="1:12" ht="15" customHeight="1" x14ac:dyDescent="0.25">
      <c r="A100" t="s">
        <v>121</v>
      </c>
      <c r="B100" s="263">
        <v>226.48400000000001</v>
      </c>
      <c r="C100" s="263">
        <f t="shared" si="4"/>
        <v>0.35388125000000004</v>
      </c>
      <c r="D100" s="264" t="s">
        <v>48</v>
      </c>
      <c r="E100" s="264" t="s">
        <v>48</v>
      </c>
      <c r="F100" s="237" t="s">
        <v>48</v>
      </c>
      <c r="G100" s="131" t="s">
        <v>57</v>
      </c>
      <c r="H100" s="139">
        <v>5</v>
      </c>
      <c r="I100" s="115" t="str">
        <f>IF(EXACT(F100, G100), "none", IF(ISNUMBER(MATCH(G100, 'MP Analysis Input'!$A$15:$A$21, 0)), "soft", "hard"))</f>
        <v>soft</v>
      </c>
      <c r="J100" s="124"/>
      <c r="K100" s="245"/>
      <c r="L100" s="245"/>
    </row>
    <row r="101" spans="1:12" ht="15" customHeight="1" x14ac:dyDescent="0.25">
      <c r="A101" t="s">
        <v>122</v>
      </c>
      <c r="B101" s="263">
        <v>1024.2750000000001</v>
      </c>
      <c r="C101" s="263">
        <f t="shared" si="4"/>
        <v>1.6004296875000001</v>
      </c>
      <c r="D101" s="264" t="s">
        <v>48</v>
      </c>
      <c r="E101" s="264" t="s">
        <v>48</v>
      </c>
      <c r="F101" s="237" t="s">
        <v>48</v>
      </c>
      <c r="G101" s="131" t="s">
        <v>48</v>
      </c>
      <c r="H101" s="139">
        <v>0</v>
      </c>
      <c r="I101" s="115" t="str">
        <f>IF(EXACT(F101, G101), "none", IF(ISNUMBER(MATCH(G101, 'MP Analysis Input'!$A$15:$A$21, 0)), "soft", "hard"))</f>
        <v>none</v>
      </c>
      <c r="J101" s="124"/>
      <c r="K101" s="245"/>
      <c r="L101" s="245"/>
    </row>
    <row r="102" spans="1:12" ht="15" customHeight="1" x14ac:dyDescent="0.25">
      <c r="A102" t="s">
        <v>123</v>
      </c>
      <c r="B102" s="263">
        <v>80.442999999999998</v>
      </c>
      <c r="C102" s="263">
        <f t="shared" si="4"/>
        <v>0.1256921875</v>
      </c>
      <c r="D102" s="264" t="s">
        <v>48</v>
      </c>
      <c r="E102" s="264" t="s">
        <v>48</v>
      </c>
      <c r="F102" s="237" t="s">
        <v>48</v>
      </c>
      <c r="G102" s="131" t="s">
        <v>57</v>
      </c>
      <c r="H102" s="139">
        <v>5</v>
      </c>
      <c r="I102" s="115" t="str">
        <f>IF(EXACT(F102, G102), "none", IF(ISNUMBER(MATCH(G102, 'MP Analysis Input'!$A$15:$A$21, 0)), "soft", "hard"))</f>
        <v>soft</v>
      </c>
      <c r="J102" s="124"/>
      <c r="K102" s="245"/>
      <c r="L102" s="245"/>
    </row>
    <row r="103" spans="1:12" ht="15" customHeight="1" x14ac:dyDescent="0.25">
      <c r="A103" t="s">
        <v>124</v>
      </c>
      <c r="B103" s="263">
        <v>92.734999999999999</v>
      </c>
      <c r="C103" s="263">
        <f t="shared" si="4"/>
        <v>0.1448984375</v>
      </c>
      <c r="D103" s="264" t="s">
        <v>48</v>
      </c>
      <c r="E103" s="264" t="s">
        <v>48</v>
      </c>
      <c r="F103" s="237" t="s">
        <v>52</v>
      </c>
      <c r="G103" s="131" t="s">
        <v>52</v>
      </c>
      <c r="H103" s="139">
        <v>0</v>
      </c>
      <c r="I103" s="115" t="str">
        <f>IF(EXACT(F103, G103), "none", IF(ISNUMBER(MATCH(G103, 'MP Analysis Input'!$A$15:$A$21, 0)), "soft", "hard"))</f>
        <v>none</v>
      </c>
      <c r="J103" s="124"/>
      <c r="K103" s="245"/>
      <c r="L103" s="245"/>
    </row>
    <row r="104" spans="1:12" ht="15" customHeight="1" x14ac:dyDescent="0.25">
      <c r="A104" t="s">
        <v>125</v>
      </c>
      <c r="B104" s="263">
        <v>57.237000000000002</v>
      </c>
      <c r="C104" s="263">
        <f t="shared" si="4"/>
        <v>8.9432812500000014E-2</v>
      </c>
      <c r="D104" s="264" t="s">
        <v>48</v>
      </c>
      <c r="E104" s="264" t="s">
        <v>48</v>
      </c>
      <c r="F104" s="237" t="s">
        <v>57</v>
      </c>
      <c r="G104" s="131" t="s">
        <v>57</v>
      </c>
      <c r="H104" s="139">
        <v>0</v>
      </c>
      <c r="I104" s="115" t="str">
        <f>IF(EXACT(F104, G104), "none", IF(ISNUMBER(MATCH(G104, 'MP Analysis Input'!$A$15:$A$21, 0)), "soft", "hard"))</f>
        <v>none</v>
      </c>
      <c r="J104" s="124"/>
      <c r="K104" s="245"/>
      <c r="L104" s="245"/>
    </row>
    <row r="105" spans="1:12" ht="15" customHeight="1" x14ac:dyDescent="0.25">
      <c r="A105" t="s">
        <v>126</v>
      </c>
      <c r="B105" s="263">
        <v>31.074999999999999</v>
      </c>
      <c r="C105" s="263">
        <f t="shared" si="4"/>
        <v>4.8554687499999999E-2</v>
      </c>
      <c r="D105" s="264" t="s">
        <v>48</v>
      </c>
      <c r="E105" s="264" t="s">
        <v>48</v>
      </c>
      <c r="F105" s="237" t="s">
        <v>57</v>
      </c>
      <c r="G105" s="131" t="s">
        <v>57</v>
      </c>
      <c r="H105" s="139">
        <v>0</v>
      </c>
      <c r="I105" s="115" t="str">
        <f>IF(EXACT(F105, G105), "none", IF(ISNUMBER(MATCH(G105, 'MP Analysis Input'!$A$15:$A$21, 0)), "soft", "hard"))</f>
        <v>none</v>
      </c>
      <c r="J105" s="124"/>
      <c r="K105" s="245"/>
      <c r="L105" s="245"/>
    </row>
    <row r="106" spans="1:12" ht="15" customHeight="1" x14ac:dyDescent="0.25">
      <c r="A106" t="s">
        <v>127</v>
      </c>
      <c r="B106" s="263">
        <v>42.511000000000003</v>
      </c>
      <c r="C106" s="263">
        <f t="shared" si="4"/>
        <v>6.6423437500000002E-2</v>
      </c>
      <c r="D106" s="264" t="s">
        <v>48</v>
      </c>
      <c r="E106" s="264" t="s">
        <v>48</v>
      </c>
      <c r="F106" s="237" t="s">
        <v>57</v>
      </c>
      <c r="G106" s="131" t="s">
        <v>57</v>
      </c>
      <c r="H106" s="139">
        <v>0</v>
      </c>
      <c r="I106" s="115" t="str">
        <f>IF(EXACT(F106, G106), "none", IF(ISNUMBER(MATCH(G106, 'MP Analysis Input'!$A$15:$A$21, 0)), "soft", "hard"))</f>
        <v>none</v>
      </c>
      <c r="J106" s="124"/>
      <c r="K106" s="245"/>
      <c r="L106" s="245"/>
    </row>
    <row r="107" spans="1:12" ht="15" customHeight="1" x14ac:dyDescent="0.25">
      <c r="A107" t="s">
        <v>128</v>
      </c>
      <c r="B107" s="263">
        <v>65.525999999999996</v>
      </c>
      <c r="C107" s="263">
        <f t="shared" si="4"/>
        <v>0.102384375</v>
      </c>
      <c r="D107" s="264" t="s">
        <v>52</v>
      </c>
      <c r="E107" s="264" t="s">
        <v>52</v>
      </c>
      <c r="F107" s="237" t="s">
        <v>52</v>
      </c>
      <c r="G107" s="131" t="s">
        <v>52</v>
      </c>
      <c r="H107" s="139">
        <v>0</v>
      </c>
      <c r="I107" s="115" t="str">
        <f>IF(EXACT(F107, G107), "none", IF(ISNUMBER(MATCH(G107, 'MP Analysis Input'!$A$15:$A$21, 0)), "soft", "hard"))</f>
        <v>none</v>
      </c>
      <c r="J107" s="124"/>
      <c r="K107" s="245"/>
      <c r="L107" s="245"/>
    </row>
    <row r="108" spans="1:12" ht="15" customHeight="1" x14ac:dyDescent="0.25">
      <c r="A108" t="s">
        <v>129</v>
      </c>
      <c r="B108" s="263">
        <v>161.25800000000001</v>
      </c>
      <c r="C108" s="263">
        <f t="shared" si="4"/>
        <v>0.25196562500000003</v>
      </c>
      <c r="D108" s="264" t="s">
        <v>48</v>
      </c>
      <c r="E108" s="264" t="s">
        <v>42</v>
      </c>
      <c r="F108" s="237" t="s">
        <v>42</v>
      </c>
      <c r="G108" s="131" t="s">
        <v>4</v>
      </c>
      <c r="H108" s="139">
        <v>1</v>
      </c>
      <c r="I108" s="115" t="str">
        <f>IF(EXACT(F108, G108), "none", IF(ISNUMBER(MATCH(G108, 'MP Analysis Input'!$A$15:$A$21, 0)), "soft", "hard"))</f>
        <v>hard</v>
      </c>
      <c r="J108" s="124"/>
      <c r="K108" s="245"/>
      <c r="L108" s="245"/>
    </row>
    <row r="109" spans="1:12" ht="15" customHeight="1" x14ac:dyDescent="0.25">
      <c r="A109" t="s">
        <v>130</v>
      </c>
      <c r="B109" s="263">
        <v>258.50299999999999</v>
      </c>
      <c r="C109" s="263">
        <f t="shared" si="4"/>
        <v>0.40391093750000001</v>
      </c>
      <c r="D109" s="264" t="s">
        <v>48</v>
      </c>
      <c r="E109" s="264" t="s">
        <v>48</v>
      </c>
      <c r="F109" s="237" t="s">
        <v>48</v>
      </c>
      <c r="G109" s="131" t="s">
        <v>48</v>
      </c>
      <c r="H109" s="139">
        <v>0</v>
      </c>
      <c r="I109" s="115" t="str">
        <f>IF(EXACT(F109, G109), "none", IF(ISNUMBER(MATCH(G109, 'MP Analysis Input'!$A$15:$A$21, 0)), "soft", "hard"))</f>
        <v>none</v>
      </c>
      <c r="J109" s="124"/>
      <c r="K109" s="245"/>
      <c r="L109" s="245"/>
    </row>
    <row r="110" spans="1:12" ht="15" customHeight="1" x14ac:dyDescent="0.25">
      <c r="A110" t="s">
        <v>131</v>
      </c>
      <c r="B110" s="263">
        <v>822.01800000000003</v>
      </c>
      <c r="C110" s="263">
        <f t="shared" si="4"/>
        <v>1.2844031250000001</v>
      </c>
      <c r="D110" s="264" t="s">
        <v>48</v>
      </c>
      <c r="E110" s="264" t="s">
        <v>48</v>
      </c>
      <c r="F110" s="237" t="s">
        <v>48</v>
      </c>
      <c r="G110" s="131" t="s">
        <v>57</v>
      </c>
      <c r="H110" s="139">
        <v>2</v>
      </c>
      <c r="I110" s="115" t="str">
        <f>IF(EXACT(F110, G110), "none", IF(ISNUMBER(MATCH(G110, 'MP Analysis Input'!$A$15:$A$21, 0)), "soft", "hard"))</f>
        <v>soft</v>
      </c>
      <c r="J110" s="124"/>
      <c r="K110" s="245"/>
      <c r="L110" s="245"/>
    </row>
    <row r="111" spans="1:12" ht="15" customHeight="1" x14ac:dyDescent="0.25">
      <c r="A111" t="s">
        <v>132</v>
      </c>
      <c r="B111" s="263">
        <v>491.51499999999999</v>
      </c>
      <c r="C111" s="263">
        <f t="shared" si="4"/>
        <v>0.76799218749999998</v>
      </c>
      <c r="D111" s="264" t="s">
        <v>48</v>
      </c>
      <c r="E111" s="264" t="s">
        <v>48</v>
      </c>
      <c r="F111" s="237" t="s">
        <v>97</v>
      </c>
      <c r="G111" s="131" t="s">
        <v>97</v>
      </c>
      <c r="H111" s="139">
        <v>0</v>
      </c>
      <c r="I111" s="115" t="str">
        <f>IF(EXACT(F111, G111), "none", IF(ISNUMBER(MATCH(G111, 'MP Analysis Input'!$A$15:$A$21, 0)), "soft", "hard"))</f>
        <v>none</v>
      </c>
      <c r="J111" s="124"/>
      <c r="K111" s="245"/>
      <c r="L111" s="245"/>
    </row>
    <row r="112" spans="1:12" ht="15" customHeight="1" x14ac:dyDescent="0.25">
      <c r="A112" t="s">
        <v>133</v>
      </c>
      <c r="B112" s="263">
        <v>363.63900000000001</v>
      </c>
      <c r="C112" s="263">
        <f t="shared" si="4"/>
        <v>0.56818593750000002</v>
      </c>
      <c r="D112" s="264" t="s">
        <v>48</v>
      </c>
      <c r="E112" s="264" t="s">
        <v>48</v>
      </c>
      <c r="F112" s="237" t="s">
        <v>48</v>
      </c>
      <c r="G112" s="131" t="s">
        <v>34</v>
      </c>
      <c r="H112" s="139">
        <v>2</v>
      </c>
      <c r="I112" s="115" t="str">
        <f>IF(EXACT(F112, G112), "none", IF(ISNUMBER(MATCH(G112, 'MP Analysis Input'!$A$15:$A$21, 0)), "soft", "hard"))</f>
        <v>hard</v>
      </c>
      <c r="J112" s="124"/>
      <c r="K112" s="245"/>
      <c r="L112" s="245"/>
    </row>
    <row r="113" spans="1:12" ht="15" customHeight="1" x14ac:dyDescent="0.25">
      <c r="A113" t="s">
        <v>134</v>
      </c>
      <c r="B113" s="263">
        <v>50.593000000000004</v>
      </c>
      <c r="C113" s="263">
        <f t="shared" si="4"/>
        <v>7.9051562500000006E-2</v>
      </c>
      <c r="D113" s="264" t="s">
        <v>48</v>
      </c>
      <c r="E113" s="264" t="s">
        <v>48</v>
      </c>
      <c r="F113" s="237" t="s">
        <v>52</v>
      </c>
      <c r="G113" s="131" t="s">
        <v>52</v>
      </c>
      <c r="H113" s="139">
        <v>0</v>
      </c>
      <c r="I113" s="115" t="str">
        <f>IF(EXACT(F113, G113), "none", IF(ISNUMBER(MATCH(G113, 'MP Analysis Input'!$A$15:$A$21, 0)), "soft", "hard"))</f>
        <v>none</v>
      </c>
      <c r="J113" s="124"/>
      <c r="K113" s="245"/>
      <c r="L113" s="245"/>
    </row>
    <row r="114" spans="1:12" ht="15" customHeight="1" x14ac:dyDescent="0.25">
      <c r="A114" t="s">
        <v>135</v>
      </c>
      <c r="B114" s="263">
        <v>550.13699999999994</v>
      </c>
      <c r="C114" s="263">
        <f t="shared" si="4"/>
        <v>0.8595890625</v>
      </c>
      <c r="D114" s="264" t="s">
        <v>48</v>
      </c>
      <c r="E114" s="264" t="s">
        <v>48</v>
      </c>
      <c r="F114" s="237" t="s">
        <v>48</v>
      </c>
      <c r="G114" s="131" t="s">
        <v>48</v>
      </c>
      <c r="H114" s="139">
        <v>0</v>
      </c>
      <c r="I114" s="115" t="str">
        <f>IF(EXACT(F114, G114), "none", IF(ISNUMBER(MATCH(G114, 'MP Analysis Input'!$A$15:$A$21, 0)), "soft", "hard"))</f>
        <v>none</v>
      </c>
      <c r="J114" s="124"/>
      <c r="K114" s="245"/>
      <c r="L114" s="245"/>
    </row>
    <row r="115" spans="1:12" ht="15" customHeight="1" x14ac:dyDescent="0.25">
      <c r="A115" t="s">
        <v>136</v>
      </c>
      <c r="B115" s="263">
        <v>547.74800000000005</v>
      </c>
      <c r="C115" s="263">
        <f t="shared" si="4"/>
        <v>0.8558562500000001</v>
      </c>
      <c r="D115" s="264" t="s">
        <v>48</v>
      </c>
      <c r="E115" s="264" t="s">
        <v>48</v>
      </c>
      <c r="F115" s="237" t="s">
        <v>48</v>
      </c>
      <c r="G115" s="131" t="s">
        <v>57</v>
      </c>
      <c r="H115" s="139">
        <v>5</v>
      </c>
      <c r="I115" s="115" t="str">
        <f>IF(EXACT(F115, G115), "none", IF(ISNUMBER(MATCH(G115, 'MP Analysis Input'!$A$15:$A$21, 0)), "soft", "hard"))</f>
        <v>soft</v>
      </c>
      <c r="J115" s="124"/>
      <c r="K115" s="245"/>
      <c r="L115" s="245"/>
    </row>
    <row r="116" spans="1:12" ht="15" customHeight="1" x14ac:dyDescent="0.25">
      <c r="A116" t="s">
        <v>137</v>
      </c>
      <c r="B116" s="263">
        <v>106.684</v>
      </c>
      <c r="C116" s="263">
        <f t="shared" si="4"/>
        <v>0.16669375</v>
      </c>
      <c r="D116" s="264" t="s">
        <v>48</v>
      </c>
      <c r="E116" s="264" t="s">
        <v>48</v>
      </c>
      <c r="F116" s="237" t="s">
        <v>691</v>
      </c>
      <c r="G116" s="131" t="s">
        <v>5</v>
      </c>
      <c r="H116" s="139">
        <v>0</v>
      </c>
      <c r="I116" s="115" t="str">
        <f>IF(EXACT(F116, G116), "none", IF(ISNUMBER(MATCH(G116, 'MP Analysis Input'!$A$15:$A$21, 0)), "soft", "hard"))</f>
        <v>hard</v>
      </c>
      <c r="J116" s="124"/>
      <c r="K116" s="245"/>
      <c r="L116" s="245"/>
    </row>
    <row r="117" spans="1:12" ht="15" customHeight="1" x14ac:dyDescent="0.25">
      <c r="A117" t="s">
        <v>138</v>
      </c>
      <c r="B117" s="263">
        <v>19.771999999999998</v>
      </c>
      <c r="C117" s="263">
        <f t="shared" si="4"/>
        <v>3.0893749999999998E-2</v>
      </c>
      <c r="D117" s="264" t="s">
        <v>48</v>
      </c>
      <c r="E117" s="264" t="s">
        <v>48</v>
      </c>
      <c r="F117" s="237" t="s">
        <v>691</v>
      </c>
      <c r="G117" s="131" t="s">
        <v>5</v>
      </c>
      <c r="H117" s="139">
        <v>0</v>
      </c>
      <c r="I117" s="115" t="str">
        <f>IF(EXACT(F117, G117), "none", IF(ISNUMBER(MATCH(G117, 'MP Analysis Input'!$A$15:$A$21, 0)), "soft", "hard"))</f>
        <v>hard</v>
      </c>
      <c r="J117" s="124"/>
      <c r="K117" s="245"/>
      <c r="L117" s="245"/>
    </row>
    <row r="118" spans="1:12" ht="15" customHeight="1" x14ac:dyDescent="0.25">
      <c r="A118" t="s">
        <v>139</v>
      </c>
      <c r="B118" s="263">
        <v>23.013000000000002</v>
      </c>
      <c r="C118" s="263">
        <f t="shared" si="4"/>
        <v>3.5957812500000005E-2</v>
      </c>
      <c r="D118" s="264" t="s">
        <v>48</v>
      </c>
      <c r="E118" s="264" t="s">
        <v>48</v>
      </c>
      <c r="F118" s="237" t="s">
        <v>691</v>
      </c>
      <c r="G118" s="131" t="s">
        <v>5</v>
      </c>
      <c r="H118" s="139">
        <v>0</v>
      </c>
      <c r="I118" s="115" t="str">
        <f>IF(EXACT(F118, G118), "none", IF(ISNUMBER(MATCH(G118, 'MP Analysis Input'!$A$15:$A$21, 0)), "soft", "hard"))</f>
        <v>hard</v>
      </c>
      <c r="J118" s="124"/>
      <c r="K118" s="245"/>
      <c r="L118" s="245"/>
    </row>
    <row r="119" spans="1:12" ht="15" customHeight="1" x14ac:dyDescent="0.25">
      <c r="A119" t="s">
        <v>140</v>
      </c>
      <c r="B119" s="263">
        <v>62.124000000000002</v>
      </c>
      <c r="C119" s="263">
        <f t="shared" si="4"/>
        <v>9.7068750000000009E-2</v>
      </c>
      <c r="D119" s="264" t="s">
        <v>48</v>
      </c>
      <c r="E119" s="264" t="s">
        <v>48</v>
      </c>
      <c r="F119" s="237" t="s">
        <v>691</v>
      </c>
      <c r="G119" s="131" t="s">
        <v>5</v>
      </c>
      <c r="H119" s="139">
        <v>0</v>
      </c>
      <c r="I119" s="115" t="str">
        <f>IF(EXACT(F119, G119), "none", IF(ISNUMBER(MATCH(G119, 'MP Analysis Input'!$A$15:$A$21, 0)), "soft", "hard"))</f>
        <v>hard</v>
      </c>
      <c r="J119" s="124"/>
      <c r="K119" s="245"/>
      <c r="L119" s="245"/>
    </row>
    <row r="120" spans="1:12" ht="15" customHeight="1" x14ac:dyDescent="0.25">
      <c r="A120" t="s">
        <v>141</v>
      </c>
      <c r="B120" s="263">
        <v>18.916</v>
      </c>
      <c r="C120" s="263">
        <f t="shared" si="4"/>
        <v>2.9556250000000003E-2</v>
      </c>
      <c r="D120" s="264" t="s">
        <v>48</v>
      </c>
      <c r="E120" s="264" t="s">
        <v>48</v>
      </c>
      <c r="F120" s="237" t="s">
        <v>691</v>
      </c>
      <c r="G120" s="131" t="s">
        <v>5</v>
      </c>
      <c r="H120" s="139">
        <v>0</v>
      </c>
      <c r="I120" s="115" t="str">
        <f>IF(EXACT(F120, G120), "none", IF(ISNUMBER(MATCH(G120, 'MP Analysis Input'!$A$15:$A$21, 0)), "soft", "hard"))</f>
        <v>hard</v>
      </c>
      <c r="J120" s="124"/>
      <c r="K120" s="245"/>
      <c r="L120" s="245"/>
    </row>
    <row r="121" spans="1:12" ht="15" customHeight="1" x14ac:dyDescent="0.25">
      <c r="A121" t="s">
        <v>142</v>
      </c>
      <c r="B121" s="263">
        <v>11.4</v>
      </c>
      <c r="C121" s="263">
        <f t="shared" si="4"/>
        <v>1.7812500000000002E-2</v>
      </c>
      <c r="D121" s="264" t="s">
        <v>48</v>
      </c>
      <c r="E121" s="264" t="s">
        <v>48</v>
      </c>
      <c r="F121" s="237" t="s">
        <v>691</v>
      </c>
      <c r="G121" s="131" t="s">
        <v>5</v>
      </c>
      <c r="H121" s="139">
        <v>0</v>
      </c>
      <c r="I121" s="115" t="str">
        <f>IF(EXACT(F121, G121), "none", IF(ISNUMBER(MATCH(G121, 'MP Analysis Input'!$A$15:$A$21, 0)), "soft", "hard"))</f>
        <v>hard</v>
      </c>
      <c r="J121" s="124"/>
      <c r="K121" s="245"/>
      <c r="L121" s="245"/>
    </row>
    <row r="122" spans="1:12" ht="15" customHeight="1" x14ac:dyDescent="0.25">
      <c r="A122" t="s">
        <v>143</v>
      </c>
      <c r="B122" s="263">
        <v>192.54499999999999</v>
      </c>
      <c r="C122" s="263">
        <f t="shared" si="4"/>
        <v>0.3008515625</v>
      </c>
      <c r="D122" s="264" t="s">
        <v>48</v>
      </c>
      <c r="E122" s="264" t="s">
        <v>48</v>
      </c>
      <c r="F122" s="237" t="s">
        <v>691</v>
      </c>
      <c r="G122" s="131" t="s">
        <v>5</v>
      </c>
      <c r="H122" s="139">
        <v>0</v>
      </c>
      <c r="I122" s="115" t="str">
        <f>IF(EXACT(F122, G122), "none", IF(ISNUMBER(MATCH(G122, 'MP Analysis Input'!$A$15:$A$21, 0)), "soft", "hard"))</f>
        <v>hard</v>
      </c>
      <c r="J122" s="124"/>
      <c r="K122" s="245"/>
      <c r="L122" s="245"/>
    </row>
    <row r="123" spans="1:12" ht="15" customHeight="1" x14ac:dyDescent="0.25">
      <c r="A123" t="s">
        <v>144</v>
      </c>
      <c r="B123" s="263">
        <v>13.319000000000001</v>
      </c>
      <c r="C123" s="263">
        <f t="shared" si="4"/>
        <v>2.0810937500000001E-2</v>
      </c>
      <c r="D123" s="264" t="s">
        <v>48</v>
      </c>
      <c r="E123" s="264" t="s">
        <v>48</v>
      </c>
      <c r="F123" s="237" t="s">
        <v>691</v>
      </c>
      <c r="G123" s="131" t="s">
        <v>5</v>
      </c>
      <c r="H123" s="139">
        <v>0</v>
      </c>
      <c r="I123" s="115" t="str">
        <f>IF(EXACT(F123, G123), "none", IF(ISNUMBER(MATCH(G123, 'MP Analysis Input'!$A$15:$A$21, 0)), "soft", "hard"))</f>
        <v>hard</v>
      </c>
      <c r="J123" s="124"/>
      <c r="K123" s="245"/>
      <c r="L123" s="245"/>
    </row>
    <row r="124" spans="1:12" ht="15" customHeight="1" x14ac:dyDescent="0.25">
      <c r="A124" t="s">
        <v>145</v>
      </c>
      <c r="B124" s="263">
        <v>7.54</v>
      </c>
      <c r="C124" s="263">
        <f t="shared" si="4"/>
        <v>1.178125E-2</v>
      </c>
      <c r="D124" s="264" t="s">
        <v>48</v>
      </c>
      <c r="E124" s="264" t="s">
        <v>48</v>
      </c>
      <c r="F124" s="237" t="s">
        <v>691</v>
      </c>
      <c r="G124" s="131" t="s">
        <v>5</v>
      </c>
      <c r="H124" s="139">
        <v>0</v>
      </c>
      <c r="I124" s="115" t="str">
        <f>IF(EXACT(F124, G124), "none", IF(ISNUMBER(MATCH(G124, 'MP Analysis Input'!$A$15:$A$21, 0)), "soft", "hard"))</f>
        <v>hard</v>
      </c>
      <c r="J124" s="124"/>
      <c r="K124" s="245"/>
      <c r="L124" s="245"/>
    </row>
    <row r="125" spans="1:12" ht="15" customHeight="1" x14ac:dyDescent="0.25">
      <c r="A125" t="s">
        <v>146</v>
      </c>
      <c r="B125" s="263">
        <v>174.50299999999999</v>
      </c>
      <c r="C125" s="263">
        <f t="shared" si="4"/>
        <v>0.27266093749999998</v>
      </c>
      <c r="D125" s="264" t="s">
        <v>48</v>
      </c>
      <c r="E125" s="264" t="s">
        <v>48</v>
      </c>
      <c r="F125" s="237" t="s">
        <v>692</v>
      </c>
      <c r="G125" s="131" t="s">
        <v>5</v>
      </c>
      <c r="H125" s="139">
        <v>0</v>
      </c>
      <c r="I125" s="115" t="str">
        <f>IF(EXACT(F125, G125), "none", IF(ISNUMBER(MATCH(G125, 'MP Analysis Input'!$A$15:$A$21, 0)), "soft", "hard"))</f>
        <v>hard</v>
      </c>
      <c r="J125" s="124"/>
      <c r="K125" s="245"/>
      <c r="L125" s="245"/>
    </row>
    <row r="126" spans="1:12" ht="15" customHeight="1" x14ac:dyDescent="0.25">
      <c r="A126" t="s">
        <v>147</v>
      </c>
      <c r="B126" s="263">
        <v>38.743000000000002</v>
      </c>
      <c r="C126" s="263">
        <f t="shared" si="4"/>
        <v>6.0535937500000005E-2</v>
      </c>
      <c r="D126" s="264" t="s">
        <v>48</v>
      </c>
      <c r="E126" s="264" t="s">
        <v>48</v>
      </c>
      <c r="F126" s="237" t="s">
        <v>692</v>
      </c>
      <c r="G126" s="131" t="s">
        <v>5</v>
      </c>
      <c r="H126" s="139">
        <v>0</v>
      </c>
      <c r="I126" s="115" t="str">
        <f>IF(EXACT(F126, G126), "none", IF(ISNUMBER(MATCH(G126, 'MP Analysis Input'!$A$15:$A$21, 0)), "soft", "hard"))</f>
        <v>hard</v>
      </c>
      <c r="J126" s="124"/>
      <c r="K126" s="245"/>
      <c r="L126" s="245"/>
    </row>
    <row r="127" spans="1:12" ht="15" customHeight="1" x14ac:dyDescent="0.25">
      <c r="A127" t="s">
        <v>148</v>
      </c>
      <c r="B127" s="263">
        <v>19.064</v>
      </c>
      <c r="C127" s="263">
        <f t="shared" si="4"/>
        <v>2.9787500000000001E-2</v>
      </c>
      <c r="D127" s="264" t="s">
        <v>48</v>
      </c>
      <c r="E127" s="264" t="s">
        <v>48</v>
      </c>
      <c r="F127" s="237" t="s">
        <v>692</v>
      </c>
      <c r="G127" s="131" t="s">
        <v>5</v>
      </c>
      <c r="H127" s="139">
        <v>0</v>
      </c>
      <c r="I127" s="115" t="str">
        <f>IF(EXACT(F127, G127), "none", IF(ISNUMBER(MATCH(G127, 'MP Analysis Input'!$A$15:$A$21, 0)), "soft", "hard"))</f>
        <v>hard</v>
      </c>
      <c r="J127" s="124"/>
      <c r="K127" s="245"/>
      <c r="L127" s="245"/>
    </row>
    <row r="128" spans="1:12" ht="15" customHeight="1" x14ac:dyDescent="0.25">
      <c r="A128" t="s">
        <v>149</v>
      </c>
      <c r="B128" s="263">
        <v>69.334000000000003</v>
      </c>
      <c r="C128" s="263">
        <f t="shared" si="4"/>
        <v>0.10833437500000001</v>
      </c>
      <c r="D128" s="264" t="s">
        <v>48</v>
      </c>
      <c r="E128" s="264" t="s">
        <v>48</v>
      </c>
      <c r="F128" s="237" t="s">
        <v>692</v>
      </c>
      <c r="G128" s="131" t="s">
        <v>5</v>
      </c>
      <c r="H128" s="139">
        <v>0</v>
      </c>
      <c r="I128" s="115" t="str">
        <f>IF(EXACT(F128, G128), "none", IF(ISNUMBER(MATCH(G128, 'MP Analysis Input'!$A$15:$A$21, 0)), "soft", "hard"))</f>
        <v>hard</v>
      </c>
      <c r="J128" s="124"/>
      <c r="K128" s="245"/>
      <c r="L128" s="245"/>
    </row>
    <row r="129" spans="1:12" ht="15" customHeight="1" x14ac:dyDescent="0.25">
      <c r="A129" t="s">
        <v>150</v>
      </c>
      <c r="B129" s="263">
        <v>220.75800000000001</v>
      </c>
      <c r="C129" s="263">
        <f t="shared" si="4"/>
        <v>0.34493437500000002</v>
      </c>
      <c r="D129" s="264" t="s">
        <v>40</v>
      </c>
      <c r="E129" s="264" t="s">
        <v>40</v>
      </c>
      <c r="F129" s="237" t="s">
        <v>40</v>
      </c>
      <c r="G129" s="131" t="s">
        <v>34</v>
      </c>
      <c r="H129" s="139">
        <v>1</v>
      </c>
      <c r="I129" s="115" t="str">
        <f>IF(EXACT(F129, G129), "none", IF(ISNUMBER(MATCH(G129, 'MP Analysis Input'!$A$15:$A$21, 0)), "soft", "hard"))</f>
        <v>hard</v>
      </c>
      <c r="J129" s="124"/>
      <c r="K129" s="245"/>
      <c r="L129" s="245"/>
    </row>
    <row r="130" spans="1:12" ht="15" customHeight="1" x14ac:dyDescent="0.25">
      <c r="A130" t="s">
        <v>151</v>
      </c>
      <c r="B130" s="263">
        <v>363.166</v>
      </c>
      <c r="C130" s="263">
        <f t="shared" si="4"/>
        <v>0.56744687500000002</v>
      </c>
      <c r="D130" s="264" t="s">
        <v>40</v>
      </c>
      <c r="E130" s="264" t="s">
        <v>40</v>
      </c>
      <c r="F130" s="237" t="s">
        <v>40</v>
      </c>
      <c r="G130" s="131" t="s">
        <v>34</v>
      </c>
      <c r="H130" s="139">
        <v>1</v>
      </c>
      <c r="I130" s="115" t="str">
        <f>IF(EXACT(F130, G130), "none", IF(ISNUMBER(MATCH(G130, 'MP Analysis Input'!$A$15:$A$21, 0)), "soft", "hard"))</f>
        <v>hard</v>
      </c>
      <c r="J130" s="124"/>
      <c r="K130" s="245"/>
      <c r="L130" s="245"/>
    </row>
    <row r="131" spans="1:12" ht="15" customHeight="1" x14ac:dyDescent="0.25">
      <c r="A131" t="s">
        <v>152</v>
      </c>
      <c r="B131" s="263">
        <v>118.499</v>
      </c>
      <c r="C131" s="263">
        <f t="shared" si="4"/>
        <v>0.1851546875</v>
      </c>
      <c r="D131" s="264" t="s">
        <v>40</v>
      </c>
      <c r="E131" s="264" t="s">
        <v>40</v>
      </c>
      <c r="F131" s="237" t="s">
        <v>97</v>
      </c>
      <c r="G131" s="131" t="s">
        <v>97</v>
      </c>
      <c r="H131" s="139">
        <v>0</v>
      </c>
      <c r="I131" s="115" t="str">
        <f>IF(EXACT(F131, G131), "none", IF(ISNUMBER(MATCH(G131, 'MP Analysis Input'!$A$15:$A$21, 0)), "soft", "hard"))</f>
        <v>none</v>
      </c>
      <c r="J131" s="124"/>
      <c r="K131" s="245"/>
      <c r="L131" s="245"/>
    </row>
    <row r="132" spans="1:12" ht="15" customHeight="1" x14ac:dyDescent="0.25">
      <c r="A132" t="s">
        <v>153</v>
      </c>
      <c r="B132" s="263">
        <v>259.24700000000001</v>
      </c>
      <c r="C132" s="263">
        <f t="shared" si="4"/>
        <v>0.40507343750000002</v>
      </c>
      <c r="D132" s="264" t="s">
        <v>40</v>
      </c>
      <c r="E132" s="264" t="s">
        <v>40</v>
      </c>
      <c r="F132" s="237" t="s">
        <v>52</v>
      </c>
      <c r="G132" s="131" t="s">
        <v>52</v>
      </c>
      <c r="H132" s="139">
        <v>0</v>
      </c>
      <c r="I132" s="115" t="str">
        <f>IF(EXACT(F132, G132), "none", IF(ISNUMBER(MATCH(G132, 'MP Analysis Input'!$A$15:$A$21, 0)), "soft", "hard"))</f>
        <v>none</v>
      </c>
      <c r="J132" s="124"/>
      <c r="K132" s="245"/>
      <c r="L132" s="245"/>
    </row>
    <row r="133" spans="1:12" ht="15" customHeight="1" x14ac:dyDescent="0.25">
      <c r="A133" t="s">
        <v>154</v>
      </c>
      <c r="B133" s="263">
        <v>108.56699999999999</v>
      </c>
      <c r="C133" s="263">
        <f t="shared" si="4"/>
        <v>0.1696359375</v>
      </c>
      <c r="D133" s="264" t="s">
        <v>48</v>
      </c>
      <c r="E133" s="264" t="s">
        <v>48</v>
      </c>
      <c r="F133" s="237" t="s">
        <v>48</v>
      </c>
      <c r="G133" s="131" t="s">
        <v>4</v>
      </c>
      <c r="H133" s="139">
        <v>1</v>
      </c>
      <c r="I133" s="115" t="str">
        <f>IF(EXACT(F133, G133), "none", IF(ISNUMBER(MATCH(G133, 'MP Analysis Input'!$A$15:$A$21, 0)), "soft", "hard"))</f>
        <v>hard</v>
      </c>
      <c r="J133" s="124"/>
      <c r="K133" s="245"/>
      <c r="L133" s="245"/>
    </row>
    <row r="134" spans="1:12" ht="15" customHeight="1" x14ac:dyDescent="0.25">
      <c r="A134" t="s">
        <v>155</v>
      </c>
      <c r="B134" s="263">
        <v>55.082999999999998</v>
      </c>
      <c r="C134" s="263">
        <f t="shared" si="4"/>
        <v>8.6067187500000003E-2</v>
      </c>
      <c r="D134" s="264" t="s">
        <v>48</v>
      </c>
      <c r="E134" s="264" t="s">
        <v>48</v>
      </c>
      <c r="F134" s="237" t="s">
        <v>52</v>
      </c>
      <c r="G134" s="131" t="s">
        <v>52</v>
      </c>
      <c r="H134" s="139">
        <v>0</v>
      </c>
      <c r="I134" s="115" t="str">
        <f>IF(EXACT(F134, G134), "none", IF(ISNUMBER(MATCH(G134, 'MP Analysis Input'!$A$15:$A$21, 0)), "soft", "hard"))</f>
        <v>none</v>
      </c>
      <c r="J134" s="124"/>
      <c r="K134" s="245"/>
      <c r="L134" s="245"/>
    </row>
    <row r="135" spans="1:12" ht="15" customHeight="1" x14ac:dyDescent="0.25">
      <c r="A135" t="s">
        <v>156</v>
      </c>
      <c r="B135" s="263">
        <v>226.95500000000001</v>
      </c>
      <c r="C135" s="263">
        <f t="shared" si="4"/>
        <v>0.35461718750000004</v>
      </c>
      <c r="D135" s="264" t="s">
        <v>48</v>
      </c>
      <c r="E135" s="264" t="s">
        <v>48</v>
      </c>
      <c r="F135" s="265" t="s">
        <v>693</v>
      </c>
      <c r="G135" s="131" t="s">
        <v>157</v>
      </c>
      <c r="H135" s="139">
        <v>0</v>
      </c>
      <c r="I135" s="115" t="str">
        <f>IF(EXACT(F135, G135), "none", IF(ISNUMBER(MATCH(G135, 'MP Analysis Input'!$A$15:$A$21, 0)), "soft", "hard"))</f>
        <v>hard</v>
      </c>
      <c r="J135" s="124"/>
      <c r="K135" s="245"/>
      <c r="L135" s="245"/>
    </row>
    <row r="136" spans="1:12" ht="15" customHeight="1" x14ac:dyDescent="0.25">
      <c r="A136" t="s">
        <v>158</v>
      </c>
      <c r="B136" s="263">
        <v>39.997</v>
      </c>
      <c r="C136" s="263">
        <f t="shared" si="4"/>
        <v>6.2495312500000004E-2</v>
      </c>
      <c r="D136" s="264" t="s">
        <v>48</v>
      </c>
      <c r="E136" s="264" t="s">
        <v>48</v>
      </c>
      <c r="F136" s="265" t="s">
        <v>693</v>
      </c>
      <c r="G136" s="131" t="s">
        <v>157</v>
      </c>
      <c r="H136" s="139">
        <v>0</v>
      </c>
      <c r="I136" s="115" t="str">
        <f>IF(EXACT(F136, G136), "none", IF(ISNUMBER(MATCH(G136, 'MP Analysis Input'!$A$15:$A$21, 0)), "soft", "hard"))</f>
        <v>hard</v>
      </c>
      <c r="J136" s="124"/>
      <c r="K136" s="245"/>
      <c r="L136" s="245"/>
    </row>
    <row r="137" spans="1:12" ht="15" customHeight="1" x14ac:dyDescent="0.25">
      <c r="A137" t="s">
        <v>159</v>
      </c>
      <c r="B137" s="263">
        <v>422.64</v>
      </c>
      <c r="C137" s="263">
        <f t="shared" si="4"/>
        <v>0.66037500000000005</v>
      </c>
      <c r="D137" s="264" t="s">
        <v>48</v>
      </c>
      <c r="E137" s="264" t="s">
        <v>48</v>
      </c>
      <c r="F137" s="265" t="s">
        <v>693</v>
      </c>
      <c r="G137" s="131" t="s">
        <v>157</v>
      </c>
      <c r="H137" s="139">
        <v>0</v>
      </c>
      <c r="I137" s="115" t="str">
        <f>IF(EXACT(F137, G137), "none", IF(ISNUMBER(MATCH(G137, 'MP Analysis Input'!$A$15:$A$21, 0)), "soft", "hard"))</f>
        <v>hard</v>
      </c>
      <c r="J137" s="124"/>
      <c r="K137" s="245"/>
      <c r="L137" s="245"/>
    </row>
    <row r="138" spans="1:12" ht="15" customHeight="1" x14ac:dyDescent="0.25">
      <c r="A138" t="s">
        <v>160</v>
      </c>
      <c r="B138" s="263">
        <v>318.37</v>
      </c>
      <c r="C138" s="263">
        <f t="shared" si="4"/>
        <v>0.49745312500000005</v>
      </c>
      <c r="D138" s="264" t="s">
        <v>40</v>
      </c>
      <c r="E138" s="264" t="s">
        <v>40</v>
      </c>
      <c r="F138" s="237" t="s">
        <v>40</v>
      </c>
      <c r="G138" s="131" t="s">
        <v>34</v>
      </c>
      <c r="H138" s="139">
        <v>1</v>
      </c>
      <c r="I138" s="115" t="str">
        <f>IF(EXACT(F138, G138), "none", IF(ISNUMBER(MATCH(G138, 'MP Analysis Input'!$A$15:$A$21, 0)), "soft", "hard"))</f>
        <v>hard</v>
      </c>
      <c r="J138" s="124"/>
      <c r="K138" s="245"/>
      <c r="L138" s="245"/>
    </row>
    <row r="139" spans="1:12" ht="15" customHeight="1" x14ac:dyDescent="0.25">
      <c r="A139" t="s">
        <v>161</v>
      </c>
      <c r="B139" s="263">
        <v>173.619</v>
      </c>
      <c r="C139" s="263">
        <f t="shared" si="4"/>
        <v>0.27127968750000003</v>
      </c>
      <c r="D139" s="264" t="s">
        <v>40</v>
      </c>
      <c r="E139" s="264" t="s">
        <v>40</v>
      </c>
      <c r="F139" s="237" t="s">
        <v>40</v>
      </c>
      <c r="G139" s="131" t="s">
        <v>34</v>
      </c>
      <c r="H139" s="139">
        <v>4</v>
      </c>
      <c r="I139" s="115" t="str">
        <f>IF(EXACT(F139, G139), "none", IF(ISNUMBER(MATCH(G139, 'MP Analysis Input'!$A$15:$A$21, 0)), "soft", "hard"))</f>
        <v>hard</v>
      </c>
      <c r="J139" s="124"/>
      <c r="K139" s="245"/>
      <c r="L139" s="245"/>
    </row>
    <row r="140" spans="1:12" ht="15" customHeight="1" x14ac:dyDescent="0.25">
      <c r="A140" t="s">
        <v>162</v>
      </c>
      <c r="B140" s="263">
        <v>74.540999999999997</v>
      </c>
      <c r="C140" s="263">
        <f t="shared" si="4"/>
        <v>0.11647031250000001</v>
      </c>
      <c r="D140" s="264" t="s">
        <v>36</v>
      </c>
      <c r="E140" s="264" t="s">
        <v>36</v>
      </c>
      <c r="F140" s="265" t="s">
        <v>694</v>
      </c>
      <c r="G140" s="131" t="s">
        <v>5</v>
      </c>
      <c r="H140" s="139">
        <v>0</v>
      </c>
      <c r="I140" s="115" t="str">
        <f>IF(EXACT(F140, G140), "none", IF(ISNUMBER(MATCH(G140, 'MP Analysis Input'!$A$15:$A$21, 0)), "soft", "hard"))</f>
        <v>hard</v>
      </c>
      <c r="J140" s="124"/>
      <c r="K140" s="245"/>
      <c r="L140" s="245"/>
    </row>
    <row r="141" spans="1:12" ht="15" customHeight="1" x14ac:dyDescent="0.25">
      <c r="A141" t="s">
        <v>163</v>
      </c>
      <c r="B141" s="263">
        <v>38.154000000000003</v>
      </c>
      <c r="C141" s="263">
        <f t="shared" si="4"/>
        <v>5.9615625000000005E-2</v>
      </c>
      <c r="D141" s="264" t="s">
        <v>36</v>
      </c>
      <c r="E141" s="264" t="s">
        <v>36</v>
      </c>
      <c r="F141" s="265" t="s">
        <v>694</v>
      </c>
      <c r="G141" s="131" t="s">
        <v>5</v>
      </c>
      <c r="H141" s="139">
        <v>0</v>
      </c>
      <c r="I141" s="115" t="str">
        <f>IF(EXACT(F141, G141), "none", IF(ISNUMBER(MATCH(G141, 'MP Analysis Input'!$A$15:$A$21, 0)), "soft", "hard"))</f>
        <v>hard</v>
      </c>
      <c r="J141" s="124"/>
      <c r="K141" s="245"/>
      <c r="L141" s="245"/>
    </row>
    <row r="142" spans="1:12" ht="15" customHeight="1" x14ac:dyDescent="0.25">
      <c r="A142" t="s">
        <v>164</v>
      </c>
      <c r="B142" s="263">
        <v>604.01400000000001</v>
      </c>
      <c r="C142" s="263">
        <f t="shared" si="4"/>
        <v>0.94377187500000004</v>
      </c>
      <c r="D142" s="264" t="s">
        <v>36</v>
      </c>
      <c r="E142" s="264" t="s">
        <v>36</v>
      </c>
      <c r="F142" s="237" t="s">
        <v>34</v>
      </c>
      <c r="G142" s="131" t="s">
        <v>34</v>
      </c>
      <c r="H142" s="139">
        <v>0</v>
      </c>
      <c r="I142" s="115" t="str">
        <f>IF(EXACT(F142, G142), "none", IF(ISNUMBER(MATCH(G142, 'MP Analysis Input'!$A$15:$A$21, 0)), "soft", "hard"))</f>
        <v>none</v>
      </c>
      <c r="J142" s="124"/>
      <c r="K142" s="245"/>
      <c r="L142" s="245"/>
    </row>
    <row r="143" spans="1:12" ht="15" customHeight="1" x14ac:dyDescent="0.25">
      <c r="A143" t="s">
        <v>165</v>
      </c>
      <c r="B143" s="263">
        <v>67.614000000000004</v>
      </c>
      <c r="C143" s="263">
        <f t="shared" si="4"/>
        <v>0.10564687500000002</v>
      </c>
      <c r="D143" s="264" t="s">
        <v>40</v>
      </c>
      <c r="E143" s="264" t="s">
        <v>40</v>
      </c>
      <c r="F143" s="237" t="s">
        <v>34</v>
      </c>
      <c r="G143" s="131" t="s">
        <v>34</v>
      </c>
      <c r="H143" s="139">
        <v>0</v>
      </c>
      <c r="I143" s="115" t="str">
        <f>IF(EXACT(F143, G143), "none", IF(ISNUMBER(MATCH(G143, 'MP Analysis Input'!$A$15:$A$21, 0)), "soft", "hard"))</f>
        <v>none</v>
      </c>
      <c r="J143" s="124"/>
      <c r="K143" s="245"/>
      <c r="L143" s="245"/>
    </row>
    <row r="144" spans="1:12" ht="15" customHeight="1" x14ac:dyDescent="0.25">
      <c r="A144" t="s">
        <v>166</v>
      </c>
      <c r="B144" s="263">
        <v>91.647000000000006</v>
      </c>
      <c r="C144" s="263">
        <f t="shared" si="4"/>
        <v>0.14319843750000003</v>
      </c>
      <c r="D144" s="264" t="s">
        <v>40</v>
      </c>
      <c r="E144" s="264" t="s">
        <v>40</v>
      </c>
      <c r="F144" s="237" t="s">
        <v>34</v>
      </c>
      <c r="G144" s="131" t="s">
        <v>34</v>
      </c>
      <c r="H144" s="139">
        <v>0</v>
      </c>
      <c r="I144" s="115" t="str">
        <f>IF(EXACT(F144, G144), "none", IF(ISNUMBER(MATCH(G144, 'MP Analysis Input'!$A$15:$A$21, 0)), "soft", "hard"))</f>
        <v>none</v>
      </c>
      <c r="J144" s="124"/>
      <c r="K144" s="245"/>
      <c r="L144" s="245"/>
    </row>
    <row r="145" spans="1:12" ht="15" customHeight="1" x14ac:dyDescent="0.25">
      <c r="A145" t="s">
        <v>167</v>
      </c>
      <c r="B145" s="263">
        <v>31.122</v>
      </c>
      <c r="C145" s="263">
        <f t="shared" si="4"/>
        <v>4.8628125000000001E-2</v>
      </c>
      <c r="D145" s="264" t="s">
        <v>36</v>
      </c>
      <c r="E145" s="264" t="s">
        <v>36</v>
      </c>
      <c r="F145" s="237" t="s">
        <v>34</v>
      </c>
      <c r="G145" s="131" t="s">
        <v>34</v>
      </c>
      <c r="H145" s="139">
        <v>0</v>
      </c>
      <c r="I145" s="115" t="str">
        <f>IF(EXACT(F145, G145), "none", IF(ISNUMBER(MATCH(G145, 'MP Analysis Input'!$A$15:$A$21, 0)), "soft", "hard"))</f>
        <v>none</v>
      </c>
      <c r="J145" s="124"/>
      <c r="K145" s="245"/>
      <c r="L145" s="245"/>
    </row>
    <row r="146" spans="1:12" ht="15" customHeight="1" x14ac:dyDescent="0.25">
      <c r="A146" t="s">
        <v>168</v>
      </c>
      <c r="B146" s="263">
        <v>161.40799999999999</v>
      </c>
      <c r="C146" s="263">
        <f t="shared" si="4"/>
        <v>0.25219999999999998</v>
      </c>
      <c r="D146" s="264" t="s">
        <v>48</v>
      </c>
      <c r="E146" s="264" t="s">
        <v>48</v>
      </c>
      <c r="F146" s="265" t="s">
        <v>695</v>
      </c>
      <c r="G146" s="131" t="s">
        <v>5</v>
      </c>
      <c r="H146" s="139">
        <v>0</v>
      </c>
      <c r="I146" s="115" t="str">
        <f>IF(EXACT(F146, G146), "none", IF(ISNUMBER(MATCH(G146, 'MP Analysis Input'!$A$15:$A$21, 0)), "soft", "hard"))</f>
        <v>hard</v>
      </c>
      <c r="J146" s="124"/>
      <c r="K146" s="245"/>
      <c r="L146" s="245"/>
    </row>
    <row r="147" spans="1:12" ht="15" customHeight="1" x14ac:dyDescent="0.25">
      <c r="A147" t="s">
        <v>169</v>
      </c>
      <c r="B147" s="263">
        <v>128.26599999999999</v>
      </c>
      <c r="C147" s="263">
        <f t="shared" si="4"/>
        <v>0.20041562499999999</v>
      </c>
      <c r="D147" s="264" t="s">
        <v>48</v>
      </c>
      <c r="E147" s="264" t="s">
        <v>48</v>
      </c>
      <c r="F147" s="265" t="s">
        <v>695</v>
      </c>
      <c r="G147" s="131" t="s">
        <v>5</v>
      </c>
      <c r="H147" s="139">
        <v>0</v>
      </c>
      <c r="I147" s="115" t="str">
        <f>IF(EXACT(F147, G147), "none", IF(ISNUMBER(MATCH(G147, 'MP Analysis Input'!$A$15:$A$21, 0)), "soft", "hard"))</f>
        <v>hard</v>
      </c>
      <c r="J147" s="124"/>
      <c r="K147" s="245"/>
      <c r="L147" s="245"/>
    </row>
    <row r="148" spans="1:12" ht="15" customHeight="1" x14ac:dyDescent="0.25">
      <c r="A148" t="s">
        <v>170</v>
      </c>
      <c r="B148" s="263">
        <v>181.74</v>
      </c>
      <c r="C148" s="263">
        <f t="shared" si="4"/>
        <v>0.28396875000000005</v>
      </c>
      <c r="D148" s="264" t="s">
        <v>48</v>
      </c>
      <c r="E148" s="264" t="s">
        <v>48</v>
      </c>
      <c r="F148" s="265" t="s">
        <v>696</v>
      </c>
      <c r="G148" s="131" t="s">
        <v>5</v>
      </c>
      <c r="H148" s="139">
        <v>0</v>
      </c>
      <c r="I148" s="115" t="str">
        <f>IF(EXACT(F148, G148), "none", IF(ISNUMBER(MATCH(G148, 'MP Analysis Input'!$A$15:$A$21, 0)), "soft", "hard"))</f>
        <v>hard</v>
      </c>
      <c r="J148" s="124"/>
      <c r="K148" s="245"/>
      <c r="L148" s="245"/>
    </row>
    <row r="149" spans="1:12" ht="15" customHeight="1" x14ac:dyDescent="0.25">
      <c r="A149" t="s">
        <v>171</v>
      </c>
      <c r="B149" s="263">
        <v>177.11799999999999</v>
      </c>
      <c r="C149" s="263">
        <f t="shared" si="4"/>
        <v>0.276746875</v>
      </c>
      <c r="D149" s="264" t="s">
        <v>48</v>
      </c>
      <c r="E149" s="264" t="s">
        <v>48</v>
      </c>
      <c r="F149" s="265" t="s">
        <v>696</v>
      </c>
      <c r="G149" s="131" t="s">
        <v>5</v>
      </c>
      <c r="H149" s="139">
        <v>0</v>
      </c>
      <c r="I149" s="115" t="str">
        <f>IF(EXACT(F149, G149), "none", IF(ISNUMBER(MATCH(G149, 'MP Analysis Input'!$A$15:$A$21, 0)), "soft", "hard"))</f>
        <v>hard</v>
      </c>
      <c r="J149" s="124"/>
      <c r="K149" s="245"/>
      <c r="L149" s="245"/>
    </row>
    <row r="150" spans="1:12" ht="15" customHeight="1" x14ac:dyDescent="0.25">
      <c r="A150" t="s">
        <v>172</v>
      </c>
      <c r="B150" s="263">
        <v>274.81900000000002</v>
      </c>
      <c r="C150" s="263">
        <f t="shared" si="4"/>
        <v>0.42940468750000005</v>
      </c>
      <c r="D150" s="264" t="s">
        <v>40</v>
      </c>
      <c r="E150" s="264" t="s">
        <v>40</v>
      </c>
      <c r="F150" s="237" t="s">
        <v>40</v>
      </c>
      <c r="G150" s="131" t="s">
        <v>34</v>
      </c>
      <c r="H150" s="139">
        <v>1</v>
      </c>
      <c r="I150" s="115" t="str">
        <f>IF(EXACT(F150, G150), "none", IF(ISNUMBER(MATCH(G150, 'MP Analysis Input'!$A$15:$A$21, 0)), "soft", "hard"))</f>
        <v>hard</v>
      </c>
      <c r="J150" s="124"/>
      <c r="K150" s="245"/>
      <c r="L150" s="245"/>
    </row>
    <row r="151" spans="1:12" ht="15" customHeight="1" x14ac:dyDescent="0.25">
      <c r="A151" t="s">
        <v>173</v>
      </c>
      <c r="B151" s="263">
        <v>248.619</v>
      </c>
      <c r="C151" s="263">
        <f t="shared" si="4"/>
        <v>0.38846718750000003</v>
      </c>
      <c r="D151" s="264" t="s">
        <v>40</v>
      </c>
      <c r="E151" s="264" t="s">
        <v>40</v>
      </c>
      <c r="F151" s="237" t="s">
        <v>40</v>
      </c>
      <c r="G151" s="131" t="s">
        <v>4</v>
      </c>
      <c r="H151" s="139">
        <v>3</v>
      </c>
      <c r="I151" s="115" t="str">
        <f>IF(EXACT(F151, G151), "none", IF(ISNUMBER(MATCH(G151, 'MP Analysis Input'!$A$15:$A$21, 0)), "soft", "hard"))</f>
        <v>hard</v>
      </c>
      <c r="J151" s="124"/>
      <c r="K151" s="245"/>
      <c r="L151" s="245"/>
    </row>
    <row r="152" spans="1:12" ht="15" customHeight="1" x14ac:dyDescent="0.25">
      <c r="A152" t="s">
        <v>174</v>
      </c>
      <c r="B152" s="263">
        <v>143.232</v>
      </c>
      <c r="C152" s="263">
        <f t="shared" ref="C152:C218" si="5">B152*0.0015625</f>
        <v>0.2238</v>
      </c>
      <c r="D152" s="264" t="s">
        <v>40</v>
      </c>
      <c r="E152" s="264" t="s">
        <v>40</v>
      </c>
      <c r="F152" s="237" t="s">
        <v>52</v>
      </c>
      <c r="G152" s="131" t="s">
        <v>52</v>
      </c>
      <c r="H152" s="139">
        <v>0</v>
      </c>
      <c r="I152" s="115" t="str">
        <f>IF(EXACT(F152, G152), "none", IF(ISNUMBER(MATCH(G152, 'MP Analysis Input'!$A$15:$A$21, 0)), "soft", "hard"))</f>
        <v>none</v>
      </c>
      <c r="J152" s="124"/>
      <c r="K152" s="245"/>
      <c r="L152" s="245"/>
    </row>
    <row r="153" spans="1:12" ht="15" customHeight="1" x14ac:dyDescent="0.25">
      <c r="A153" t="s">
        <v>175</v>
      </c>
      <c r="B153" s="263">
        <v>22.895</v>
      </c>
      <c r="C153" s="263">
        <f t="shared" si="5"/>
        <v>3.5773437499999998E-2</v>
      </c>
      <c r="D153" s="264" t="s">
        <v>52</v>
      </c>
      <c r="E153" s="264" t="s">
        <v>52</v>
      </c>
      <c r="F153" s="237" t="s">
        <v>52</v>
      </c>
      <c r="G153" s="131" t="s">
        <v>52</v>
      </c>
      <c r="H153" s="139">
        <v>0</v>
      </c>
      <c r="I153" s="115" t="str">
        <f>IF(EXACT(F153, G153), "none", IF(ISNUMBER(MATCH(G153, 'MP Analysis Input'!$A$15:$A$21, 0)), "soft", "hard"))</f>
        <v>none</v>
      </c>
      <c r="J153" s="124"/>
      <c r="K153" s="245"/>
      <c r="L153" s="245"/>
    </row>
    <row r="154" spans="1:12" ht="15" customHeight="1" x14ac:dyDescent="0.25">
      <c r="A154" t="s">
        <v>176</v>
      </c>
      <c r="B154" s="263">
        <v>139.511</v>
      </c>
      <c r="C154" s="263">
        <f t="shared" si="5"/>
        <v>0.2179859375</v>
      </c>
      <c r="D154" s="264" t="s">
        <v>52</v>
      </c>
      <c r="E154" s="264" t="s">
        <v>52</v>
      </c>
      <c r="F154" s="237" t="s">
        <v>52</v>
      </c>
      <c r="G154" s="131" t="s">
        <v>52</v>
      </c>
      <c r="H154" s="139">
        <v>0</v>
      </c>
      <c r="I154" s="115" t="str">
        <f>IF(EXACT(F154, G154), "none", IF(ISNUMBER(MATCH(G154, 'MP Analysis Input'!$A$15:$A$21, 0)), "soft", "hard"))</f>
        <v>none</v>
      </c>
      <c r="J154" s="124"/>
      <c r="K154" s="245"/>
      <c r="L154" s="245"/>
    </row>
    <row r="155" spans="1:12" ht="15" customHeight="1" x14ac:dyDescent="0.25">
      <c r="A155" t="s">
        <v>177</v>
      </c>
      <c r="B155" s="263">
        <v>78.438999999999993</v>
      </c>
      <c r="C155" s="263">
        <f t="shared" si="5"/>
        <v>0.12256093749999999</v>
      </c>
      <c r="D155" s="264" t="s">
        <v>52</v>
      </c>
      <c r="E155" s="264" t="s">
        <v>52</v>
      </c>
      <c r="F155" s="237" t="s">
        <v>52</v>
      </c>
      <c r="G155" s="131" t="s">
        <v>52</v>
      </c>
      <c r="H155" s="139">
        <v>0</v>
      </c>
      <c r="I155" s="115" t="str">
        <f>IF(EXACT(F155, G155), "none", IF(ISNUMBER(MATCH(G155, 'MP Analysis Input'!$A$15:$A$21, 0)), "soft", "hard"))</f>
        <v>none</v>
      </c>
      <c r="J155" s="124"/>
      <c r="K155" s="245"/>
      <c r="L155" s="245"/>
    </row>
    <row r="156" spans="1:12" ht="15" customHeight="1" x14ac:dyDescent="0.25">
      <c r="A156" t="s">
        <v>178</v>
      </c>
      <c r="B156" s="263">
        <v>137.94999999999999</v>
      </c>
      <c r="C156" s="263">
        <f t="shared" si="5"/>
        <v>0.215546875</v>
      </c>
      <c r="D156" s="264" t="s">
        <v>36</v>
      </c>
      <c r="E156" s="264" t="s">
        <v>36</v>
      </c>
      <c r="F156" s="237" t="s">
        <v>34</v>
      </c>
      <c r="G156" s="131" t="s">
        <v>34</v>
      </c>
      <c r="H156" s="139">
        <v>0</v>
      </c>
      <c r="I156" s="115" t="str">
        <f>IF(EXACT(F156, G156), "none", IF(ISNUMBER(MATCH(G156, 'MP Analysis Input'!$A$15:$A$21, 0)), "soft", "hard"))</f>
        <v>none</v>
      </c>
      <c r="J156" s="124"/>
      <c r="K156" s="245"/>
      <c r="L156" s="245"/>
    </row>
    <row r="157" spans="1:12" ht="15" customHeight="1" x14ac:dyDescent="0.25">
      <c r="A157" t="s">
        <v>179</v>
      </c>
      <c r="B157" s="263">
        <v>116.148</v>
      </c>
      <c r="C157" s="263">
        <f t="shared" si="5"/>
        <v>0.18148125000000001</v>
      </c>
      <c r="D157" s="264" t="s">
        <v>36</v>
      </c>
      <c r="E157" s="264" t="s">
        <v>36</v>
      </c>
      <c r="F157" s="237" t="s">
        <v>34</v>
      </c>
      <c r="G157" s="131" t="s">
        <v>34</v>
      </c>
      <c r="H157" s="139">
        <v>0</v>
      </c>
      <c r="I157" s="115" t="str">
        <f>IF(EXACT(F157, G157), "none", IF(ISNUMBER(MATCH(G157, 'MP Analysis Input'!$A$15:$A$21, 0)), "soft", "hard"))</f>
        <v>none</v>
      </c>
      <c r="J157" s="124"/>
      <c r="K157" s="245"/>
      <c r="L157" s="245"/>
    </row>
    <row r="158" spans="1:12" ht="15" customHeight="1" x14ac:dyDescent="0.25">
      <c r="A158" t="s">
        <v>180</v>
      </c>
      <c r="B158" s="263">
        <v>177.72499999999999</v>
      </c>
      <c r="C158" s="263">
        <f t="shared" si="5"/>
        <v>0.27769531250000001</v>
      </c>
      <c r="D158" s="264" t="s">
        <v>36</v>
      </c>
      <c r="E158" s="264" t="s">
        <v>36</v>
      </c>
      <c r="F158" s="237" t="s">
        <v>42</v>
      </c>
      <c r="G158" s="131" t="s">
        <v>55</v>
      </c>
      <c r="H158" s="139">
        <v>3</v>
      </c>
      <c r="I158" s="115" t="str">
        <f>IF(EXACT(F158, G158), "none", IF(ISNUMBER(MATCH(G158, 'MP Analysis Input'!$A$15:$A$21, 0)), "soft", "hard"))</f>
        <v>hard</v>
      </c>
      <c r="J158" s="124"/>
      <c r="K158" s="245"/>
      <c r="L158" s="245"/>
    </row>
    <row r="159" spans="1:12" ht="15" customHeight="1" x14ac:dyDescent="0.25">
      <c r="A159" t="s">
        <v>181</v>
      </c>
      <c r="B159" s="263">
        <v>17.968</v>
      </c>
      <c r="C159" s="263">
        <f t="shared" si="5"/>
        <v>2.8075000000000003E-2</v>
      </c>
      <c r="D159" s="264" t="s">
        <v>36</v>
      </c>
      <c r="E159" s="264" t="s">
        <v>36</v>
      </c>
      <c r="F159" s="237" t="s">
        <v>36</v>
      </c>
      <c r="G159" s="131" t="s">
        <v>4</v>
      </c>
      <c r="H159" s="139">
        <v>2</v>
      </c>
      <c r="I159" s="115" t="str">
        <f>IF(EXACT(F159, G159), "none", IF(ISNUMBER(MATCH(G159, 'MP Analysis Input'!$A$15:$A$21, 0)), "soft", "hard"))</f>
        <v>hard</v>
      </c>
      <c r="J159" s="124"/>
      <c r="K159" s="245"/>
      <c r="L159" s="245"/>
    </row>
    <row r="160" spans="1:12" ht="15" customHeight="1" x14ac:dyDescent="0.25">
      <c r="A160" t="s">
        <v>182</v>
      </c>
      <c r="B160" s="263">
        <v>73.62</v>
      </c>
      <c r="C160" s="263">
        <f t="shared" si="5"/>
        <v>0.11503125000000002</v>
      </c>
      <c r="D160" s="264" t="s">
        <v>36</v>
      </c>
      <c r="E160" s="264" t="s">
        <v>36</v>
      </c>
      <c r="F160" s="237" t="s">
        <v>105</v>
      </c>
      <c r="G160" s="131" t="s">
        <v>4</v>
      </c>
      <c r="H160" s="139">
        <v>3</v>
      </c>
      <c r="I160" s="115" t="str">
        <f>IF(EXACT(F160, G160), "none", IF(ISNUMBER(MATCH(G160, 'MP Analysis Input'!$A$15:$A$21, 0)), "soft", "hard"))</f>
        <v>hard</v>
      </c>
      <c r="J160" s="124"/>
      <c r="K160" s="245"/>
      <c r="L160" s="245"/>
    </row>
    <row r="161" spans="1:94" s="341" customFormat="1" ht="15" customHeight="1" x14ac:dyDescent="0.25">
      <c r="A161" s="245" t="s">
        <v>684</v>
      </c>
      <c r="B161" s="263">
        <v>100.786</v>
      </c>
      <c r="C161" s="263">
        <f t="shared" si="5"/>
        <v>0.15747812500000002</v>
      </c>
      <c r="D161" s="264" t="s">
        <v>36</v>
      </c>
      <c r="E161" s="264" t="s">
        <v>36</v>
      </c>
      <c r="F161" s="237" t="s">
        <v>42</v>
      </c>
      <c r="G161" s="131" t="s">
        <v>4</v>
      </c>
      <c r="H161" s="139">
        <v>3</v>
      </c>
      <c r="I161" s="115" t="str">
        <f>IF(EXACT(F161, G161), "none", IF(ISNUMBER(MATCH(G161, 'MP Analysis Input'!$A$15:$A$21, 0)), "soft", "hard"))</f>
        <v>hard</v>
      </c>
      <c r="J161" s="124"/>
      <c r="K161" s="245"/>
      <c r="L161" s="245"/>
      <c r="P161" s="245"/>
      <c r="Q161" s="245"/>
      <c r="R161" s="245"/>
      <c r="U161" s="256"/>
      <c r="AI161" s="245"/>
      <c r="AJ161" s="245"/>
      <c r="AK161" s="245"/>
      <c r="AL161" s="245"/>
      <c r="AM161" s="245"/>
      <c r="AN161" s="245"/>
      <c r="AO161" s="245"/>
      <c r="AP161" s="245"/>
      <c r="AQ161" s="245"/>
      <c r="AR161" s="245"/>
      <c r="AS161" s="245"/>
      <c r="AT161" s="245"/>
      <c r="AU161" s="245"/>
      <c r="AV161" s="245"/>
      <c r="AW161" s="245"/>
      <c r="AX161" s="245"/>
      <c r="AY161" s="245"/>
      <c r="AZ161" s="245"/>
      <c r="BA161" s="245"/>
      <c r="BB161" s="245"/>
      <c r="BC161" s="245"/>
      <c r="BD161" s="245"/>
      <c r="BE161" s="245"/>
      <c r="BF161" s="245"/>
      <c r="BG161" s="245"/>
      <c r="BH161" s="245"/>
      <c r="BI161" s="245"/>
      <c r="BJ161" s="245"/>
      <c r="BK161" s="245"/>
      <c r="BL161" s="245"/>
      <c r="BM161" s="245"/>
      <c r="BN161" s="245"/>
      <c r="BO161" s="245"/>
      <c r="BP161" s="245"/>
      <c r="BQ161" s="245"/>
      <c r="BR161" s="245"/>
      <c r="BS161" s="245"/>
      <c r="BT161" s="245"/>
      <c r="BU161" s="245"/>
      <c r="BV161" s="245"/>
      <c r="BW161" s="245"/>
      <c r="BX161" s="245"/>
      <c r="BY161" s="245"/>
      <c r="BZ161" s="245"/>
      <c r="CA161" s="245"/>
      <c r="CB161" s="245"/>
      <c r="CC161" s="245"/>
      <c r="CD161" s="245"/>
      <c r="CE161" s="245"/>
      <c r="CF161" s="245"/>
      <c r="CG161" s="245"/>
      <c r="CH161" s="245"/>
      <c r="CI161" s="245"/>
      <c r="CJ161" s="245"/>
      <c r="CK161" s="245"/>
      <c r="CL161" s="245"/>
      <c r="CM161" s="245"/>
      <c r="CN161" s="245"/>
      <c r="CO161" s="245"/>
      <c r="CP161" s="245"/>
    </row>
    <row r="162" spans="1:94" ht="15" customHeight="1" x14ac:dyDescent="0.25">
      <c r="A162" t="s">
        <v>685</v>
      </c>
      <c r="B162" s="263">
        <v>91.721000000000004</v>
      </c>
      <c r="C162" s="263">
        <f t="shared" si="5"/>
        <v>0.14331406250000001</v>
      </c>
      <c r="D162" s="264" t="s">
        <v>36</v>
      </c>
      <c r="E162" s="264" t="s">
        <v>36</v>
      </c>
      <c r="F162" s="237" t="s">
        <v>100</v>
      </c>
      <c r="G162" s="131" t="s">
        <v>55</v>
      </c>
      <c r="H162" s="139">
        <v>5</v>
      </c>
      <c r="I162" s="115" t="str">
        <f>IF(EXACT(F162, G162), "none", IF(ISNUMBER(MATCH(G162, 'MP Analysis Input'!$A$15:$A$21, 0)), "soft", "hard"))</f>
        <v>hard</v>
      </c>
      <c r="J162" s="124"/>
      <c r="K162" s="245"/>
      <c r="L162" s="245"/>
    </row>
    <row r="163" spans="1:94" s="341" customFormat="1" ht="15" customHeight="1" x14ac:dyDescent="0.25">
      <c r="A163" s="245" t="s">
        <v>686</v>
      </c>
      <c r="B163" s="263">
        <v>0.60899999999999999</v>
      </c>
      <c r="C163" s="263">
        <f t="shared" ref="C163" si="6">B163*0.0015625</f>
        <v>9.5156250000000004E-4</v>
      </c>
      <c r="D163" s="264" t="s">
        <v>36</v>
      </c>
      <c r="E163" s="264" t="s">
        <v>36</v>
      </c>
      <c r="F163" s="237" t="s">
        <v>100</v>
      </c>
      <c r="G163" s="131" t="s">
        <v>55</v>
      </c>
      <c r="H163" s="139">
        <v>5</v>
      </c>
      <c r="I163" s="115" t="str">
        <f>IF(EXACT(F163, G163), "none", IF(ISNUMBER(MATCH(G163, 'MP Analysis Input'!$A$15:$A$21, 0)), "soft", "hard"))</f>
        <v>hard</v>
      </c>
      <c r="J163" s="124"/>
      <c r="K163" s="245"/>
      <c r="L163" s="245"/>
      <c r="P163" s="245"/>
      <c r="Q163" s="245"/>
      <c r="R163" s="245"/>
      <c r="U163" s="256"/>
      <c r="AI163" s="245"/>
      <c r="AJ163" s="245"/>
      <c r="AK163" s="245"/>
      <c r="AL163" s="245"/>
      <c r="AM163" s="245"/>
      <c r="AN163" s="245"/>
      <c r="AO163" s="245"/>
      <c r="AP163" s="245"/>
      <c r="AQ163" s="245"/>
      <c r="AR163" s="245"/>
      <c r="AS163" s="245"/>
      <c r="AT163" s="245"/>
      <c r="AU163" s="245"/>
      <c r="AV163" s="245"/>
      <c r="AW163" s="245"/>
      <c r="AX163" s="245"/>
      <c r="AY163" s="245"/>
      <c r="AZ163" s="245"/>
      <c r="BA163" s="245"/>
      <c r="BB163" s="245"/>
      <c r="BC163" s="245"/>
      <c r="BD163" s="245"/>
      <c r="BE163" s="245"/>
      <c r="BF163" s="245"/>
      <c r="BG163" s="245"/>
      <c r="BH163" s="245"/>
      <c r="BI163" s="245"/>
      <c r="BJ163" s="245"/>
      <c r="BK163" s="245"/>
      <c r="BL163" s="245"/>
      <c r="BM163" s="245"/>
      <c r="BN163" s="245"/>
      <c r="BO163" s="245"/>
      <c r="BP163" s="245"/>
      <c r="BQ163" s="245"/>
      <c r="BR163" s="245"/>
      <c r="BS163" s="245"/>
      <c r="BT163" s="245"/>
      <c r="BU163" s="245"/>
      <c r="BV163" s="245"/>
      <c r="BW163" s="245"/>
      <c r="BX163" s="245"/>
      <c r="BY163" s="245"/>
      <c r="BZ163" s="245"/>
      <c r="CA163" s="245"/>
      <c r="CB163" s="245"/>
      <c r="CC163" s="245"/>
      <c r="CD163" s="245"/>
      <c r="CE163" s="245"/>
      <c r="CF163" s="245"/>
      <c r="CG163" s="245"/>
      <c r="CH163" s="245"/>
      <c r="CI163" s="245"/>
      <c r="CJ163" s="245"/>
      <c r="CK163" s="245"/>
      <c r="CL163" s="245"/>
      <c r="CM163" s="245"/>
      <c r="CN163" s="245"/>
      <c r="CO163" s="245"/>
      <c r="CP163" s="245"/>
    </row>
    <row r="164" spans="1:94" ht="15" customHeight="1" x14ac:dyDescent="0.25">
      <c r="A164" t="s">
        <v>184</v>
      </c>
      <c r="B164" s="263">
        <v>41.738999999999997</v>
      </c>
      <c r="C164" s="263">
        <f t="shared" si="5"/>
        <v>6.5217187499999996E-2</v>
      </c>
      <c r="D164" s="264" t="s">
        <v>36</v>
      </c>
      <c r="E164" s="264" t="s">
        <v>36</v>
      </c>
      <c r="F164" s="237" t="s">
        <v>42</v>
      </c>
      <c r="G164" s="131" t="s">
        <v>4</v>
      </c>
      <c r="H164" s="139">
        <v>1</v>
      </c>
      <c r="I164" s="115" t="str">
        <f>IF(EXACT(F164, G164), "none", IF(ISNUMBER(MATCH(G164, 'MP Analysis Input'!$A$15:$A$21, 0)), "soft", "hard"))</f>
        <v>hard</v>
      </c>
      <c r="J164" s="124"/>
      <c r="K164" s="245"/>
      <c r="L164" s="245"/>
    </row>
    <row r="165" spans="1:94" ht="15" customHeight="1" x14ac:dyDescent="0.25">
      <c r="A165" t="s">
        <v>185</v>
      </c>
      <c r="B165" s="263">
        <v>31.41</v>
      </c>
      <c r="C165" s="263">
        <f t="shared" si="5"/>
        <v>4.9078125E-2</v>
      </c>
      <c r="D165" s="264" t="s">
        <v>36</v>
      </c>
      <c r="E165" s="264" t="s">
        <v>36</v>
      </c>
      <c r="F165" s="237" t="s">
        <v>42</v>
      </c>
      <c r="G165" s="131" t="s">
        <v>4</v>
      </c>
      <c r="H165" s="139">
        <v>2</v>
      </c>
      <c r="I165" s="115" t="str">
        <f>IF(EXACT(F165, G165), "none", IF(ISNUMBER(MATCH(G165, 'MP Analysis Input'!$A$15:$A$21, 0)), "soft", "hard"))</f>
        <v>hard</v>
      </c>
      <c r="J165" s="124"/>
      <c r="K165" s="245"/>
      <c r="L165" s="245"/>
    </row>
    <row r="166" spans="1:94" ht="15" customHeight="1" x14ac:dyDescent="0.25">
      <c r="A166" t="s">
        <v>687</v>
      </c>
      <c r="B166" s="263">
        <v>114.68</v>
      </c>
      <c r="C166" s="263">
        <f t="shared" si="5"/>
        <v>0.17918750000000003</v>
      </c>
      <c r="D166" s="264" t="s">
        <v>36</v>
      </c>
      <c r="E166" s="264" t="s">
        <v>36</v>
      </c>
      <c r="F166" s="237" t="s">
        <v>42</v>
      </c>
      <c r="G166" s="131" t="s">
        <v>4</v>
      </c>
      <c r="H166" s="139">
        <v>3</v>
      </c>
      <c r="I166" s="115" t="str">
        <f>IF(EXACT(F166, G166), "none", IF(ISNUMBER(MATCH(G166, 'MP Analysis Input'!$A$15:$A$21, 0)), "soft", "hard"))</f>
        <v>hard</v>
      </c>
      <c r="J166" s="124"/>
      <c r="K166" s="245"/>
      <c r="L166" s="245"/>
    </row>
    <row r="167" spans="1:94" s="341" customFormat="1" ht="15" customHeight="1" x14ac:dyDescent="0.25">
      <c r="A167" s="245" t="s">
        <v>688</v>
      </c>
      <c r="B167" s="263">
        <v>3.0150000000000001</v>
      </c>
      <c r="C167" s="263">
        <f t="shared" ref="C167" si="7">B167*0.0015625</f>
        <v>4.7109375000000007E-3</v>
      </c>
      <c r="D167" s="264" t="s">
        <v>36</v>
      </c>
      <c r="E167" s="264" t="s">
        <v>36</v>
      </c>
      <c r="F167" s="237" t="s">
        <v>34</v>
      </c>
      <c r="G167" s="131" t="s">
        <v>4</v>
      </c>
      <c r="H167" s="139">
        <v>3</v>
      </c>
      <c r="I167" s="115" t="str">
        <f>IF(EXACT(F167, G167), "none", IF(ISNUMBER(MATCH(G167, 'MP Analysis Input'!$A$15:$A$21, 0)), "soft", "hard"))</f>
        <v>hard</v>
      </c>
      <c r="J167" s="124"/>
      <c r="K167" s="245"/>
      <c r="L167" s="245"/>
      <c r="P167" s="245"/>
      <c r="Q167" s="245"/>
      <c r="R167" s="245"/>
      <c r="U167" s="256"/>
      <c r="AI167" s="245"/>
      <c r="AJ167" s="245"/>
      <c r="AK167" s="245"/>
      <c r="AL167" s="245"/>
      <c r="AM167" s="245"/>
      <c r="AN167" s="245"/>
      <c r="AO167" s="245"/>
      <c r="AP167" s="245"/>
      <c r="AQ167" s="245"/>
      <c r="AR167" s="245"/>
      <c r="AS167" s="245"/>
      <c r="AT167" s="245"/>
      <c r="AU167" s="245"/>
      <c r="AV167" s="245"/>
      <c r="AW167" s="245"/>
      <c r="AX167" s="245"/>
      <c r="AY167" s="245"/>
      <c r="AZ167" s="245"/>
      <c r="BA167" s="245"/>
      <c r="BB167" s="245"/>
      <c r="BC167" s="245"/>
      <c r="BD167" s="245"/>
      <c r="BE167" s="245"/>
      <c r="BF167" s="245"/>
      <c r="BG167" s="245"/>
      <c r="BH167" s="245"/>
      <c r="BI167" s="245"/>
      <c r="BJ167" s="245"/>
      <c r="BK167" s="245"/>
      <c r="BL167" s="245"/>
      <c r="BM167" s="245"/>
      <c r="BN167" s="245"/>
      <c r="BO167" s="245"/>
      <c r="BP167" s="245"/>
      <c r="BQ167" s="245"/>
      <c r="BR167" s="245"/>
      <c r="BS167" s="245"/>
      <c r="BT167" s="245"/>
      <c r="BU167" s="245"/>
      <c r="BV167" s="245"/>
      <c r="BW167" s="245"/>
      <c r="BX167" s="245"/>
      <c r="BY167" s="245"/>
      <c r="BZ167" s="245"/>
      <c r="CA167" s="245"/>
      <c r="CB167" s="245"/>
      <c r="CC167" s="245"/>
      <c r="CD167" s="245"/>
      <c r="CE167" s="245"/>
      <c r="CF167" s="245"/>
      <c r="CG167" s="245"/>
      <c r="CH167" s="245"/>
      <c r="CI167" s="245"/>
      <c r="CJ167" s="245"/>
      <c r="CK167" s="245"/>
      <c r="CL167" s="245"/>
      <c r="CM167" s="245"/>
      <c r="CN167" s="245"/>
      <c r="CO167" s="245"/>
      <c r="CP167" s="245"/>
    </row>
    <row r="168" spans="1:94" ht="15" customHeight="1" x14ac:dyDescent="0.25">
      <c r="A168" t="s">
        <v>187</v>
      </c>
      <c r="B168" s="263">
        <v>108.995</v>
      </c>
      <c r="C168" s="263">
        <f t="shared" si="5"/>
        <v>0.17030468750000002</v>
      </c>
      <c r="D168" s="264" t="s">
        <v>48</v>
      </c>
      <c r="E168" s="264" t="s">
        <v>48</v>
      </c>
      <c r="F168" s="237" t="s">
        <v>57</v>
      </c>
      <c r="G168" s="131" t="s">
        <v>57</v>
      </c>
      <c r="H168" s="139">
        <v>0</v>
      </c>
      <c r="I168" s="115" t="str">
        <f>IF(EXACT(F168, G168), "none", IF(ISNUMBER(MATCH(G168, 'MP Analysis Input'!$A$15:$A$21, 0)), "soft", "hard"))</f>
        <v>none</v>
      </c>
      <c r="J168" s="124"/>
      <c r="K168" s="245"/>
      <c r="L168" s="245"/>
    </row>
    <row r="169" spans="1:94" ht="15" customHeight="1" x14ac:dyDescent="0.25">
      <c r="A169" t="s">
        <v>188</v>
      </c>
      <c r="B169" s="263">
        <v>40.85</v>
      </c>
      <c r="C169" s="263">
        <f t="shared" si="5"/>
        <v>6.3828124999999999E-2</v>
      </c>
      <c r="D169" s="264" t="s">
        <v>48</v>
      </c>
      <c r="E169" s="264" t="s">
        <v>48</v>
      </c>
      <c r="F169" s="237" t="s">
        <v>52</v>
      </c>
      <c r="G169" s="131" t="s">
        <v>52</v>
      </c>
      <c r="H169" s="139">
        <v>0</v>
      </c>
      <c r="I169" s="115" t="str">
        <f>IF(EXACT(F169, G169), "none", IF(ISNUMBER(MATCH(G169, 'MP Analysis Input'!$A$15:$A$21, 0)), "soft", "hard"))</f>
        <v>none</v>
      </c>
      <c r="J169" s="124"/>
      <c r="K169" s="245"/>
      <c r="L169" s="245"/>
    </row>
    <row r="170" spans="1:94" ht="15" customHeight="1" x14ac:dyDescent="0.25">
      <c r="A170" t="s">
        <v>189</v>
      </c>
      <c r="B170" s="263">
        <v>320.19799999999998</v>
      </c>
      <c r="C170" s="263">
        <f t="shared" si="5"/>
        <v>0.50030937499999995</v>
      </c>
      <c r="D170" s="264" t="s">
        <v>48</v>
      </c>
      <c r="E170" s="264" t="s">
        <v>48</v>
      </c>
      <c r="F170" s="237" t="s">
        <v>57</v>
      </c>
      <c r="G170" s="131" t="s">
        <v>57</v>
      </c>
      <c r="H170" s="139">
        <v>0</v>
      </c>
      <c r="I170" s="115" t="str">
        <f>IF(EXACT(F170, G170), "none", IF(ISNUMBER(MATCH(G170, 'MP Analysis Input'!$A$15:$A$21, 0)), "soft", "hard"))</f>
        <v>none</v>
      </c>
      <c r="J170" s="124"/>
      <c r="K170" s="245"/>
      <c r="L170" s="245"/>
    </row>
    <row r="171" spans="1:94" ht="15" customHeight="1" x14ac:dyDescent="0.25">
      <c r="A171" t="s">
        <v>190</v>
      </c>
      <c r="B171" s="263">
        <v>77.894000000000005</v>
      </c>
      <c r="C171" s="263">
        <f t="shared" si="5"/>
        <v>0.12170937500000001</v>
      </c>
      <c r="D171" s="264" t="s">
        <v>48</v>
      </c>
      <c r="E171" s="264" t="s">
        <v>48</v>
      </c>
      <c r="F171" s="237" t="s">
        <v>48</v>
      </c>
      <c r="G171" s="131" t="s">
        <v>4</v>
      </c>
      <c r="H171" s="139">
        <v>1</v>
      </c>
      <c r="I171" s="115" t="str">
        <f>IF(EXACT(F171, G171), "none", IF(ISNUMBER(MATCH(G171, 'MP Analysis Input'!$A$15:$A$21, 0)), "soft", "hard"))</f>
        <v>hard</v>
      </c>
      <c r="J171" s="124"/>
      <c r="K171" s="245"/>
      <c r="L171" s="245"/>
    </row>
    <row r="172" spans="1:94" ht="15" customHeight="1" x14ac:dyDescent="0.25">
      <c r="A172" t="s">
        <v>191</v>
      </c>
      <c r="B172" s="263">
        <v>388.346</v>
      </c>
      <c r="C172" s="263">
        <f t="shared" si="5"/>
        <v>0.60679062500000003</v>
      </c>
      <c r="D172" s="264" t="s">
        <v>48</v>
      </c>
      <c r="E172" s="264" t="s">
        <v>48</v>
      </c>
      <c r="F172" s="237" t="s">
        <v>57</v>
      </c>
      <c r="G172" s="131" t="s">
        <v>57</v>
      </c>
      <c r="H172" s="139">
        <v>0</v>
      </c>
      <c r="I172" s="115" t="str">
        <f>IF(EXACT(F172, G172), "none", IF(ISNUMBER(MATCH(G172, 'MP Analysis Input'!$A$15:$A$21, 0)), "soft", "hard"))</f>
        <v>none</v>
      </c>
      <c r="J172" s="124"/>
      <c r="K172" s="245"/>
      <c r="L172" s="245"/>
    </row>
    <row r="173" spans="1:94" ht="15" customHeight="1" x14ac:dyDescent="0.25">
      <c r="A173" t="s">
        <v>192</v>
      </c>
      <c r="B173" s="263">
        <v>150.06299999999999</v>
      </c>
      <c r="C173" s="263">
        <f t="shared" si="5"/>
        <v>0.23447343749999999</v>
      </c>
      <c r="D173" s="264" t="s">
        <v>48</v>
      </c>
      <c r="E173" s="264" t="s">
        <v>48</v>
      </c>
      <c r="F173" s="237" t="s">
        <v>48</v>
      </c>
      <c r="G173" s="131" t="s">
        <v>55</v>
      </c>
      <c r="H173" s="139">
        <v>4</v>
      </c>
      <c r="I173" s="115" t="str">
        <f>IF(EXACT(F173, G173), "none", IF(ISNUMBER(MATCH(G173, 'MP Analysis Input'!$A$15:$A$21, 0)), "soft", "hard"))</f>
        <v>hard</v>
      </c>
      <c r="J173" s="124"/>
      <c r="K173" s="245"/>
      <c r="L173" s="245"/>
    </row>
    <row r="174" spans="1:94" ht="15" customHeight="1" x14ac:dyDescent="0.25">
      <c r="A174" t="s">
        <v>193</v>
      </c>
      <c r="B174" s="263">
        <v>87.82</v>
      </c>
      <c r="C174" s="263">
        <f t="shared" si="5"/>
        <v>0.13721875</v>
      </c>
      <c r="D174" s="264" t="s">
        <v>48</v>
      </c>
      <c r="E174" s="264" t="s">
        <v>48</v>
      </c>
      <c r="F174" s="237" t="s">
        <v>97</v>
      </c>
      <c r="G174" s="131" t="s">
        <v>97</v>
      </c>
      <c r="H174" s="139">
        <v>0</v>
      </c>
      <c r="I174" s="115" t="str">
        <f>IF(EXACT(F174, G174), "none", IF(ISNUMBER(MATCH(G174, 'MP Analysis Input'!$A$15:$A$21, 0)), "soft", "hard"))</f>
        <v>none</v>
      </c>
      <c r="J174" s="124"/>
      <c r="K174" s="245"/>
      <c r="L174" s="245"/>
    </row>
    <row r="175" spans="1:94" ht="15" customHeight="1" x14ac:dyDescent="0.25">
      <c r="A175" t="s">
        <v>194</v>
      </c>
      <c r="B175" s="263">
        <v>162.28700000000001</v>
      </c>
      <c r="C175" s="263">
        <f t="shared" si="5"/>
        <v>0.2535734375</v>
      </c>
      <c r="D175" s="264" t="s">
        <v>40</v>
      </c>
      <c r="E175" s="264" t="s">
        <v>40</v>
      </c>
      <c r="F175" s="237" t="s">
        <v>40</v>
      </c>
      <c r="G175" s="131" t="s">
        <v>40</v>
      </c>
      <c r="H175" s="139">
        <v>0</v>
      </c>
      <c r="I175" s="115" t="str">
        <f>IF(EXACT(F175, G175), "none", IF(ISNUMBER(MATCH(G175, 'MP Analysis Input'!$A$15:$A$21, 0)), "soft", "hard"))</f>
        <v>none</v>
      </c>
      <c r="J175" s="124"/>
      <c r="K175" s="245"/>
      <c r="L175" s="245"/>
    </row>
    <row r="176" spans="1:94" ht="15" customHeight="1" x14ac:dyDescent="0.25">
      <c r="A176" t="s">
        <v>195</v>
      </c>
      <c r="B176" s="263">
        <v>67.558000000000007</v>
      </c>
      <c r="C176" s="263">
        <f t="shared" si="5"/>
        <v>0.10555937500000001</v>
      </c>
      <c r="D176" s="264" t="s">
        <v>40</v>
      </c>
      <c r="E176" s="264" t="s">
        <v>40</v>
      </c>
      <c r="F176" s="237" t="s">
        <v>40</v>
      </c>
      <c r="G176" s="131" t="s">
        <v>4</v>
      </c>
      <c r="H176" s="139">
        <v>1</v>
      </c>
      <c r="I176" s="115" t="str">
        <f>IF(EXACT(F176, G176), "none", IF(ISNUMBER(MATCH(G176, 'MP Analysis Input'!$A$15:$A$21, 0)), "soft", "hard"))</f>
        <v>hard</v>
      </c>
      <c r="J176" s="124"/>
      <c r="K176" s="245"/>
      <c r="L176" s="245"/>
    </row>
    <row r="177" spans="1:12" ht="15" customHeight="1" x14ac:dyDescent="0.25">
      <c r="A177" t="s">
        <v>196</v>
      </c>
      <c r="B177" s="263">
        <v>83.932000000000002</v>
      </c>
      <c r="C177" s="263">
        <f t="shared" si="5"/>
        <v>0.13114375</v>
      </c>
      <c r="D177" s="264" t="s">
        <v>48</v>
      </c>
      <c r="E177" s="264" t="s">
        <v>48</v>
      </c>
      <c r="F177" s="237" t="s">
        <v>48</v>
      </c>
      <c r="G177" s="131" t="s">
        <v>48</v>
      </c>
      <c r="H177" s="139">
        <v>0</v>
      </c>
      <c r="I177" s="115" t="str">
        <f>IF(EXACT(F177, G177), "none", IF(ISNUMBER(MATCH(G177, 'MP Analysis Input'!$A$15:$A$21, 0)), "soft", "hard"))</f>
        <v>none</v>
      </c>
      <c r="J177" s="124"/>
      <c r="K177" s="245"/>
      <c r="L177" s="245"/>
    </row>
    <row r="178" spans="1:12" ht="15" customHeight="1" x14ac:dyDescent="0.25">
      <c r="A178" t="s">
        <v>197</v>
      </c>
      <c r="B178" s="263">
        <v>20.143000000000001</v>
      </c>
      <c r="C178" s="263">
        <f t="shared" si="5"/>
        <v>3.14734375E-2</v>
      </c>
      <c r="D178" s="264" t="s">
        <v>198</v>
      </c>
      <c r="E178" s="264" t="s">
        <v>198</v>
      </c>
      <c r="F178" s="237" t="s">
        <v>48</v>
      </c>
      <c r="G178" s="131" t="s">
        <v>42</v>
      </c>
      <c r="H178" s="139">
        <v>3</v>
      </c>
      <c r="I178" s="115" t="str">
        <f>IF(EXACT(F178, G178), "none", IF(ISNUMBER(MATCH(G178, 'MP Analysis Input'!$A$15:$A$21, 0)), "soft", "hard"))</f>
        <v>hard</v>
      </c>
      <c r="J178" s="124"/>
      <c r="K178" s="245"/>
      <c r="L178" s="245"/>
    </row>
    <row r="179" spans="1:12" ht="15" customHeight="1" x14ac:dyDescent="0.25">
      <c r="A179" t="s">
        <v>199</v>
      </c>
      <c r="B179" s="263">
        <v>19.917000000000002</v>
      </c>
      <c r="C179" s="263">
        <f t="shared" si="5"/>
        <v>3.1120312500000004E-2</v>
      </c>
      <c r="D179" s="264" t="s">
        <v>48</v>
      </c>
      <c r="E179" s="264" t="s">
        <v>48</v>
      </c>
      <c r="F179" s="237" t="s">
        <v>48</v>
      </c>
      <c r="G179" s="131" t="s">
        <v>57</v>
      </c>
      <c r="H179" s="139">
        <v>1</v>
      </c>
      <c r="I179" s="115" t="str">
        <f>IF(EXACT(F179, G179), "none", IF(ISNUMBER(MATCH(G179, 'MP Analysis Input'!$A$15:$A$21, 0)), "soft", "hard"))</f>
        <v>soft</v>
      </c>
      <c r="J179" s="124"/>
      <c r="K179" s="245"/>
      <c r="L179" s="245"/>
    </row>
    <row r="180" spans="1:12" ht="15" customHeight="1" x14ac:dyDescent="0.25">
      <c r="A180" t="s">
        <v>200</v>
      </c>
      <c r="B180" s="263">
        <v>139.39699999999999</v>
      </c>
      <c r="C180" s="263">
        <f t="shared" si="5"/>
        <v>0.2178078125</v>
      </c>
      <c r="D180" s="264" t="s">
        <v>48</v>
      </c>
      <c r="E180" s="264" t="s">
        <v>48</v>
      </c>
      <c r="F180" s="237" t="s">
        <v>42</v>
      </c>
      <c r="G180" s="131" t="s">
        <v>4</v>
      </c>
      <c r="H180" s="139">
        <v>3</v>
      </c>
      <c r="I180" s="115" t="str">
        <f>IF(EXACT(F180, G180), "none", IF(ISNUMBER(MATCH(G180, 'MP Analysis Input'!$A$15:$A$21, 0)), "soft", "hard"))</f>
        <v>hard</v>
      </c>
      <c r="J180" s="124"/>
      <c r="K180" s="245"/>
      <c r="L180" s="245"/>
    </row>
    <row r="181" spans="1:12" ht="15" customHeight="1" x14ac:dyDescent="0.25">
      <c r="A181" t="s">
        <v>201</v>
      </c>
      <c r="B181" s="263">
        <v>81.070999999999998</v>
      </c>
      <c r="C181" s="263">
        <f t="shared" si="5"/>
        <v>0.12667343750000001</v>
      </c>
      <c r="D181" s="264" t="s">
        <v>40</v>
      </c>
      <c r="E181" s="264" t="s">
        <v>40</v>
      </c>
      <c r="F181" s="237" t="s">
        <v>42</v>
      </c>
      <c r="G181" s="131" t="s">
        <v>4</v>
      </c>
      <c r="H181" s="139">
        <v>4</v>
      </c>
      <c r="I181" s="115" t="str">
        <f>IF(EXACT(F181, G181), "none", IF(ISNUMBER(MATCH(G181, 'MP Analysis Input'!$A$15:$A$21, 0)), "soft", "hard"))</f>
        <v>hard</v>
      </c>
      <c r="J181" s="124"/>
      <c r="K181" s="245"/>
      <c r="L181" s="245"/>
    </row>
    <row r="182" spans="1:12" ht="15" customHeight="1" x14ac:dyDescent="0.25">
      <c r="A182" t="s">
        <v>202</v>
      </c>
      <c r="B182" s="263">
        <v>40.165999999999997</v>
      </c>
      <c r="C182" s="263">
        <f t="shared" si="5"/>
        <v>6.2759374999999992E-2</v>
      </c>
      <c r="D182" s="264" t="s">
        <v>198</v>
      </c>
      <c r="E182" s="264" t="s">
        <v>198</v>
      </c>
      <c r="F182" s="237" t="s">
        <v>198</v>
      </c>
      <c r="G182" s="131" t="s">
        <v>4</v>
      </c>
      <c r="H182" s="139">
        <v>1</v>
      </c>
      <c r="I182" s="115" t="str">
        <f>IF(EXACT(F182, G182), "none", IF(ISNUMBER(MATCH(G182, 'MP Analysis Input'!$A$15:$A$21, 0)), "soft", "hard"))</f>
        <v>hard</v>
      </c>
      <c r="J182" s="124"/>
      <c r="K182" s="245"/>
      <c r="L182" s="245"/>
    </row>
    <row r="183" spans="1:12" ht="15" customHeight="1" x14ac:dyDescent="0.25">
      <c r="A183" t="s">
        <v>203</v>
      </c>
      <c r="B183" s="263">
        <v>19.809000000000001</v>
      </c>
      <c r="C183" s="263">
        <f t="shared" si="5"/>
        <v>3.0951562500000002E-2</v>
      </c>
      <c r="D183" s="264" t="s">
        <v>198</v>
      </c>
      <c r="E183" s="264" t="s">
        <v>198</v>
      </c>
      <c r="F183" s="237" t="s">
        <v>198</v>
      </c>
      <c r="G183" s="131" t="s">
        <v>4</v>
      </c>
      <c r="H183" s="139">
        <v>1</v>
      </c>
      <c r="I183" s="115" t="str">
        <f>IF(EXACT(F183, G183), "none", IF(ISNUMBER(MATCH(G183, 'MP Analysis Input'!$A$15:$A$21, 0)), "soft", "hard"))</f>
        <v>hard</v>
      </c>
      <c r="J183" s="124"/>
      <c r="K183" s="245"/>
      <c r="L183" s="245"/>
    </row>
    <row r="184" spans="1:12" ht="15" customHeight="1" x14ac:dyDescent="0.25">
      <c r="A184" t="s">
        <v>204</v>
      </c>
      <c r="B184" s="263">
        <v>43.616</v>
      </c>
      <c r="C184" s="263">
        <f t="shared" si="5"/>
        <v>6.8150000000000002E-2</v>
      </c>
      <c r="D184" s="264" t="s">
        <v>40</v>
      </c>
      <c r="E184" s="264" t="s">
        <v>40</v>
      </c>
      <c r="F184" s="237" t="s">
        <v>48</v>
      </c>
      <c r="G184" s="131" t="s">
        <v>48</v>
      </c>
      <c r="H184" s="139">
        <v>0</v>
      </c>
      <c r="I184" s="115" t="str">
        <f>IF(EXACT(F184, G184), "none", IF(ISNUMBER(MATCH(G184, 'MP Analysis Input'!$A$15:$A$21, 0)), "soft", "hard"))</f>
        <v>none</v>
      </c>
      <c r="J184" s="124"/>
      <c r="K184" s="245"/>
      <c r="L184" s="245"/>
    </row>
    <row r="185" spans="1:12" ht="15" customHeight="1" x14ac:dyDescent="0.25">
      <c r="A185" t="s">
        <v>205</v>
      </c>
      <c r="B185" s="263">
        <v>40.177999999999997</v>
      </c>
      <c r="C185" s="263">
        <f t="shared" si="5"/>
        <v>6.2778125000000004E-2</v>
      </c>
      <c r="D185" s="264" t="s">
        <v>198</v>
      </c>
      <c r="E185" s="264" t="s">
        <v>198</v>
      </c>
      <c r="F185" s="237" t="s">
        <v>198</v>
      </c>
      <c r="G185" s="131" t="s">
        <v>4</v>
      </c>
      <c r="H185" s="139">
        <v>1</v>
      </c>
      <c r="I185" s="115" t="str">
        <f>IF(EXACT(F185, G185), "none", IF(ISNUMBER(MATCH(G185, 'MP Analysis Input'!$A$15:$A$21, 0)), "soft", "hard"))</f>
        <v>hard</v>
      </c>
      <c r="J185" s="124"/>
      <c r="K185" s="245"/>
      <c r="L185" s="245"/>
    </row>
    <row r="186" spans="1:12" ht="15" customHeight="1" x14ac:dyDescent="0.25">
      <c r="A186" t="s">
        <v>206</v>
      </c>
      <c r="B186" s="263">
        <v>40.165999999999997</v>
      </c>
      <c r="C186" s="263">
        <f t="shared" si="5"/>
        <v>6.2759374999999992E-2</v>
      </c>
      <c r="D186" s="264" t="s">
        <v>198</v>
      </c>
      <c r="E186" s="264" t="s">
        <v>198</v>
      </c>
      <c r="F186" s="237" t="s">
        <v>198</v>
      </c>
      <c r="G186" s="131" t="s">
        <v>4</v>
      </c>
      <c r="H186" s="139">
        <v>2</v>
      </c>
      <c r="I186" s="115" t="str">
        <f>IF(EXACT(F186, G186), "none", IF(ISNUMBER(MATCH(G186, 'MP Analysis Input'!$A$15:$A$21, 0)), "soft", "hard"))</f>
        <v>hard</v>
      </c>
      <c r="J186" s="124"/>
      <c r="K186" s="245"/>
      <c r="L186" s="245"/>
    </row>
    <row r="187" spans="1:12" ht="13.5" customHeight="1" x14ac:dyDescent="0.25">
      <c r="A187" t="s">
        <v>207</v>
      </c>
      <c r="B187" s="263">
        <v>40.167000000000002</v>
      </c>
      <c r="C187" s="263">
        <f t="shared" si="5"/>
        <v>6.2760937500000002E-2</v>
      </c>
      <c r="D187" s="264" t="s">
        <v>198</v>
      </c>
      <c r="E187" s="264" t="s">
        <v>198</v>
      </c>
      <c r="F187" s="237" t="s">
        <v>198</v>
      </c>
      <c r="G187" s="131" t="s">
        <v>4</v>
      </c>
      <c r="H187" s="139">
        <v>2</v>
      </c>
      <c r="I187" s="115" t="str">
        <f>IF(EXACT(F187, G187), "none", IF(ISNUMBER(MATCH(G187, 'MP Analysis Input'!$A$15:$A$21, 0)), "soft", "hard"))</f>
        <v>hard</v>
      </c>
      <c r="J187" s="124"/>
      <c r="K187" s="245"/>
      <c r="L187" s="245"/>
    </row>
    <row r="188" spans="1:12" ht="13.5" customHeight="1" x14ac:dyDescent="0.25">
      <c r="A188" t="s">
        <v>208</v>
      </c>
      <c r="B188" s="263">
        <v>40.165999999999997</v>
      </c>
      <c r="C188" s="263">
        <f t="shared" si="5"/>
        <v>6.2759374999999992E-2</v>
      </c>
      <c r="D188" s="264" t="s">
        <v>198</v>
      </c>
      <c r="E188" s="264" t="s">
        <v>198</v>
      </c>
      <c r="F188" s="237" t="s">
        <v>198</v>
      </c>
      <c r="G188" s="131" t="s">
        <v>4</v>
      </c>
      <c r="H188" s="139">
        <v>2</v>
      </c>
      <c r="I188" s="115" t="str">
        <f>IF(EXACT(F188, G188), "none", IF(ISNUMBER(MATCH(G188, 'MP Analysis Input'!$A$15:$A$21, 0)), "soft", "hard"))</f>
        <v>hard</v>
      </c>
      <c r="J188" s="124"/>
      <c r="K188" s="245"/>
      <c r="L188" s="245"/>
    </row>
    <row r="189" spans="1:12" ht="15.75" x14ac:dyDescent="0.25">
      <c r="A189" t="s">
        <v>209</v>
      </c>
      <c r="B189" s="263">
        <v>40.168999999999997</v>
      </c>
      <c r="C189" s="263">
        <f t="shared" si="5"/>
        <v>6.2764062499999995E-2</v>
      </c>
      <c r="D189" s="264" t="s">
        <v>198</v>
      </c>
      <c r="E189" s="264" t="s">
        <v>198</v>
      </c>
      <c r="F189" s="237" t="s">
        <v>198</v>
      </c>
      <c r="G189" s="131" t="s">
        <v>198</v>
      </c>
      <c r="H189" s="139">
        <v>0</v>
      </c>
      <c r="I189" s="115" t="str">
        <f>IF(EXACT(F189, G189), "none", IF(ISNUMBER(MATCH(G189, 'MP Analysis Input'!$A$15:$A$21, 0)), "soft", "hard"))</f>
        <v>none</v>
      </c>
      <c r="J189" s="124"/>
      <c r="K189" s="245"/>
      <c r="L189" s="245"/>
    </row>
    <row r="190" spans="1:12" ht="15.75" x14ac:dyDescent="0.25">
      <c r="A190" t="s">
        <v>210</v>
      </c>
      <c r="B190" s="263">
        <v>40.152000000000001</v>
      </c>
      <c r="C190" s="263">
        <f t="shared" si="5"/>
        <v>6.2737500000000002E-2</v>
      </c>
      <c r="D190" s="264" t="s">
        <v>198</v>
      </c>
      <c r="E190" s="264" t="s">
        <v>198</v>
      </c>
      <c r="F190" s="237" t="s">
        <v>198</v>
      </c>
      <c r="G190" s="131" t="s">
        <v>4</v>
      </c>
      <c r="H190" s="139">
        <v>2</v>
      </c>
      <c r="I190" s="115" t="str">
        <f>IF(EXACT(F190, G190), "none", IF(ISNUMBER(MATCH(G190, 'MP Analysis Input'!$A$15:$A$21, 0)), "soft", "hard"))</f>
        <v>hard</v>
      </c>
      <c r="J190" s="124"/>
      <c r="K190" s="245"/>
      <c r="L190" s="245"/>
    </row>
    <row r="191" spans="1:12" ht="15.75" x14ac:dyDescent="0.25">
      <c r="A191" t="s">
        <v>211</v>
      </c>
      <c r="B191" s="263">
        <v>40.168999999999997</v>
      </c>
      <c r="C191" s="263">
        <f t="shared" si="5"/>
        <v>6.2764062499999995E-2</v>
      </c>
      <c r="D191" s="264" t="s">
        <v>198</v>
      </c>
      <c r="E191" s="264" t="s">
        <v>198</v>
      </c>
      <c r="F191" s="237" t="s">
        <v>198</v>
      </c>
      <c r="G191" s="131" t="s">
        <v>4</v>
      </c>
      <c r="H191" s="139">
        <v>2</v>
      </c>
      <c r="I191" s="115" t="str">
        <f>IF(EXACT(F191, G191), "none", IF(ISNUMBER(MATCH(G191, 'MP Analysis Input'!$A$15:$A$21, 0)), "soft", "hard"))</f>
        <v>hard</v>
      </c>
      <c r="J191" s="124"/>
      <c r="K191" s="245"/>
      <c r="L191" s="245"/>
    </row>
    <row r="192" spans="1:12" ht="15.75" x14ac:dyDescent="0.25">
      <c r="A192" t="s">
        <v>212</v>
      </c>
      <c r="B192" s="263">
        <v>40.176000000000002</v>
      </c>
      <c r="C192" s="263">
        <f t="shared" si="5"/>
        <v>6.2775000000000011E-2</v>
      </c>
      <c r="D192" s="264" t="s">
        <v>198</v>
      </c>
      <c r="E192" s="264" t="s">
        <v>198</v>
      </c>
      <c r="F192" s="237" t="s">
        <v>198</v>
      </c>
      <c r="G192" s="131" t="s">
        <v>4</v>
      </c>
      <c r="H192" s="139">
        <v>2</v>
      </c>
      <c r="I192" s="115" t="str">
        <f>IF(EXACT(F192, G192), "none", IF(ISNUMBER(MATCH(G192, 'MP Analysis Input'!$A$15:$A$21, 0)), "soft", "hard"))</f>
        <v>hard</v>
      </c>
      <c r="J192" s="124"/>
      <c r="K192" s="245"/>
      <c r="L192" s="245"/>
    </row>
    <row r="193" spans="1:12" ht="15.75" x14ac:dyDescent="0.25">
      <c r="A193" t="s">
        <v>213</v>
      </c>
      <c r="B193" s="263">
        <v>40.171999999999997</v>
      </c>
      <c r="C193" s="263">
        <f t="shared" si="5"/>
        <v>6.2768749999999998E-2</v>
      </c>
      <c r="D193" s="264" t="s">
        <v>198</v>
      </c>
      <c r="E193" s="264" t="s">
        <v>198</v>
      </c>
      <c r="F193" s="237" t="s">
        <v>198</v>
      </c>
      <c r="G193" s="131" t="s">
        <v>4</v>
      </c>
      <c r="H193" s="139">
        <v>2</v>
      </c>
      <c r="I193" s="115" t="str">
        <f>IF(EXACT(F193, G193), "none", IF(ISNUMBER(MATCH(G193, 'MP Analysis Input'!$A$15:$A$21, 0)), "soft", "hard"))</f>
        <v>hard</v>
      </c>
      <c r="J193" s="124"/>
      <c r="K193" s="245"/>
      <c r="L193" s="245"/>
    </row>
    <row r="194" spans="1:12" ht="15.75" x14ac:dyDescent="0.25">
      <c r="A194" t="s">
        <v>214</v>
      </c>
      <c r="B194" s="263">
        <v>40.155000000000001</v>
      </c>
      <c r="C194" s="263">
        <f t="shared" si="5"/>
        <v>6.2742187500000005E-2</v>
      </c>
      <c r="D194" s="264" t="s">
        <v>198</v>
      </c>
      <c r="E194" s="264" t="s">
        <v>198</v>
      </c>
      <c r="F194" s="237" t="s">
        <v>198</v>
      </c>
      <c r="G194" s="131" t="s">
        <v>4</v>
      </c>
      <c r="H194" s="139">
        <v>2</v>
      </c>
      <c r="I194" s="115" t="str">
        <f>IF(EXACT(F194, G194), "none", IF(ISNUMBER(MATCH(G194, 'MP Analysis Input'!$A$15:$A$21, 0)), "soft", "hard"))</f>
        <v>hard</v>
      </c>
      <c r="J194" s="124"/>
      <c r="K194" s="245"/>
      <c r="L194" s="245"/>
    </row>
    <row r="195" spans="1:12" ht="15.75" x14ac:dyDescent="0.25">
      <c r="A195" t="s">
        <v>215</v>
      </c>
      <c r="B195" s="263">
        <v>40.17</v>
      </c>
      <c r="C195" s="263">
        <f t="shared" si="5"/>
        <v>6.2765625000000005E-2</v>
      </c>
      <c r="D195" s="264" t="s">
        <v>198</v>
      </c>
      <c r="E195" s="264" t="s">
        <v>198</v>
      </c>
      <c r="F195" s="237" t="s">
        <v>198</v>
      </c>
      <c r="G195" s="131" t="s">
        <v>4</v>
      </c>
      <c r="H195" s="139">
        <v>2</v>
      </c>
      <c r="I195" s="115" t="str">
        <f>IF(EXACT(F195, G195), "none", IF(ISNUMBER(MATCH(G195, 'MP Analysis Input'!$A$15:$A$21, 0)), "soft", "hard"))</f>
        <v>hard</v>
      </c>
      <c r="J195" s="124"/>
      <c r="K195" s="245"/>
      <c r="L195" s="245"/>
    </row>
    <row r="196" spans="1:12" ht="15.75" x14ac:dyDescent="0.25">
      <c r="A196" t="s">
        <v>216</v>
      </c>
      <c r="B196" s="263">
        <v>40.14</v>
      </c>
      <c r="C196" s="263">
        <f t="shared" si="5"/>
        <v>6.2718750000000004E-2</v>
      </c>
      <c r="D196" s="264" t="s">
        <v>198</v>
      </c>
      <c r="E196" s="264" t="s">
        <v>198</v>
      </c>
      <c r="F196" s="237" t="s">
        <v>198</v>
      </c>
      <c r="G196" s="131" t="s">
        <v>4</v>
      </c>
      <c r="H196" s="139">
        <v>2</v>
      </c>
      <c r="I196" s="115" t="str">
        <f>IF(EXACT(F196, G196), "none", IF(ISNUMBER(MATCH(G196, 'MP Analysis Input'!$A$15:$A$21, 0)), "soft", "hard"))</f>
        <v>hard</v>
      </c>
      <c r="J196" s="124"/>
      <c r="K196" s="245"/>
      <c r="L196" s="245"/>
    </row>
    <row r="197" spans="1:12" ht="15.75" x14ac:dyDescent="0.25">
      <c r="A197" t="s">
        <v>217</v>
      </c>
      <c r="B197" s="263">
        <v>40.161000000000001</v>
      </c>
      <c r="C197" s="263">
        <f t="shared" si="5"/>
        <v>6.275156250000001E-2</v>
      </c>
      <c r="D197" s="264" t="s">
        <v>198</v>
      </c>
      <c r="E197" s="264" t="s">
        <v>198</v>
      </c>
      <c r="F197" s="237" t="s">
        <v>198</v>
      </c>
      <c r="G197" s="131" t="s">
        <v>4</v>
      </c>
      <c r="H197" s="139">
        <v>2</v>
      </c>
      <c r="I197" s="115" t="str">
        <f>IF(EXACT(F197, G197), "none", IF(ISNUMBER(MATCH(G197, 'MP Analysis Input'!$A$15:$A$21, 0)), "soft", "hard"))</f>
        <v>hard</v>
      </c>
      <c r="J197" s="124"/>
      <c r="K197" s="245"/>
      <c r="L197" s="245"/>
    </row>
    <row r="198" spans="1:12" ht="15.75" x14ac:dyDescent="0.25">
      <c r="A198" t="s">
        <v>218</v>
      </c>
      <c r="B198" s="263">
        <v>40.173999999999999</v>
      </c>
      <c r="C198" s="263">
        <f t="shared" si="5"/>
        <v>6.2771875000000005E-2</v>
      </c>
      <c r="D198" s="264" t="s">
        <v>198</v>
      </c>
      <c r="E198" s="264" t="s">
        <v>198</v>
      </c>
      <c r="F198" s="237" t="s">
        <v>198</v>
      </c>
      <c r="G198" s="131" t="s">
        <v>4</v>
      </c>
      <c r="H198" s="139">
        <v>2</v>
      </c>
      <c r="I198" s="115" t="str">
        <f>IF(EXACT(F198, G198), "none", IF(ISNUMBER(MATCH(G198, 'MP Analysis Input'!$A$15:$A$21, 0)), "soft", "hard"))</f>
        <v>hard</v>
      </c>
      <c r="J198" s="124"/>
      <c r="K198" s="245"/>
      <c r="L198" s="245"/>
    </row>
    <row r="199" spans="1:12" ht="15.75" x14ac:dyDescent="0.25">
      <c r="A199" t="s">
        <v>219</v>
      </c>
      <c r="B199" s="263">
        <v>40.167999999999999</v>
      </c>
      <c r="C199" s="263">
        <f t="shared" si="5"/>
        <v>6.2762499999999999E-2</v>
      </c>
      <c r="D199" s="264" t="s">
        <v>198</v>
      </c>
      <c r="E199" s="264" t="s">
        <v>198</v>
      </c>
      <c r="F199" s="237" t="s">
        <v>198</v>
      </c>
      <c r="G199" s="131" t="s">
        <v>4</v>
      </c>
      <c r="H199" s="139">
        <v>2</v>
      </c>
      <c r="I199" s="115" t="str">
        <f>IF(EXACT(F199, G199), "none", IF(ISNUMBER(MATCH(G199, 'MP Analysis Input'!$A$15:$A$21, 0)), "soft", "hard"))</f>
        <v>hard</v>
      </c>
      <c r="J199" s="124"/>
      <c r="K199" s="245"/>
      <c r="L199" s="245"/>
    </row>
    <row r="200" spans="1:12" ht="15.75" x14ac:dyDescent="0.25">
      <c r="A200" t="s">
        <v>220</v>
      </c>
      <c r="B200" s="263">
        <v>40.152000000000001</v>
      </c>
      <c r="C200" s="263">
        <f t="shared" si="5"/>
        <v>6.2737500000000002E-2</v>
      </c>
      <c r="D200" s="264" t="s">
        <v>198</v>
      </c>
      <c r="E200" s="264" t="s">
        <v>198</v>
      </c>
      <c r="F200" s="237" t="s">
        <v>198</v>
      </c>
      <c r="G200" s="131" t="s">
        <v>4</v>
      </c>
      <c r="H200" s="139">
        <v>2</v>
      </c>
      <c r="I200" s="115" t="str">
        <f>IF(EXACT(F200, G200), "none", IF(ISNUMBER(MATCH(G200, 'MP Analysis Input'!$A$15:$A$21, 0)), "soft", "hard"))</f>
        <v>hard</v>
      </c>
      <c r="J200" s="124"/>
      <c r="K200" s="245"/>
      <c r="L200" s="245"/>
    </row>
    <row r="201" spans="1:12" ht="15.75" x14ac:dyDescent="0.25">
      <c r="A201" t="s">
        <v>221</v>
      </c>
      <c r="B201" s="263">
        <v>40.168999999999997</v>
      </c>
      <c r="C201" s="263">
        <f t="shared" si="5"/>
        <v>6.2764062499999995E-2</v>
      </c>
      <c r="D201" s="264" t="s">
        <v>198</v>
      </c>
      <c r="E201" s="264" t="s">
        <v>198</v>
      </c>
      <c r="F201" s="237" t="s">
        <v>198</v>
      </c>
      <c r="G201" s="131" t="s">
        <v>4</v>
      </c>
      <c r="H201" s="139">
        <v>2</v>
      </c>
      <c r="I201" s="115" t="str">
        <f>IF(EXACT(F201, G201), "none", IF(ISNUMBER(MATCH(G201, 'MP Analysis Input'!$A$15:$A$21, 0)), "soft", "hard"))</f>
        <v>hard</v>
      </c>
      <c r="J201" s="124"/>
      <c r="K201" s="245"/>
      <c r="L201" s="245"/>
    </row>
    <row r="202" spans="1:12" ht="15.75" x14ac:dyDescent="0.25">
      <c r="A202" t="s">
        <v>222</v>
      </c>
      <c r="B202" s="263">
        <v>40.171999999999997</v>
      </c>
      <c r="C202" s="263">
        <f t="shared" si="5"/>
        <v>6.2768749999999998E-2</v>
      </c>
      <c r="D202" s="264" t="s">
        <v>198</v>
      </c>
      <c r="E202" s="264" t="s">
        <v>198</v>
      </c>
      <c r="F202" s="237" t="s">
        <v>198</v>
      </c>
      <c r="G202" s="131" t="s">
        <v>4</v>
      </c>
      <c r="H202" s="139">
        <v>2</v>
      </c>
      <c r="I202" s="115" t="str">
        <f>IF(EXACT(F202, G202), "none", IF(ISNUMBER(MATCH(G202, 'MP Analysis Input'!$A$15:$A$21, 0)), "soft", "hard"))</f>
        <v>hard</v>
      </c>
      <c r="J202" s="124"/>
      <c r="K202" s="245"/>
      <c r="L202" s="245"/>
    </row>
    <row r="203" spans="1:12" ht="15.75" x14ac:dyDescent="0.25">
      <c r="A203" t="s">
        <v>223</v>
      </c>
      <c r="B203" s="263">
        <v>40.155999999999999</v>
      </c>
      <c r="C203" s="263">
        <f t="shared" si="5"/>
        <v>6.2743750000000001E-2</v>
      </c>
      <c r="D203" s="264" t="s">
        <v>198</v>
      </c>
      <c r="E203" s="264" t="s">
        <v>198</v>
      </c>
      <c r="F203" s="237" t="s">
        <v>198</v>
      </c>
      <c r="G203" s="131" t="s">
        <v>4</v>
      </c>
      <c r="H203" s="139">
        <v>2</v>
      </c>
      <c r="I203" s="115" t="str">
        <f>IF(EXACT(F203, G203), "none", IF(ISNUMBER(MATCH(G203, 'MP Analysis Input'!$A$15:$A$21, 0)), "soft", "hard"))</f>
        <v>hard</v>
      </c>
      <c r="J203" s="124"/>
      <c r="K203" s="245"/>
      <c r="L203" s="245"/>
    </row>
    <row r="204" spans="1:12" ht="15.75" x14ac:dyDescent="0.25">
      <c r="A204" t="s">
        <v>224</v>
      </c>
      <c r="B204" s="263">
        <v>40.15</v>
      </c>
      <c r="C204" s="263">
        <f t="shared" si="5"/>
        <v>6.2734374999999995E-2</v>
      </c>
      <c r="D204" s="264" t="s">
        <v>198</v>
      </c>
      <c r="E204" s="264" t="s">
        <v>198</v>
      </c>
      <c r="F204" s="237" t="s">
        <v>198</v>
      </c>
      <c r="G204" s="131" t="s">
        <v>4</v>
      </c>
      <c r="H204" s="139">
        <v>2</v>
      </c>
      <c r="I204" s="115" t="str">
        <f>IF(EXACT(F204, G204), "none", IF(ISNUMBER(MATCH(G204, 'MP Analysis Input'!$A$15:$A$21, 0)), "soft", "hard"))</f>
        <v>hard</v>
      </c>
      <c r="J204" s="124"/>
      <c r="K204" s="245"/>
      <c r="L204" s="245"/>
    </row>
    <row r="205" spans="1:12" ht="15.75" x14ac:dyDescent="0.25">
      <c r="A205" t="s">
        <v>225</v>
      </c>
      <c r="B205" s="263">
        <v>40.168999999999997</v>
      </c>
      <c r="C205" s="263">
        <f t="shared" si="5"/>
        <v>6.2764062499999995E-2</v>
      </c>
      <c r="D205" s="264" t="s">
        <v>198</v>
      </c>
      <c r="E205" s="264" t="s">
        <v>198</v>
      </c>
      <c r="F205" s="237" t="s">
        <v>198</v>
      </c>
      <c r="G205" s="131" t="s">
        <v>4</v>
      </c>
      <c r="H205" s="139">
        <v>2</v>
      </c>
      <c r="I205" s="115" t="str">
        <f>IF(EXACT(F205, G205), "none", IF(ISNUMBER(MATCH(G205, 'MP Analysis Input'!$A$15:$A$21, 0)), "soft", "hard"))</f>
        <v>hard</v>
      </c>
      <c r="J205" s="124"/>
      <c r="K205" s="245"/>
      <c r="L205" s="245"/>
    </row>
    <row r="206" spans="1:12" ht="15.75" x14ac:dyDescent="0.25">
      <c r="A206" t="s">
        <v>226</v>
      </c>
      <c r="B206" s="263">
        <v>40.174999999999997</v>
      </c>
      <c r="C206" s="263">
        <f t="shared" si="5"/>
        <v>6.2773437500000001E-2</v>
      </c>
      <c r="D206" s="264" t="s">
        <v>198</v>
      </c>
      <c r="E206" s="264" t="s">
        <v>198</v>
      </c>
      <c r="F206" s="237" t="s">
        <v>198</v>
      </c>
      <c r="G206" s="131" t="s">
        <v>4</v>
      </c>
      <c r="H206" s="139">
        <v>2</v>
      </c>
      <c r="I206" s="115" t="str">
        <f>IF(EXACT(F206, G206), "none", IF(ISNUMBER(MATCH(G206, 'MP Analysis Input'!$A$15:$A$21, 0)), "soft", "hard"))</f>
        <v>hard</v>
      </c>
      <c r="J206" s="124"/>
      <c r="K206" s="245"/>
      <c r="L206" s="245"/>
    </row>
    <row r="207" spans="1:12" ht="15.75" x14ac:dyDescent="0.25">
      <c r="A207" t="s">
        <v>227</v>
      </c>
      <c r="B207" s="263">
        <v>40.158999999999999</v>
      </c>
      <c r="C207" s="263">
        <f t="shared" si="5"/>
        <v>6.2748437500000004E-2</v>
      </c>
      <c r="D207" s="264" t="s">
        <v>198</v>
      </c>
      <c r="E207" s="264" t="s">
        <v>198</v>
      </c>
      <c r="F207" s="237" t="s">
        <v>198</v>
      </c>
      <c r="G207" s="131" t="s">
        <v>4</v>
      </c>
      <c r="H207" s="139">
        <v>2</v>
      </c>
      <c r="I207" s="115" t="str">
        <f>IF(EXACT(F207, G207), "none", IF(ISNUMBER(MATCH(G207, 'MP Analysis Input'!$A$15:$A$21, 0)), "soft", "hard"))</f>
        <v>hard</v>
      </c>
      <c r="J207" s="124"/>
      <c r="K207" s="245"/>
      <c r="L207" s="245"/>
    </row>
    <row r="208" spans="1:12" ht="15.75" x14ac:dyDescent="0.25">
      <c r="A208" t="s">
        <v>228</v>
      </c>
      <c r="B208" s="263">
        <v>40.15</v>
      </c>
      <c r="C208" s="263">
        <f t="shared" si="5"/>
        <v>6.2734374999999995E-2</v>
      </c>
      <c r="D208" s="264" t="s">
        <v>198</v>
      </c>
      <c r="E208" s="264" t="s">
        <v>198</v>
      </c>
      <c r="F208" s="237" t="s">
        <v>198</v>
      </c>
      <c r="G208" s="131" t="s">
        <v>4</v>
      </c>
      <c r="H208" s="139">
        <v>2</v>
      </c>
      <c r="I208" s="115" t="str">
        <f>IF(EXACT(F208, G208), "none", IF(ISNUMBER(MATCH(G208, 'MP Analysis Input'!$A$15:$A$21, 0)), "soft", "hard"))</f>
        <v>hard</v>
      </c>
      <c r="J208" s="124"/>
      <c r="K208" s="245"/>
      <c r="L208" s="245"/>
    </row>
    <row r="209" spans="1:12" ht="15.75" x14ac:dyDescent="0.25">
      <c r="A209" t="s">
        <v>229</v>
      </c>
      <c r="B209" s="263">
        <v>40.146999999999998</v>
      </c>
      <c r="C209" s="263">
        <f t="shared" si="5"/>
        <v>6.2729687500000006E-2</v>
      </c>
      <c r="D209" s="264" t="s">
        <v>198</v>
      </c>
      <c r="E209" s="264" t="s">
        <v>198</v>
      </c>
      <c r="F209" s="237" t="s">
        <v>198</v>
      </c>
      <c r="G209" s="131" t="s">
        <v>4</v>
      </c>
      <c r="H209" s="139">
        <v>3</v>
      </c>
      <c r="I209" s="115" t="str">
        <f>IF(EXACT(F209, G209), "none", IF(ISNUMBER(MATCH(G209, 'MP Analysis Input'!$A$15:$A$21, 0)), "soft", "hard"))</f>
        <v>hard</v>
      </c>
      <c r="J209" s="124"/>
      <c r="K209" s="245"/>
      <c r="L209" s="245"/>
    </row>
    <row r="210" spans="1:12" ht="15.75" x14ac:dyDescent="0.25">
      <c r="A210" t="s">
        <v>230</v>
      </c>
      <c r="B210" s="263">
        <v>40.152999999999999</v>
      </c>
      <c r="C210" s="263">
        <f t="shared" si="5"/>
        <v>6.2739062499999998E-2</v>
      </c>
      <c r="D210" s="264" t="s">
        <v>198</v>
      </c>
      <c r="E210" s="264" t="s">
        <v>198</v>
      </c>
      <c r="F210" s="237" t="s">
        <v>198</v>
      </c>
      <c r="G210" s="131" t="s">
        <v>4</v>
      </c>
      <c r="H210" s="139">
        <v>2</v>
      </c>
      <c r="I210" s="115" t="str">
        <f>IF(EXACT(F210, G210), "none", IF(ISNUMBER(MATCH(G210, 'MP Analysis Input'!$A$15:$A$21, 0)), "soft", "hard"))</f>
        <v>hard</v>
      </c>
      <c r="J210" s="124"/>
      <c r="K210" s="245"/>
      <c r="L210" s="245"/>
    </row>
    <row r="211" spans="1:12" ht="15.75" x14ac:dyDescent="0.25">
      <c r="A211" t="s">
        <v>231</v>
      </c>
      <c r="B211" s="263">
        <v>40.185000000000002</v>
      </c>
      <c r="C211" s="263">
        <f t="shared" si="5"/>
        <v>6.2789062500000006E-2</v>
      </c>
      <c r="D211" s="264" t="s">
        <v>198</v>
      </c>
      <c r="E211" s="264" t="s">
        <v>198</v>
      </c>
      <c r="F211" s="237" t="s">
        <v>198</v>
      </c>
      <c r="G211" s="131" t="s">
        <v>4</v>
      </c>
      <c r="H211" s="139">
        <v>2</v>
      </c>
      <c r="I211" s="115" t="str">
        <f>IF(EXACT(F211, G211), "none", IF(ISNUMBER(MATCH(G211, 'MP Analysis Input'!$A$15:$A$21, 0)), "soft", "hard"))</f>
        <v>hard</v>
      </c>
      <c r="J211" s="124"/>
      <c r="K211" s="245"/>
      <c r="L211" s="245"/>
    </row>
    <row r="212" spans="1:12" ht="15.75" x14ac:dyDescent="0.25">
      <c r="A212" t="s">
        <v>232</v>
      </c>
      <c r="B212" s="263">
        <v>40.162999999999997</v>
      </c>
      <c r="C212" s="263">
        <f t="shared" si="5"/>
        <v>6.2754687500000003E-2</v>
      </c>
      <c r="D212" s="264" t="s">
        <v>198</v>
      </c>
      <c r="E212" s="264" t="s">
        <v>198</v>
      </c>
      <c r="F212" s="237" t="s">
        <v>198</v>
      </c>
      <c r="G212" s="131" t="s">
        <v>4</v>
      </c>
      <c r="H212" s="139">
        <v>2</v>
      </c>
      <c r="I212" s="115" t="str">
        <f>IF(EXACT(F212, G212), "none", IF(ISNUMBER(MATCH(G212, 'MP Analysis Input'!$A$15:$A$21, 0)), "soft", "hard"))</f>
        <v>hard</v>
      </c>
      <c r="J212" s="124"/>
      <c r="K212" s="245"/>
      <c r="L212" s="245"/>
    </row>
    <row r="213" spans="1:12" ht="15.75" x14ac:dyDescent="0.25">
      <c r="A213" t="s">
        <v>233</v>
      </c>
      <c r="B213" s="263">
        <v>40.180999999999997</v>
      </c>
      <c r="C213" s="263">
        <f t="shared" si="5"/>
        <v>6.2782812499999993E-2</v>
      </c>
      <c r="D213" s="264" t="s">
        <v>198</v>
      </c>
      <c r="E213" s="264" t="s">
        <v>198</v>
      </c>
      <c r="F213" s="237" t="s">
        <v>198</v>
      </c>
      <c r="G213" s="131" t="s">
        <v>4</v>
      </c>
      <c r="H213" s="139">
        <v>2</v>
      </c>
      <c r="I213" s="115" t="str">
        <f>IF(EXACT(F213, G213), "none", IF(ISNUMBER(MATCH(G213, 'MP Analysis Input'!$A$15:$A$21, 0)), "soft", "hard"))</f>
        <v>hard</v>
      </c>
      <c r="J213" s="124"/>
      <c r="K213" s="245"/>
      <c r="L213" s="245"/>
    </row>
    <row r="214" spans="1:12" ht="15.75" x14ac:dyDescent="0.25">
      <c r="A214" t="s">
        <v>234</v>
      </c>
      <c r="B214" s="263">
        <v>40.182000000000002</v>
      </c>
      <c r="C214" s="263">
        <f t="shared" si="5"/>
        <v>6.2784375000000003E-2</v>
      </c>
      <c r="D214" s="264" t="s">
        <v>198</v>
      </c>
      <c r="E214" s="264" t="s">
        <v>198</v>
      </c>
      <c r="F214" s="237" t="s">
        <v>198</v>
      </c>
      <c r="G214" s="131" t="s">
        <v>4</v>
      </c>
      <c r="H214" s="139">
        <v>2</v>
      </c>
      <c r="I214" s="115" t="str">
        <f>IF(EXACT(F214, G214), "none", IF(ISNUMBER(MATCH(G214, 'MP Analysis Input'!$A$15:$A$21, 0)), "soft", "hard"))</f>
        <v>hard</v>
      </c>
      <c r="J214" s="124"/>
      <c r="K214" s="245"/>
      <c r="L214" s="245"/>
    </row>
    <row r="215" spans="1:12" ht="15.75" x14ac:dyDescent="0.25">
      <c r="A215" t="s">
        <v>235</v>
      </c>
      <c r="B215" s="263">
        <v>40.164000000000001</v>
      </c>
      <c r="C215" s="263">
        <f t="shared" si="5"/>
        <v>6.275625E-2</v>
      </c>
      <c r="D215" s="264" t="s">
        <v>198</v>
      </c>
      <c r="E215" s="264" t="s">
        <v>198</v>
      </c>
      <c r="F215" s="237" t="s">
        <v>198</v>
      </c>
      <c r="G215" s="131" t="s">
        <v>4</v>
      </c>
      <c r="H215" s="139">
        <v>2</v>
      </c>
      <c r="I215" s="115" t="str">
        <f>IF(EXACT(F215, G215), "none", IF(ISNUMBER(MATCH(G215, 'MP Analysis Input'!$A$15:$A$21, 0)), "soft", "hard"))</f>
        <v>hard</v>
      </c>
      <c r="J215" s="124"/>
      <c r="K215" s="245"/>
      <c r="L215" s="245"/>
    </row>
    <row r="216" spans="1:12" ht="15.75" x14ac:dyDescent="0.25">
      <c r="A216" t="s">
        <v>236</v>
      </c>
      <c r="B216" s="263">
        <v>40.165999999999997</v>
      </c>
      <c r="C216" s="263">
        <f t="shared" si="5"/>
        <v>6.2759374999999992E-2</v>
      </c>
      <c r="D216" s="264" t="s">
        <v>198</v>
      </c>
      <c r="E216" s="264" t="s">
        <v>198</v>
      </c>
      <c r="F216" s="237" t="s">
        <v>198</v>
      </c>
      <c r="G216" s="131" t="s">
        <v>4</v>
      </c>
      <c r="H216" s="139">
        <v>3</v>
      </c>
      <c r="I216" s="115" t="str">
        <f>IF(EXACT(F216, G216), "none", IF(ISNUMBER(MATCH(G216, 'MP Analysis Input'!$A$15:$A$21, 0)), "soft", "hard"))</f>
        <v>hard</v>
      </c>
      <c r="J216" s="124"/>
      <c r="K216" s="245"/>
      <c r="L216" s="245"/>
    </row>
    <row r="217" spans="1:12" ht="15.75" x14ac:dyDescent="0.25">
      <c r="A217" t="s">
        <v>237</v>
      </c>
      <c r="B217" s="263">
        <v>40.183999999999997</v>
      </c>
      <c r="C217" s="263">
        <f t="shared" si="5"/>
        <v>6.2787499999999996E-2</v>
      </c>
      <c r="D217" s="264" t="s">
        <v>198</v>
      </c>
      <c r="E217" s="264" t="s">
        <v>198</v>
      </c>
      <c r="F217" s="237" t="s">
        <v>198</v>
      </c>
      <c r="G217" s="131" t="s">
        <v>4</v>
      </c>
      <c r="H217" s="139">
        <v>3</v>
      </c>
      <c r="I217" s="115" t="str">
        <f>IF(EXACT(F217, G217), "none", IF(ISNUMBER(MATCH(G217, 'MP Analysis Input'!$A$15:$A$21, 0)), "soft", "hard"))</f>
        <v>hard</v>
      </c>
      <c r="J217" s="124"/>
      <c r="K217" s="245"/>
      <c r="L217" s="245"/>
    </row>
    <row r="218" spans="1:12" ht="15.75" x14ac:dyDescent="0.25">
      <c r="A218" t="s">
        <v>238</v>
      </c>
      <c r="B218" s="263">
        <v>40.167000000000002</v>
      </c>
      <c r="C218" s="263">
        <f t="shared" si="5"/>
        <v>6.2760937500000002E-2</v>
      </c>
      <c r="D218" s="264" t="s">
        <v>198</v>
      </c>
      <c r="E218" s="264" t="s">
        <v>198</v>
      </c>
      <c r="F218" s="237" t="s">
        <v>198</v>
      </c>
      <c r="G218" s="131" t="s">
        <v>4</v>
      </c>
      <c r="H218" s="139">
        <v>3</v>
      </c>
      <c r="I218" s="115" t="str">
        <f>IF(EXACT(F218, G218), "none", IF(ISNUMBER(MATCH(G218, 'MP Analysis Input'!$A$15:$A$21, 0)), "soft", "hard"))</f>
        <v>hard</v>
      </c>
      <c r="J218" s="124"/>
      <c r="K218" s="245"/>
      <c r="L218" s="245"/>
    </row>
    <row r="219" spans="1:12" ht="15.75" x14ac:dyDescent="0.25">
      <c r="A219" t="s">
        <v>239</v>
      </c>
      <c r="B219" s="263">
        <v>40.149000000000001</v>
      </c>
      <c r="C219" s="263">
        <f t="shared" ref="C219:C241" si="8">B219*0.0015625</f>
        <v>6.2732812499999999E-2</v>
      </c>
      <c r="D219" s="264" t="s">
        <v>198</v>
      </c>
      <c r="E219" s="264" t="s">
        <v>198</v>
      </c>
      <c r="F219" s="237" t="s">
        <v>198</v>
      </c>
      <c r="G219" s="131" t="s">
        <v>4</v>
      </c>
      <c r="H219" s="139">
        <v>3</v>
      </c>
      <c r="I219" s="115" t="str">
        <f>IF(EXACT(F219, G219), "none", IF(ISNUMBER(MATCH(G219, 'MP Analysis Input'!$A$15:$A$21, 0)), "soft", "hard"))</f>
        <v>hard</v>
      </c>
      <c r="J219" s="124"/>
      <c r="K219" s="245"/>
      <c r="L219" s="245"/>
    </row>
    <row r="220" spans="1:12" ht="15.75" x14ac:dyDescent="0.25">
      <c r="A220" t="s">
        <v>240</v>
      </c>
      <c r="B220" s="263">
        <v>40.162999999999997</v>
      </c>
      <c r="C220" s="263">
        <f t="shared" si="8"/>
        <v>6.2754687500000003E-2</v>
      </c>
      <c r="D220" s="264" t="s">
        <v>198</v>
      </c>
      <c r="E220" s="264" t="s">
        <v>198</v>
      </c>
      <c r="F220" s="237" t="s">
        <v>198</v>
      </c>
      <c r="G220" s="131" t="s">
        <v>4</v>
      </c>
      <c r="H220" s="139">
        <v>3</v>
      </c>
      <c r="I220" s="115" t="str">
        <f>IF(EXACT(F220, G220), "none", IF(ISNUMBER(MATCH(G220, 'MP Analysis Input'!$A$15:$A$21, 0)), "soft", "hard"))</f>
        <v>hard</v>
      </c>
      <c r="J220" s="124"/>
      <c r="K220" s="245"/>
      <c r="L220" s="245"/>
    </row>
    <row r="221" spans="1:12" ht="15.75" x14ac:dyDescent="0.25">
      <c r="A221" t="s">
        <v>241</v>
      </c>
      <c r="B221" s="263">
        <v>40.180999999999997</v>
      </c>
      <c r="C221" s="263">
        <f t="shared" si="8"/>
        <v>6.2782812499999993E-2</v>
      </c>
      <c r="D221" s="264" t="s">
        <v>198</v>
      </c>
      <c r="E221" s="264" t="s">
        <v>198</v>
      </c>
      <c r="F221" s="237" t="s">
        <v>198</v>
      </c>
      <c r="G221" s="131" t="s">
        <v>4</v>
      </c>
      <c r="H221" s="139">
        <v>3</v>
      </c>
      <c r="I221" s="115" t="str">
        <f>IF(EXACT(F221, G221), "none", IF(ISNUMBER(MATCH(G221, 'MP Analysis Input'!$A$15:$A$21, 0)), "soft", "hard"))</f>
        <v>hard</v>
      </c>
      <c r="J221" s="124"/>
      <c r="K221" s="245"/>
      <c r="L221" s="245"/>
    </row>
    <row r="222" spans="1:12" ht="15.75" x14ac:dyDescent="0.25">
      <c r="A222" t="s">
        <v>242</v>
      </c>
      <c r="B222" s="263">
        <v>40.167000000000002</v>
      </c>
      <c r="C222" s="263">
        <f t="shared" si="8"/>
        <v>6.2760937500000002E-2</v>
      </c>
      <c r="D222" s="264" t="s">
        <v>198</v>
      </c>
      <c r="E222" s="264" t="s">
        <v>198</v>
      </c>
      <c r="F222" s="237" t="s">
        <v>198</v>
      </c>
      <c r="G222" s="131" t="s">
        <v>4</v>
      </c>
      <c r="H222" s="139">
        <v>3</v>
      </c>
      <c r="I222" s="115" t="str">
        <f>IF(EXACT(F222, G222), "none", IF(ISNUMBER(MATCH(G222, 'MP Analysis Input'!$A$15:$A$21, 0)), "soft", "hard"))</f>
        <v>hard</v>
      </c>
      <c r="J222" s="124"/>
      <c r="K222" s="245"/>
      <c r="L222" s="245"/>
    </row>
    <row r="223" spans="1:12" ht="15.75" x14ac:dyDescent="0.25">
      <c r="A223" t="s">
        <v>243</v>
      </c>
      <c r="B223" s="263">
        <v>40.146000000000001</v>
      </c>
      <c r="C223" s="263">
        <f t="shared" si="8"/>
        <v>6.272812500000001E-2</v>
      </c>
      <c r="D223" s="264" t="s">
        <v>198</v>
      </c>
      <c r="E223" s="264" t="s">
        <v>198</v>
      </c>
      <c r="F223" s="237" t="s">
        <v>198</v>
      </c>
      <c r="G223" s="131" t="s">
        <v>4</v>
      </c>
      <c r="H223" s="139">
        <v>3</v>
      </c>
      <c r="I223" s="115" t="str">
        <f>IF(EXACT(F223, G223), "none", IF(ISNUMBER(MATCH(G223, 'MP Analysis Input'!$A$15:$A$21, 0)), "soft", "hard"))</f>
        <v>hard</v>
      </c>
      <c r="J223" s="124"/>
      <c r="K223" s="245"/>
      <c r="L223" s="245"/>
    </row>
    <row r="224" spans="1:12" ht="15.75" x14ac:dyDescent="0.25">
      <c r="A224" t="s">
        <v>244</v>
      </c>
      <c r="B224" s="263">
        <v>40.128999999999998</v>
      </c>
      <c r="C224" s="263">
        <f t="shared" si="8"/>
        <v>6.2701562500000002E-2</v>
      </c>
      <c r="D224" s="264" t="s">
        <v>198</v>
      </c>
      <c r="E224" s="264" t="s">
        <v>198</v>
      </c>
      <c r="F224" s="237" t="s">
        <v>198</v>
      </c>
      <c r="G224" s="131" t="s">
        <v>198</v>
      </c>
      <c r="H224" s="139">
        <v>0</v>
      </c>
      <c r="I224" s="115" t="str">
        <f>IF(EXACT(F224, G224), "none", IF(ISNUMBER(MATCH(G224, 'MP Analysis Input'!$A$15:$A$21, 0)), "soft", "hard"))</f>
        <v>none</v>
      </c>
      <c r="J224" s="124"/>
      <c r="K224" s="245"/>
      <c r="L224" s="245"/>
    </row>
    <row r="225" spans="1:12" ht="15.75" x14ac:dyDescent="0.25">
      <c r="A225" t="s">
        <v>245</v>
      </c>
      <c r="B225" s="263">
        <v>40.145000000000003</v>
      </c>
      <c r="C225" s="263">
        <f t="shared" si="8"/>
        <v>6.2726562500000013E-2</v>
      </c>
      <c r="D225" s="264" t="s">
        <v>198</v>
      </c>
      <c r="E225" s="264" t="s">
        <v>198</v>
      </c>
      <c r="F225" s="237" t="s">
        <v>198</v>
      </c>
      <c r="G225" s="131" t="s">
        <v>4</v>
      </c>
      <c r="H225" s="139">
        <v>3</v>
      </c>
      <c r="I225" s="115" t="str">
        <f>IF(EXACT(F225, G225), "none", IF(ISNUMBER(MATCH(G225, 'MP Analysis Input'!$A$15:$A$21, 0)), "soft", "hard"))</f>
        <v>hard</v>
      </c>
      <c r="J225" s="124"/>
      <c r="K225" s="245"/>
      <c r="L225" s="245"/>
    </row>
    <row r="226" spans="1:12" ht="15.75" x14ac:dyDescent="0.25">
      <c r="A226" t="s">
        <v>246</v>
      </c>
      <c r="B226" s="263">
        <v>40.149000000000001</v>
      </c>
      <c r="C226" s="263">
        <f t="shared" si="8"/>
        <v>6.2732812499999999E-2</v>
      </c>
      <c r="D226" s="264" t="s">
        <v>198</v>
      </c>
      <c r="E226" s="264" t="s">
        <v>198</v>
      </c>
      <c r="F226" s="237" t="s">
        <v>198</v>
      </c>
      <c r="G226" s="131" t="s">
        <v>4</v>
      </c>
      <c r="H226" s="139">
        <v>3</v>
      </c>
      <c r="I226" s="115" t="str">
        <f>IF(EXACT(F226, G226), "none", IF(ISNUMBER(MATCH(G226, 'MP Analysis Input'!$A$15:$A$21, 0)), "soft", "hard"))</f>
        <v>hard</v>
      </c>
      <c r="J226" s="124"/>
      <c r="K226" s="245"/>
      <c r="L226" s="245"/>
    </row>
    <row r="227" spans="1:12" ht="15.75" x14ac:dyDescent="0.25">
      <c r="A227" t="s">
        <v>247</v>
      </c>
      <c r="B227" s="263">
        <v>39.851999999999997</v>
      </c>
      <c r="C227" s="263">
        <f t="shared" si="8"/>
        <v>6.2268749999999998E-2</v>
      </c>
      <c r="D227" s="264" t="s">
        <v>198</v>
      </c>
      <c r="E227" s="264" t="s">
        <v>198</v>
      </c>
      <c r="F227" s="237" t="s">
        <v>198</v>
      </c>
      <c r="G227" s="131" t="s">
        <v>198</v>
      </c>
      <c r="H227" s="139">
        <v>0</v>
      </c>
      <c r="I227" s="115" t="str">
        <f>IF(EXACT(F227, G227), "none", IF(ISNUMBER(MATCH(G227, 'MP Analysis Input'!$A$15:$A$21, 0)), "soft", "hard"))</f>
        <v>none</v>
      </c>
      <c r="J227" s="124"/>
      <c r="K227" s="245"/>
      <c r="L227" s="245"/>
    </row>
    <row r="228" spans="1:12" ht="15.75" x14ac:dyDescent="0.25">
      <c r="A228" t="s">
        <v>248</v>
      </c>
      <c r="B228" s="263">
        <v>40.146999999999998</v>
      </c>
      <c r="C228" s="263">
        <f t="shared" si="8"/>
        <v>6.2729687500000006E-2</v>
      </c>
      <c r="D228" s="264" t="s">
        <v>198</v>
      </c>
      <c r="E228" s="264" t="s">
        <v>198</v>
      </c>
      <c r="F228" s="237" t="s">
        <v>198</v>
      </c>
      <c r="G228" s="131" t="s">
        <v>198</v>
      </c>
      <c r="H228" s="139">
        <v>0</v>
      </c>
      <c r="I228" s="115" t="str">
        <f>IF(EXACT(F228, G228), "none", IF(ISNUMBER(MATCH(G228, 'MP Analysis Input'!$A$15:$A$21, 0)), "soft", "hard"))</f>
        <v>none</v>
      </c>
      <c r="J228" s="124"/>
      <c r="K228" s="245"/>
      <c r="L228" s="245"/>
    </row>
    <row r="229" spans="1:12" ht="15.75" x14ac:dyDescent="0.25">
      <c r="A229" t="s">
        <v>249</v>
      </c>
      <c r="B229" s="263">
        <v>40.152000000000001</v>
      </c>
      <c r="C229" s="263">
        <f t="shared" si="8"/>
        <v>6.2737500000000002E-2</v>
      </c>
      <c r="D229" s="264" t="s">
        <v>198</v>
      </c>
      <c r="E229" s="264" t="s">
        <v>198</v>
      </c>
      <c r="F229" s="237" t="s">
        <v>198</v>
      </c>
      <c r="G229" s="131" t="s">
        <v>198</v>
      </c>
      <c r="H229" s="139">
        <v>0</v>
      </c>
      <c r="I229" s="115" t="str">
        <f>IF(EXACT(F229, G229), "none", IF(ISNUMBER(MATCH(G229, 'MP Analysis Input'!$A$15:$A$21, 0)), "soft", "hard"))</f>
        <v>none</v>
      </c>
      <c r="J229" s="124"/>
      <c r="K229" s="245"/>
      <c r="L229" s="245"/>
    </row>
    <row r="230" spans="1:12" ht="15.75" x14ac:dyDescent="0.25">
      <c r="A230" t="s">
        <v>250</v>
      </c>
      <c r="B230" s="263">
        <v>40.167000000000002</v>
      </c>
      <c r="C230" s="263">
        <f t="shared" si="8"/>
        <v>6.2760937500000002E-2</v>
      </c>
      <c r="D230" s="264" t="s">
        <v>198</v>
      </c>
      <c r="E230" s="264" t="s">
        <v>198</v>
      </c>
      <c r="F230" s="237" t="s">
        <v>198</v>
      </c>
      <c r="G230" s="131" t="s">
        <v>198</v>
      </c>
      <c r="H230" s="139">
        <v>0</v>
      </c>
      <c r="I230" s="115" t="str">
        <f>IF(EXACT(F230, G230), "none", IF(ISNUMBER(MATCH(G230, 'MP Analysis Input'!$A$15:$A$21, 0)), "soft", "hard"))</f>
        <v>none</v>
      </c>
      <c r="J230" s="124"/>
      <c r="K230" s="245"/>
      <c r="L230" s="245"/>
    </row>
    <row r="231" spans="1:12" ht="15.75" x14ac:dyDescent="0.25">
      <c r="A231" t="s">
        <v>251</v>
      </c>
      <c r="B231" s="263">
        <v>40.570999999999998</v>
      </c>
      <c r="C231" s="263">
        <f t="shared" si="8"/>
        <v>6.3392187500000002E-2</v>
      </c>
      <c r="D231" s="264" t="s">
        <v>198</v>
      </c>
      <c r="E231" s="264" t="s">
        <v>198</v>
      </c>
      <c r="F231" s="237" t="s">
        <v>198</v>
      </c>
      <c r="G231" s="131" t="s">
        <v>198</v>
      </c>
      <c r="H231" s="139">
        <v>0</v>
      </c>
      <c r="I231" s="115" t="str">
        <f>IF(EXACT(F231, G231), "none", IF(ISNUMBER(MATCH(G231, 'MP Analysis Input'!$A$15:$A$21, 0)), "soft", "hard"))</f>
        <v>none</v>
      </c>
      <c r="J231" s="124"/>
      <c r="K231" s="245"/>
      <c r="L231" s="245"/>
    </row>
    <row r="232" spans="1:12" ht="15.75" x14ac:dyDescent="0.25">
      <c r="A232" t="s">
        <v>252</v>
      </c>
      <c r="B232" s="263">
        <v>39.920999999999999</v>
      </c>
      <c r="C232" s="263">
        <f t="shared" si="8"/>
        <v>6.2376562500000003E-2</v>
      </c>
      <c r="D232" s="264" t="s">
        <v>198</v>
      </c>
      <c r="E232" s="264" t="s">
        <v>198</v>
      </c>
      <c r="F232" s="237" t="s">
        <v>198</v>
      </c>
      <c r="G232" s="131" t="s">
        <v>198</v>
      </c>
      <c r="H232" s="139">
        <v>0</v>
      </c>
      <c r="I232" s="115" t="str">
        <f>IF(EXACT(F232, G232), "none", IF(ISNUMBER(MATCH(G232, 'MP Analysis Input'!$A$15:$A$21, 0)), "soft", "hard"))</f>
        <v>none</v>
      </c>
      <c r="J232" s="124"/>
      <c r="K232" s="245"/>
      <c r="L232" s="245"/>
    </row>
    <row r="233" spans="1:12" ht="15.75" x14ac:dyDescent="0.25">
      <c r="A233" t="s">
        <v>253</v>
      </c>
      <c r="B233" s="263">
        <v>40.161000000000001</v>
      </c>
      <c r="C233" s="263">
        <f t="shared" si="8"/>
        <v>6.275156250000001E-2</v>
      </c>
      <c r="D233" s="264" t="s">
        <v>198</v>
      </c>
      <c r="E233" s="264" t="s">
        <v>198</v>
      </c>
      <c r="F233" s="237" t="s">
        <v>198</v>
      </c>
      <c r="G233" s="131" t="s">
        <v>198</v>
      </c>
      <c r="H233" s="139">
        <v>0</v>
      </c>
      <c r="I233" s="115" t="str">
        <f>IF(EXACT(F233, G233), "none", IF(ISNUMBER(MATCH(G233, 'MP Analysis Input'!$A$15:$A$21, 0)), "soft", "hard"))</f>
        <v>none</v>
      </c>
      <c r="J233" s="124"/>
      <c r="K233" s="245"/>
      <c r="L233" s="245"/>
    </row>
    <row r="234" spans="1:12" ht="15.75" x14ac:dyDescent="0.25">
      <c r="A234" t="s">
        <v>254</v>
      </c>
      <c r="B234" s="263">
        <v>40.159999999999997</v>
      </c>
      <c r="C234" s="263">
        <f t="shared" si="8"/>
        <v>6.275E-2</v>
      </c>
      <c r="D234" s="264" t="s">
        <v>198</v>
      </c>
      <c r="E234" s="264" t="s">
        <v>198</v>
      </c>
      <c r="F234" s="237" t="s">
        <v>198</v>
      </c>
      <c r="G234" s="131" t="s">
        <v>198</v>
      </c>
      <c r="H234" s="139">
        <v>0</v>
      </c>
      <c r="I234" s="115" t="str">
        <f>IF(EXACT(F234, G234), "none", IF(ISNUMBER(MATCH(G234, 'MP Analysis Input'!$A$15:$A$21, 0)), "soft", "hard"))</f>
        <v>none</v>
      </c>
      <c r="J234" s="124"/>
      <c r="K234" s="245"/>
      <c r="L234" s="245"/>
    </row>
    <row r="235" spans="1:12" ht="15.75" x14ac:dyDescent="0.25">
      <c r="A235" t="s">
        <v>255</v>
      </c>
      <c r="B235" s="263">
        <v>40.183999999999997</v>
      </c>
      <c r="C235" s="263">
        <f t="shared" si="8"/>
        <v>6.2787499999999996E-2</v>
      </c>
      <c r="D235" s="264" t="s">
        <v>198</v>
      </c>
      <c r="E235" s="264" t="s">
        <v>198</v>
      </c>
      <c r="F235" s="237" t="s">
        <v>198</v>
      </c>
      <c r="G235" s="131" t="s">
        <v>198</v>
      </c>
      <c r="H235" s="139">
        <v>0</v>
      </c>
      <c r="I235" s="115" t="str">
        <f>IF(EXACT(F235, G235), "none", IF(ISNUMBER(MATCH(G235, 'MP Analysis Input'!$A$15:$A$21, 0)), "soft", "hard"))</f>
        <v>none</v>
      </c>
      <c r="J235" s="124"/>
      <c r="K235" s="245"/>
      <c r="L235" s="245"/>
    </row>
    <row r="236" spans="1:12" ht="15.75" x14ac:dyDescent="0.25">
      <c r="A236" t="s">
        <v>256</v>
      </c>
      <c r="B236" s="263">
        <v>40.168999999999997</v>
      </c>
      <c r="C236" s="263">
        <f t="shared" si="8"/>
        <v>6.2764062499999995E-2</v>
      </c>
      <c r="D236" s="264" t="s">
        <v>198</v>
      </c>
      <c r="E236" s="264" t="s">
        <v>198</v>
      </c>
      <c r="F236" s="237" t="s">
        <v>198</v>
      </c>
      <c r="G236" s="131" t="s">
        <v>198</v>
      </c>
      <c r="H236" s="139">
        <v>0</v>
      </c>
      <c r="I236" s="115" t="str">
        <f>IF(EXACT(F236, G236), "none", IF(ISNUMBER(MATCH(G236, 'MP Analysis Input'!$A$15:$A$21, 0)), "soft", "hard"))</f>
        <v>none</v>
      </c>
      <c r="J236" s="124"/>
      <c r="K236" s="245"/>
      <c r="L236" s="245"/>
    </row>
    <row r="237" spans="1:12" ht="15.75" x14ac:dyDescent="0.25">
      <c r="A237" t="s">
        <v>257</v>
      </c>
      <c r="B237" s="263">
        <v>40.146000000000001</v>
      </c>
      <c r="C237" s="263">
        <f t="shared" si="8"/>
        <v>6.272812500000001E-2</v>
      </c>
      <c r="D237" s="264" t="s">
        <v>198</v>
      </c>
      <c r="E237" s="264" t="s">
        <v>198</v>
      </c>
      <c r="F237" s="237" t="s">
        <v>198</v>
      </c>
      <c r="G237" s="131" t="s">
        <v>198</v>
      </c>
      <c r="H237" s="139">
        <v>0</v>
      </c>
      <c r="I237" s="115" t="str">
        <f>IF(EXACT(F237, G237), "none", IF(ISNUMBER(MATCH(G237, 'MP Analysis Input'!$A$15:$A$21, 0)), "soft", "hard"))</f>
        <v>none</v>
      </c>
      <c r="J237" s="124"/>
      <c r="K237" s="245"/>
      <c r="L237" s="245"/>
    </row>
    <row r="238" spans="1:12" ht="15.75" x14ac:dyDescent="0.25">
      <c r="A238" t="s">
        <v>258</v>
      </c>
      <c r="B238" s="263">
        <v>41.738999999999997</v>
      </c>
      <c r="C238" s="263">
        <f t="shared" si="8"/>
        <v>6.5217187499999996E-2</v>
      </c>
      <c r="D238" s="264" t="s">
        <v>198</v>
      </c>
      <c r="E238" s="264" t="s">
        <v>198</v>
      </c>
      <c r="F238" s="237" t="s">
        <v>198</v>
      </c>
      <c r="G238" s="131" t="s">
        <v>4</v>
      </c>
      <c r="H238" s="139">
        <v>1</v>
      </c>
      <c r="I238" s="115" t="str">
        <f>IF(EXACT(F238, G238), "none", IF(ISNUMBER(MATCH(G238, 'MP Analysis Input'!$A$15:$A$21, 0)), "soft", "hard"))</f>
        <v>hard</v>
      </c>
      <c r="J238" s="124"/>
      <c r="K238" s="245"/>
      <c r="L238" s="245"/>
    </row>
    <row r="239" spans="1:12" ht="15.75" x14ac:dyDescent="0.25">
      <c r="A239" t="s">
        <v>259</v>
      </c>
      <c r="B239" s="263">
        <v>43.216999999999999</v>
      </c>
      <c r="C239" s="263">
        <f t="shared" si="8"/>
        <v>6.7526562499999998E-2</v>
      </c>
      <c r="D239" s="264" t="s">
        <v>198</v>
      </c>
      <c r="E239" s="264" t="s">
        <v>198</v>
      </c>
      <c r="F239" s="237" t="s">
        <v>198</v>
      </c>
      <c r="G239" s="131" t="s">
        <v>198</v>
      </c>
      <c r="H239" s="139">
        <v>0</v>
      </c>
      <c r="I239" s="115" t="str">
        <f>IF(EXACT(F239, G239), "none", IF(ISNUMBER(MATCH(G239, 'MP Analysis Input'!$A$15:$A$21, 0)), "soft", "hard"))</f>
        <v>none</v>
      </c>
      <c r="J239" s="124"/>
      <c r="K239" s="245"/>
      <c r="L239" s="245"/>
    </row>
    <row r="240" spans="1:12" ht="15.75" x14ac:dyDescent="0.25">
      <c r="A240" t="s">
        <v>260</v>
      </c>
      <c r="B240" s="263">
        <v>125.15</v>
      </c>
      <c r="C240" s="263">
        <f t="shared" si="8"/>
        <v>0.19554687500000001</v>
      </c>
      <c r="D240" s="264" t="s">
        <v>52</v>
      </c>
      <c r="E240" s="264" t="s">
        <v>52</v>
      </c>
      <c r="F240" s="237" t="s">
        <v>52</v>
      </c>
      <c r="G240" s="131" t="s">
        <v>52</v>
      </c>
      <c r="H240" s="139">
        <v>0</v>
      </c>
      <c r="I240" s="115" t="str">
        <f>IF(EXACT(F240, G240), "none", IF(ISNUMBER(MATCH(G240, 'MP Analysis Input'!$A$15:$A$21, 0)), "soft", "hard"))</f>
        <v>none</v>
      </c>
      <c r="J240" s="124"/>
      <c r="K240" s="245"/>
      <c r="L240" s="245"/>
    </row>
    <row r="241" spans="1:12" ht="15.75" x14ac:dyDescent="0.25">
      <c r="A241" t="s">
        <v>261</v>
      </c>
      <c r="B241" s="263">
        <v>293.87299999999999</v>
      </c>
      <c r="C241" s="263">
        <f t="shared" si="8"/>
        <v>0.4591765625</v>
      </c>
      <c r="D241" s="264" t="s">
        <v>40</v>
      </c>
      <c r="E241" s="264" t="s">
        <v>41</v>
      </c>
      <c r="F241" s="237" t="s">
        <v>41</v>
      </c>
      <c r="G241" s="131" t="s">
        <v>41</v>
      </c>
      <c r="H241" s="139">
        <v>0</v>
      </c>
      <c r="I241" s="115" t="str">
        <f>IF(EXACT(F241, G241), "none", IF(ISNUMBER(MATCH(G241, 'MP Analysis Input'!$A$15:$A$21, 0)), "soft", "hard"))</f>
        <v>none</v>
      </c>
      <c r="J241" s="124"/>
      <c r="K241" s="245"/>
      <c r="L241" s="245"/>
    </row>
  </sheetData>
  <printOptions horizontalCentered="1" verticalCentered="1"/>
  <pageMargins left="0.7" right="0.7" top="0.75" bottom="0.75" header="0.3" footer="0.3"/>
  <pageSetup scale="13" fitToHeight="6" orientation="landscape" horizontalDpi="1200" verticalDpi="1200"/>
  <headerFooter>
    <oddHeader>&amp;C&amp;A</oddHeader>
    <oddFooter>&amp;C&amp;P&amp;R&amp;D</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171"/>
  <sheetViews>
    <sheetView workbookViewId="0">
      <selection sqref="A1:B1"/>
    </sheetView>
  </sheetViews>
  <sheetFormatPr defaultRowHeight="12.75" x14ac:dyDescent="0.2"/>
  <cols>
    <col min="1" max="1" width="26.28515625" style="248" customWidth="1"/>
    <col min="2" max="2" width="13.140625" style="248" customWidth="1"/>
    <col min="3" max="3" width="6.7109375" style="67" customWidth="1"/>
    <col min="4" max="4" width="17" style="248" customWidth="1"/>
    <col min="5" max="6" width="11" style="248" customWidth="1"/>
    <col min="7" max="9" width="11.140625" style="248" bestFit="1" customWidth="1"/>
    <col min="10" max="23" width="12.140625" style="248" bestFit="1" customWidth="1"/>
    <col min="24" max="24" width="12.28515625" style="248" bestFit="1" customWidth="1"/>
    <col min="25" max="39" width="12.85546875" style="248" customWidth="1"/>
    <col min="40" max="40" width="13.140625" style="248" customWidth="1"/>
    <col min="41" max="43" width="9.140625" style="248" customWidth="1"/>
    <col min="44" max="16384" width="9.140625" style="248"/>
  </cols>
  <sheetData>
    <row r="1" spans="1:40" ht="13.5" customHeight="1" thickBot="1" x14ac:dyDescent="0.25">
      <c r="A1" s="342" t="s">
        <v>262</v>
      </c>
      <c r="B1" s="343"/>
    </row>
    <row r="2" spans="1:40" ht="15.75" customHeight="1" thickBot="1" x14ac:dyDescent="0.3">
      <c r="A2" s="344" t="s">
        <v>263</v>
      </c>
      <c r="B2" s="345"/>
    </row>
    <row r="3" spans="1:40" ht="13.5" customHeight="1" thickBot="1" x14ac:dyDescent="0.25">
      <c r="X3" s="248" t="s">
        <v>264</v>
      </c>
    </row>
    <row r="4" spans="1:40" ht="15.75" customHeight="1" thickBot="1" x14ac:dyDescent="0.3">
      <c r="A4" s="352" t="s">
        <v>265</v>
      </c>
      <c r="B4" s="353"/>
      <c r="C4" s="68"/>
      <c r="D4" s="356" t="s">
        <v>266</v>
      </c>
      <c r="E4" s="346" t="s">
        <v>267</v>
      </c>
      <c r="F4" s="347"/>
      <c r="G4" s="347"/>
      <c r="H4" s="347"/>
      <c r="I4" s="347"/>
      <c r="J4" s="347"/>
      <c r="K4" s="347"/>
      <c r="L4" s="347"/>
      <c r="M4" s="347"/>
      <c r="N4" s="347"/>
      <c r="O4" s="347"/>
      <c r="P4" s="347"/>
      <c r="Q4" s="347"/>
      <c r="R4" s="347"/>
      <c r="S4" s="347"/>
      <c r="T4" s="347"/>
      <c r="U4" s="348"/>
      <c r="Y4" s="248">
        <f t="shared" ref="Y4:AN4" si="0">E5</f>
        <v>2018</v>
      </c>
      <c r="Z4" s="248">
        <f t="shared" si="0"/>
        <v>2019</v>
      </c>
      <c r="AA4" s="248">
        <f t="shared" si="0"/>
        <v>2020</v>
      </c>
      <c r="AB4" s="248">
        <f t="shared" si="0"/>
        <v>2021</v>
      </c>
      <c r="AC4" s="248">
        <f t="shared" si="0"/>
        <v>2022</v>
      </c>
      <c r="AD4" s="248">
        <f t="shared" si="0"/>
        <v>2023</v>
      </c>
      <c r="AE4" s="248">
        <f t="shared" si="0"/>
        <v>2024</v>
      </c>
      <c r="AF4" s="248">
        <f t="shared" si="0"/>
        <v>2025</v>
      </c>
      <c r="AG4" s="248">
        <f t="shared" si="0"/>
        <v>2026</v>
      </c>
      <c r="AH4" s="248">
        <f t="shared" si="0"/>
        <v>2027</v>
      </c>
      <c r="AI4" s="248">
        <f t="shared" si="0"/>
        <v>2028</v>
      </c>
      <c r="AJ4" s="248">
        <f t="shared" si="0"/>
        <v>2029</v>
      </c>
      <c r="AK4" s="248">
        <f t="shared" si="0"/>
        <v>2030</v>
      </c>
      <c r="AL4" s="248">
        <f t="shared" si="0"/>
        <v>2031</v>
      </c>
      <c r="AM4" s="248">
        <f t="shared" si="0"/>
        <v>2032</v>
      </c>
      <c r="AN4" s="248">
        <f t="shared" si="0"/>
        <v>2033</v>
      </c>
    </row>
    <row r="5" spans="1:40" ht="15.75" customHeight="1" thickBot="1" x14ac:dyDescent="0.25">
      <c r="A5" s="354"/>
      <c r="B5" s="355"/>
      <c r="C5" s="69" t="s">
        <v>268</v>
      </c>
      <c r="D5" s="357"/>
      <c r="E5" s="70">
        <f>'Step Analysis'!E5</f>
        <v>2018</v>
      </c>
      <c r="F5" s="71">
        <f t="shared" ref="F5:T5" si="1">E5 + 1</f>
        <v>2019</v>
      </c>
      <c r="G5" s="71">
        <f t="shared" si="1"/>
        <v>2020</v>
      </c>
      <c r="H5" s="71">
        <f t="shared" si="1"/>
        <v>2021</v>
      </c>
      <c r="I5" s="71">
        <f t="shared" si="1"/>
        <v>2022</v>
      </c>
      <c r="J5" s="71">
        <f t="shared" si="1"/>
        <v>2023</v>
      </c>
      <c r="K5" s="71">
        <f t="shared" si="1"/>
        <v>2024</v>
      </c>
      <c r="L5" s="71">
        <f t="shared" si="1"/>
        <v>2025</v>
      </c>
      <c r="M5" s="71">
        <f t="shared" si="1"/>
        <v>2026</v>
      </c>
      <c r="N5" s="71">
        <f t="shared" si="1"/>
        <v>2027</v>
      </c>
      <c r="O5" s="71">
        <f t="shared" si="1"/>
        <v>2028</v>
      </c>
      <c r="P5" s="71">
        <f t="shared" si="1"/>
        <v>2029</v>
      </c>
      <c r="Q5" s="71">
        <f t="shared" si="1"/>
        <v>2030</v>
      </c>
      <c r="R5" s="71">
        <f t="shared" si="1"/>
        <v>2031</v>
      </c>
      <c r="S5" s="71">
        <f t="shared" si="1"/>
        <v>2032</v>
      </c>
      <c r="T5" s="71">
        <f t="shared" si="1"/>
        <v>2033</v>
      </c>
      <c r="U5" s="72" t="s">
        <v>269</v>
      </c>
      <c r="V5" s="249"/>
      <c r="X5" s="183">
        <v>1</v>
      </c>
      <c r="Y5" s="266">
        <f t="shared" ref="Y5:AN5" si="2">E12</f>
        <v>1500000</v>
      </c>
      <c r="Z5" s="266">
        <f t="shared" si="2"/>
        <v>3818761.9999999995</v>
      </c>
      <c r="AA5" s="266">
        <f t="shared" si="2"/>
        <v>22743905.999999993</v>
      </c>
      <c r="AB5" s="266">
        <f t="shared" si="2"/>
        <v>105275815.99999997</v>
      </c>
      <c r="AC5" s="266">
        <f t="shared" si="2"/>
        <v>44025335.999999985</v>
      </c>
      <c r="AD5" s="266">
        <f t="shared" si="2"/>
        <v>0</v>
      </c>
      <c r="AE5" s="266">
        <f t="shared" si="2"/>
        <v>0</v>
      </c>
      <c r="AF5" s="266">
        <f t="shared" si="2"/>
        <v>0</v>
      </c>
      <c r="AG5" s="266">
        <f t="shared" si="2"/>
        <v>0</v>
      </c>
      <c r="AH5" s="266">
        <f t="shared" si="2"/>
        <v>0</v>
      </c>
      <c r="AI5" s="266">
        <f t="shared" si="2"/>
        <v>0</v>
      </c>
      <c r="AJ5" s="266">
        <f t="shared" si="2"/>
        <v>0</v>
      </c>
      <c r="AK5" s="266">
        <f t="shared" si="2"/>
        <v>0</v>
      </c>
      <c r="AL5" s="266">
        <f t="shared" si="2"/>
        <v>0</v>
      </c>
      <c r="AM5" s="266">
        <f t="shared" si="2"/>
        <v>0</v>
      </c>
      <c r="AN5" s="266">
        <f t="shared" si="2"/>
        <v>0</v>
      </c>
    </row>
    <row r="6" spans="1:40" ht="22.5" customHeight="1" x14ac:dyDescent="0.2">
      <c r="A6" s="358" t="s">
        <v>270</v>
      </c>
      <c r="B6" s="359"/>
      <c r="C6" s="167">
        <v>10</v>
      </c>
      <c r="D6" s="168" t="s">
        <v>271</v>
      </c>
      <c r="E6" s="267">
        <v>500000</v>
      </c>
      <c r="F6" s="267">
        <v>1000000</v>
      </c>
      <c r="G6" s="267">
        <v>1000000</v>
      </c>
      <c r="H6" s="267">
        <v>500000</v>
      </c>
      <c r="I6" s="267">
        <v>500000</v>
      </c>
      <c r="J6" s="267"/>
      <c r="K6" s="267"/>
      <c r="L6" s="267"/>
      <c r="M6" s="268"/>
      <c r="N6" s="268"/>
      <c r="O6" s="268"/>
      <c r="P6" s="268"/>
      <c r="Q6" s="268"/>
      <c r="R6" s="268"/>
      <c r="S6" s="268"/>
      <c r="T6" s="269"/>
      <c r="U6" s="270">
        <f t="shared" ref="U6:U45" si="3">SUM(E6:T6)</f>
        <v>3500000</v>
      </c>
      <c r="X6" s="248">
        <v>2</v>
      </c>
      <c r="Y6" s="266">
        <f t="shared" ref="Y6:AN6" si="4">E20+Y5</f>
        <v>1500000</v>
      </c>
      <c r="Z6" s="266">
        <f t="shared" si="4"/>
        <v>3818761.9999999995</v>
      </c>
      <c r="AA6" s="266">
        <f t="shared" si="4"/>
        <v>22743905.999999993</v>
      </c>
      <c r="AB6" s="266">
        <f t="shared" si="4"/>
        <v>106775815.99999997</v>
      </c>
      <c r="AC6" s="266">
        <f t="shared" si="4"/>
        <v>47712987.999999985</v>
      </c>
      <c r="AD6" s="266">
        <f t="shared" si="4"/>
        <v>41854256.000000015</v>
      </c>
      <c r="AE6" s="266">
        <f t="shared" si="4"/>
        <v>75545556.00000003</v>
      </c>
      <c r="AF6" s="266">
        <f t="shared" si="4"/>
        <v>40354256.000000015</v>
      </c>
      <c r="AG6" s="266">
        <f t="shared" si="4"/>
        <v>0</v>
      </c>
      <c r="AH6" s="266">
        <f t="shared" si="4"/>
        <v>0</v>
      </c>
      <c r="AI6" s="266">
        <f t="shared" si="4"/>
        <v>0</v>
      </c>
      <c r="AJ6" s="266">
        <f t="shared" si="4"/>
        <v>0</v>
      </c>
      <c r="AK6" s="266">
        <f t="shared" si="4"/>
        <v>0</v>
      </c>
      <c r="AL6" s="266">
        <f t="shared" si="4"/>
        <v>0</v>
      </c>
      <c r="AM6" s="266">
        <f t="shared" si="4"/>
        <v>0</v>
      </c>
      <c r="AN6" s="266">
        <f t="shared" si="4"/>
        <v>0</v>
      </c>
    </row>
    <row r="7" spans="1:40" ht="22.5" customHeight="1" x14ac:dyDescent="0.2">
      <c r="A7" s="271" t="s">
        <v>272</v>
      </c>
      <c r="B7" s="272">
        <f>'Area Summary'!C28*1.4*1000000</f>
        <v>151876199.99999994</v>
      </c>
      <c r="C7" s="169">
        <v>37</v>
      </c>
      <c r="D7" s="168" t="s">
        <v>273</v>
      </c>
      <c r="E7" s="267">
        <v>1000000</v>
      </c>
      <c r="F7" s="267">
        <v>1000000</v>
      </c>
      <c r="G7" s="267">
        <v>1000000</v>
      </c>
      <c r="H7" s="267">
        <v>500000</v>
      </c>
      <c r="I7" s="267"/>
      <c r="J7" s="267"/>
      <c r="K7" s="273"/>
      <c r="L7" s="273"/>
      <c r="M7" s="274"/>
      <c r="N7" s="274"/>
      <c r="O7" s="274"/>
      <c r="P7" s="274"/>
      <c r="Q7" s="274"/>
      <c r="R7" s="274"/>
      <c r="S7" s="274"/>
      <c r="T7" s="275"/>
      <c r="U7" s="270">
        <f t="shared" si="3"/>
        <v>3500000</v>
      </c>
      <c r="X7" s="248">
        <v>3</v>
      </c>
      <c r="Y7" s="266">
        <f t="shared" ref="Y7:AN7" si="5">E28+Y6</f>
        <v>1500000</v>
      </c>
      <c r="Z7" s="266">
        <f t="shared" si="5"/>
        <v>3818761.9999999995</v>
      </c>
      <c r="AA7" s="266">
        <f t="shared" si="5"/>
        <v>22743905.999999993</v>
      </c>
      <c r="AB7" s="266">
        <f t="shared" si="5"/>
        <v>106775815.99999997</v>
      </c>
      <c r="AC7" s="266">
        <f t="shared" si="5"/>
        <v>47712987.999999985</v>
      </c>
      <c r="AD7" s="266">
        <f t="shared" si="5"/>
        <v>41854256.000000015</v>
      </c>
      <c r="AE7" s="266">
        <f t="shared" si="5"/>
        <v>77045556.00000003</v>
      </c>
      <c r="AF7" s="266">
        <f t="shared" si="5"/>
        <v>44008420.000000015</v>
      </c>
      <c r="AG7" s="266">
        <f t="shared" si="5"/>
        <v>40916591.999999993</v>
      </c>
      <c r="AH7" s="266">
        <f t="shared" si="5"/>
        <v>73770691.999999985</v>
      </c>
      <c r="AI7" s="266">
        <f t="shared" si="5"/>
        <v>39416591.999999993</v>
      </c>
      <c r="AJ7" s="266">
        <f t="shared" si="5"/>
        <v>0</v>
      </c>
      <c r="AK7" s="266">
        <f t="shared" si="5"/>
        <v>0</v>
      </c>
      <c r="AL7" s="266">
        <f t="shared" si="5"/>
        <v>0</v>
      </c>
      <c r="AM7" s="266">
        <f t="shared" si="5"/>
        <v>0</v>
      </c>
      <c r="AN7" s="266">
        <f t="shared" si="5"/>
        <v>0</v>
      </c>
    </row>
    <row r="8" spans="1:40" ht="22.5" customHeight="1" x14ac:dyDescent="0.2">
      <c r="A8" s="170" t="s">
        <v>274</v>
      </c>
      <c r="B8" s="180">
        <f>MP_new!H5+MP_new!I5</f>
        <v>3.3511000000000002</v>
      </c>
      <c r="C8" s="173">
        <v>30</v>
      </c>
      <c r="D8" s="171" t="s">
        <v>275</v>
      </c>
      <c r="E8" s="276"/>
      <c r="F8" s="277"/>
      <c r="G8" s="277">
        <f>$B7*0.1</f>
        <v>15187619.999999994</v>
      </c>
      <c r="H8" s="277">
        <f>$B7*0.65</f>
        <v>98719529.99999997</v>
      </c>
      <c r="I8" s="277">
        <f>$B7*0.25</f>
        <v>37969049.999999985</v>
      </c>
      <c r="J8" s="277"/>
      <c r="K8" s="277"/>
      <c r="L8" s="277"/>
      <c r="M8" s="278"/>
      <c r="N8" s="278"/>
      <c r="O8" s="278"/>
      <c r="P8" s="278"/>
      <c r="Q8" s="278"/>
      <c r="R8" s="278"/>
      <c r="S8" s="278"/>
      <c r="T8" s="279"/>
      <c r="U8" s="270">
        <f t="shared" si="3"/>
        <v>151876199.99999994</v>
      </c>
      <c r="X8" s="248">
        <v>4</v>
      </c>
      <c r="Y8" s="266">
        <f t="shared" ref="Y8:AN8" si="6">E36+Y7</f>
        <v>1500000</v>
      </c>
      <c r="Z8" s="266">
        <f t="shared" si="6"/>
        <v>3818761.9999999995</v>
      </c>
      <c r="AA8" s="266">
        <f t="shared" si="6"/>
        <v>22743905.999999993</v>
      </c>
      <c r="AB8" s="266">
        <f t="shared" si="6"/>
        <v>106775815.99999997</v>
      </c>
      <c r="AC8" s="266">
        <f t="shared" si="6"/>
        <v>47712987.999999985</v>
      </c>
      <c r="AD8" s="266">
        <f t="shared" si="6"/>
        <v>41854256.000000015</v>
      </c>
      <c r="AE8" s="266">
        <f t="shared" si="6"/>
        <v>77045556.00000003</v>
      </c>
      <c r="AF8" s="266">
        <f t="shared" si="6"/>
        <v>44008420.000000015</v>
      </c>
      <c r="AG8" s="266">
        <f t="shared" si="6"/>
        <v>40916591.999999993</v>
      </c>
      <c r="AH8" s="266">
        <f t="shared" si="6"/>
        <v>75270691.999999985</v>
      </c>
      <c r="AI8" s="266">
        <f t="shared" si="6"/>
        <v>42769517.999999993</v>
      </c>
      <c r="AJ8" s="266">
        <f t="shared" si="6"/>
        <v>32481927.999999981</v>
      </c>
      <c r="AK8" s="266">
        <f t="shared" si="6"/>
        <v>57805077.999999963</v>
      </c>
      <c r="AL8" s="266">
        <f t="shared" si="6"/>
        <v>30981927.999999981</v>
      </c>
      <c r="AM8" s="266">
        <f t="shared" si="6"/>
        <v>0</v>
      </c>
      <c r="AN8" s="266">
        <f t="shared" si="6"/>
        <v>0</v>
      </c>
    </row>
    <row r="9" spans="1:40" ht="22.5" customHeight="1" x14ac:dyDescent="0.2">
      <c r="A9" s="170" t="s">
        <v>276</v>
      </c>
      <c r="B9" s="170"/>
      <c r="C9" s="173">
        <v>37</v>
      </c>
      <c r="D9" s="171" t="s">
        <v>277</v>
      </c>
      <c r="E9" s="277"/>
      <c r="F9" s="277">
        <f>$B7*0.01</f>
        <v>1518761.9999999995</v>
      </c>
      <c r="G9" s="277">
        <f>$B7*0.01</f>
        <v>1518761.9999999995</v>
      </c>
      <c r="H9" s="277">
        <f>$B7*0.01</f>
        <v>1518761.9999999995</v>
      </c>
      <c r="I9" s="277">
        <f>$B7*0.01</f>
        <v>1518761.9999999995</v>
      </c>
      <c r="J9" s="277"/>
      <c r="K9" s="277"/>
      <c r="L9" s="277"/>
      <c r="M9" s="278"/>
      <c r="N9" s="278"/>
      <c r="O9" s="278"/>
      <c r="P9" s="278"/>
      <c r="Q9" s="278"/>
      <c r="R9" s="278"/>
      <c r="S9" s="278"/>
      <c r="T9" s="279"/>
      <c r="U9" s="270">
        <f t="shared" si="3"/>
        <v>6075047.9999999981</v>
      </c>
      <c r="X9" s="248">
        <v>5</v>
      </c>
      <c r="Y9" s="266">
        <f t="shared" ref="Y9:AN9" si="7">E44+Y8</f>
        <v>1500000</v>
      </c>
      <c r="Z9" s="266">
        <f t="shared" si="7"/>
        <v>3818761.9999999995</v>
      </c>
      <c r="AA9" s="266">
        <f t="shared" si="7"/>
        <v>22743905.999999993</v>
      </c>
      <c r="AB9" s="266">
        <f t="shared" si="7"/>
        <v>106775815.99999997</v>
      </c>
      <c r="AC9" s="266">
        <f t="shared" si="7"/>
        <v>47712987.999999985</v>
      </c>
      <c r="AD9" s="266">
        <f t="shared" si="7"/>
        <v>41854256.000000015</v>
      </c>
      <c r="AE9" s="266">
        <f t="shared" si="7"/>
        <v>77045556.00000003</v>
      </c>
      <c r="AF9" s="266">
        <f t="shared" si="7"/>
        <v>44008420.000000015</v>
      </c>
      <c r="AG9" s="266">
        <f t="shared" si="7"/>
        <v>40916591.999999993</v>
      </c>
      <c r="AH9" s="266">
        <f t="shared" si="7"/>
        <v>75270691.999999985</v>
      </c>
      <c r="AI9" s="266">
        <f t="shared" si="7"/>
        <v>42769517.999999993</v>
      </c>
      <c r="AJ9" s="266">
        <f t="shared" si="7"/>
        <v>33981927.999999985</v>
      </c>
      <c r="AK9" s="266">
        <f t="shared" si="7"/>
        <v>61015973.999999963</v>
      </c>
      <c r="AL9" s="266">
        <f t="shared" si="7"/>
        <v>59487015.999999978</v>
      </c>
      <c r="AM9" s="266">
        <f t="shared" si="7"/>
        <v>50277487.999999993</v>
      </c>
      <c r="AN9" s="266">
        <f t="shared" si="7"/>
        <v>27005087.999999996</v>
      </c>
    </row>
    <row r="10" spans="1:40" ht="22.5" customHeight="1" x14ac:dyDescent="0.2">
      <c r="A10" s="172"/>
      <c r="B10" s="172"/>
      <c r="C10" s="173">
        <v>37</v>
      </c>
      <c r="D10" s="171" t="s">
        <v>278</v>
      </c>
      <c r="E10" s="276"/>
      <c r="F10" s="277"/>
      <c r="G10" s="277">
        <f>$B7*0.02</f>
        <v>3037523.9999999991</v>
      </c>
      <c r="H10" s="277">
        <f>$B7*0.02</f>
        <v>3037523.9999999991</v>
      </c>
      <c r="I10" s="277">
        <f>$B7*0.02</f>
        <v>3037523.9999999991</v>
      </c>
      <c r="J10" s="277"/>
      <c r="K10" s="280"/>
      <c r="L10" s="280"/>
      <c r="M10" s="281"/>
      <c r="N10" s="281"/>
      <c r="O10" s="281"/>
      <c r="P10" s="281"/>
      <c r="Q10" s="281"/>
      <c r="R10" s="281"/>
      <c r="S10" s="281"/>
      <c r="T10" s="282"/>
      <c r="U10" s="270">
        <f t="shared" si="3"/>
        <v>9112571.9999999963</v>
      </c>
    </row>
    <row r="11" spans="1:40" ht="22.5" customHeight="1" x14ac:dyDescent="0.2">
      <c r="A11" s="172"/>
      <c r="B11" s="172"/>
      <c r="C11" s="181">
        <v>41</v>
      </c>
      <c r="D11" s="182" t="s">
        <v>279</v>
      </c>
      <c r="E11" s="283"/>
      <c r="F11" s="284">
        <v>300000</v>
      </c>
      <c r="G11" s="284">
        <v>1000000</v>
      </c>
      <c r="H11" s="284">
        <v>1000000</v>
      </c>
      <c r="I11" s="284">
        <v>1000000</v>
      </c>
      <c r="J11" s="284"/>
      <c r="K11" s="284"/>
      <c r="L11" s="284"/>
      <c r="M11" s="285"/>
      <c r="N11" s="285"/>
      <c r="O11" s="285"/>
      <c r="P11" s="285"/>
      <c r="Q11" s="285"/>
      <c r="R11" s="285"/>
      <c r="S11" s="285"/>
      <c r="T11" s="286"/>
      <c r="U11" s="287">
        <f t="shared" si="3"/>
        <v>3300000</v>
      </c>
      <c r="X11" s="248" t="s">
        <v>280</v>
      </c>
    </row>
    <row r="12" spans="1:40" ht="22.5" customHeight="1" thickBot="1" x14ac:dyDescent="0.3">
      <c r="A12" s="349" t="s">
        <v>281</v>
      </c>
      <c r="B12" s="350"/>
      <c r="C12" s="350"/>
      <c r="D12" s="351"/>
      <c r="E12" s="288">
        <f t="shared" ref="E12:T12" si="8">SUM(E6:E11)</f>
        <v>1500000</v>
      </c>
      <c r="F12" s="288">
        <f t="shared" si="8"/>
        <v>3818761.9999999995</v>
      </c>
      <c r="G12" s="288">
        <f t="shared" si="8"/>
        <v>22743905.999999993</v>
      </c>
      <c r="H12" s="288">
        <f t="shared" si="8"/>
        <v>105275815.99999997</v>
      </c>
      <c r="I12" s="288">
        <f t="shared" si="8"/>
        <v>44025335.999999985</v>
      </c>
      <c r="J12" s="288">
        <f t="shared" si="8"/>
        <v>0</v>
      </c>
      <c r="K12" s="288">
        <f t="shared" si="8"/>
        <v>0</v>
      </c>
      <c r="L12" s="288">
        <f t="shared" si="8"/>
        <v>0</v>
      </c>
      <c r="M12" s="288">
        <f t="shared" si="8"/>
        <v>0</v>
      </c>
      <c r="N12" s="288">
        <f t="shared" si="8"/>
        <v>0</v>
      </c>
      <c r="O12" s="288">
        <f t="shared" si="8"/>
        <v>0</v>
      </c>
      <c r="P12" s="288">
        <f t="shared" si="8"/>
        <v>0</v>
      </c>
      <c r="Q12" s="288">
        <f t="shared" si="8"/>
        <v>0</v>
      </c>
      <c r="R12" s="288">
        <f t="shared" si="8"/>
        <v>0</v>
      </c>
      <c r="S12" s="288">
        <f t="shared" si="8"/>
        <v>0</v>
      </c>
      <c r="T12" s="288">
        <f t="shared" si="8"/>
        <v>0</v>
      </c>
      <c r="U12" s="289">
        <f t="shared" si="3"/>
        <v>177363819.99999994</v>
      </c>
      <c r="Y12" s="248">
        <f t="shared" ref="Y12:AN12" si="9">E5</f>
        <v>2018</v>
      </c>
      <c r="Z12" s="248">
        <f t="shared" si="9"/>
        <v>2019</v>
      </c>
      <c r="AA12" s="248">
        <f t="shared" si="9"/>
        <v>2020</v>
      </c>
      <c r="AB12" s="248">
        <f t="shared" si="9"/>
        <v>2021</v>
      </c>
      <c r="AC12" s="248">
        <f t="shared" si="9"/>
        <v>2022</v>
      </c>
      <c r="AD12" s="248">
        <f t="shared" si="9"/>
        <v>2023</v>
      </c>
      <c r="AE12" s="248">
        <f t="shared" si="9"/>
        <v>2024</v>
      </c>
      <c r="AF12" s="248">
        <f t="shared" si="9"/>
        <v>2025</v>
      </c>
      <c r="AG12" s="248">
        <f t="shared" si="9"/>
        <v>2026</v>
      </c>
      <c r="AH12" s="248">
        <f t="shared" si="9"/>
        <v>2027</v>
      </c>
      <c r="AI12" s="248">
        <f t="shared" si="9"/>
        <v>2028</v>
      </c>
      <c r="AJ12" s="248">
        <f t="shared" si="9"/>
        <v>2029</v>
      </c>
      <c r="AK12" s="248">
        <f t="shared" si="9"/>
        <v>2030</v>
      </c>
      <c r="AL12" s="248">
        <f t="shared" si="9"/>
        <v>2031</v>
      </c>
      <c r="AM12" s="248">
        <f t="shared" si="9"/>
        <v>2032</v>
      </c>
      <c r="AN12" s="248">
        <f t="shared" si="9"/>
        <v>2033</v>
      </c>
    </row>
    <row r="13" spans="1:40" ht="22.5" customHeight="1" thickBot="1" x14ac:dyDescent="0.3">
      <c r="A13" s="349" t="s">
        <v>282</v>
      </c>
      <c r="B13" s="350"/>
      <c r="C13" s="350"/>
      <c r="D13" s="351"/>
      <c r="E13" s="288"/>
      <c r="F13" s="288"/>
      <c r="G13" s="288"/>
      <c r="H13" s="288"/>
      <c r="I13" s="288"/>
      <c r="J13" s="288">
        <f>'Area Summary'!C45*1000000</f>
        <v>1604773.9052097944</v>
      </c>
      <c r="K13" s="288"/>
      <c r="L13" s="288"/>
      <c r="M13" s="288"/>
      <c r="N13" s="288"/>
      <c r="O13" s="288"/>
      <c r="P13" s="288"/>
      <c r="Q13" s="288"/>
      <c r="R13" s="288"/>
      <c r="S13" s="288"/>
      <c r="T13" s="288"/>
      <c r="U13" s="289">
        <f t="shared" si="3"/>
        <v>1604773.9052097944</v>
      </c>
      <c r="X13" s="183">
        <v>1</v>
      </c>
      <c r="Y13" s="266">
        <f>E13</f>
        <v>0</v>
      </c>
      <c r="Z13" s="266">
        <f t="shared" ref="Z13:AN13" si="10">F13+Y13</f>
        <v>0</v>
      </c>
      <c r="AA13" s="266">
        <f t="shared" si="10"/>
        <v>0</v>
      </c>
      <c r="AB13" s="266">
        <f t="shared" si="10"/>
        <v>0</v>
      </c>
      <c r="AC13" s="266">
        <f t="shared" si="10"/>
        <v>0</v>
      </c>
      <c r="AD13" s="266">
        <f t="shared" si="10"/>
        <v>1604773.9052097944</v>
      </c>
      <c r="AE13" s="266">
        <f t="shared" si="10"/>
        <v>1604773.9052097944</v>
      </c>
      <c r="AF13" s="266">
        <f t="shared" si="10"/>
        <v>1604773.9052097944</v>
      </c>
      <c r="AG13" s="266">
        <f t="shared" si="10"/>
        <v>1604773.9052097944</v>
      </c>
      <c r="AH13" s="266">
        <f t="shared" si="10"/>
        <v>1604773.9052097944</v>
      </c>
      <c r="AI13" s="266">
        <f t="shared" si="10"/>
        <v>1604773.9052097944</v>
      </c>
      <c r="AJ13" s="266">
        <f t="shared" si="10"/>
        <v>1604773.9052097944</v>
      </c>
      <c r="AK13" s="266">
        <f t="shared" si="10"/>
        <v>1604773.9052097944</v>
      </c>
      <c r="AL13" s="266">
        <f t="shared" si="10"/>
        <v>1604773.9052097944</v>
      </c>
      <c r="AM13" s="266">
        <f t="shared" si="10"/>
        <v>1604773.9052097944</v>
      </c>
      <c r="AN13" s="266">
        <f t="shared" si="10"/>
        <v>1604773.9052097944</v>
      </c>
    </row>
    <row r="14" spans="1:40" ht="22.5" customHeight="1" x14ac:dyDescent="0.2">
      <c r="A14" s="358" t="s">
        <v>283</v>
      </c>
      <c r="B14" s="359"/>
      <c r="C14" s="169">
        <v>10</v>
      </c>
      <c r="D14" s="168" t="s">
        <v>271</v>
      </c>
      <c r="E14" s="267"/>
      <c r="F14" s="267"/>
      <c r="G14" s="267"/>
      <c r="H14" s="267">
        <v>500000</v>
      </c>
      <c r="I14" s="267">
        <v>1000000</v>
      </c>
      <c r="J14" s="267">
        <v>1000000</v>
      </c>
      <c r="K14" s="267">
        <v>500000</v>
      </c>
      <c r="L14" s="267">
        <v>500000</v>
      </c>
      <c r="M14" s="267"/>
      <c r="N14" s="268"/>
      <c r="O14" s="268"/>
      <c r="P14" s="268"/>
      <c r="Q14" s="268"/>
      <c r="R14" s="268"/>
      <c r="S14" s="268"/>
      <c r="T14" s="269"/>
      <c r="U14" s="270">
        <f t="shared" si="3"/>
        <v>3500000</v>
      </c>
      <c r="X14" s="248">
        <v>2</v>
      </c>
      <c r="Y14" s="266">
        <f>SUM(E13,E21)</f>
        <v>0</v>
      </c>
      <c r="Z14" s="266">
        <f t="shared" ref="Z14:AN14" si="11">SUM(F13,F21)+Y14</f>
        <v>0</v>
      </c>
      <c r="AA14" s="266">
        <f t="shared" si="11"/>
        <v>0</v>
      </c>
      <c r="AB14" s="266">
        <f t="shared" si="11"/>
        <v>0</v>
      </c>
      <c r="AC14" s="266">
        <f t="shared" si="11"/>
        <v>0</v>
      </c>
      <c r="AD14" s="266">
        <f t="shared" si="11"/>
        <v>1604773.9052097944</v>
      </c>
      <c r="AE14" s="266">
        <f t="shared" si="11"/>
        <v>1604773.9052097944</v>
      </c>
      <c r="AF14" s="266">
        <f t="shared" si="11"/>
        <v>1604773.9052097944</v>
      </c>
      <c r="AG14" s="266">
        <f t="shared" si="11"/>
        <v>5009419.7708430234</v>
      </c>
      <c r="AH14" s="266">
        <f t="shared" si="11"/>
        <v>5009419.7708430234</v>
      </c>
      <c r="AI14" s="266">
        <f t="shared" si="11"/>
        <v>5009419.7708430234</v>
      </c>
      <c r="AJ14" s="266">
        <f t="shared" si="11"/>
        <v>5009419.7708430234</v>
      </c>
      <c r="AK14" s="266">
        <f t="shared" si="11"/>
        <v>5009419.7708430234</v>
      </c>
      <c r="AL14" s="266">
        <f t="shared" si="11"/>
        <v>5009419.7708430234</v>
      </c>
      <c r="AM14" s="266">
        <f t="shared" si="11"/>
        <v>5009419.7708430234</v>
      </c>
      <c r="AN14" s="266">
        <f t="shared" si="11"/>
        <v>5009419.7708430234</v>
      </c>
    </row>
    <row r="15" spans="1:40" ht="22.5" customHeight="1" x14ac:dyDescent="0.2">
      <c r="A15" s="271" t="s">
        <v>272</v>
      </c>
      <c r="B15" s="272">
        <f>'Area Summary'!D28*1.4*1000000</f>
        <v>138765200.00000006</v>
      </c>
      <c r="C15" s="169">
        <v>37</v>
      </c>
      <c r="D15" s="168" t="s">
        <v>273</v>
      </c>
      <c r="E15" s="267"/>
      <c r="F15" s="267"/>
      <c r="G15" s="267"/>
      <c r="H15" s="267">
        <v>1000000</v>
      </c>
      <c r="I15" s="267">
        <v>1000000</v>
      </c>
      <c r="J15" s="267">
        <v>1000000</v>
      </c>
      <c r="K15" s="267">
        <v>500000</v>
      </c>
      <c r="L15" s="267"/>
      <c r="M15" s="273"/>
      <c r="N15" s="274"/>
      <c r="O15" s="274"/>
      <c r="P15" s="274"/>
      <c r="Q15" s="274"/>
      <c r="R15" s="274"/>
      <c r="S15" s="274"/>
      <c r="T15" s="275"/>
      <c r="U15" s="290">
        <f t="shared" si="3"/>
        <v>3500000</v>
      </c>
      <c r="X15" s="248">
        <v>3</v>
      </c>
      <c r="Y15" s="266">
        <f>SUM(E21,E13,E29)</f>
        <v>0</v>
      </c>
      <c r="Z15" s="266">
        <f t="shared" ref="Z15:AN15" si="12">SUM(F21,F13,F29)+Y15</f>
        <v>0</v>
      </c>
      <c r="AA15" s="266">
        <f t="shared" si="12"/>
        <v>0</v>
      </c>
      <c r="AB15" s="266">
        <f t="shared" si="12"/>
        <v>0</v>
      </c>
      <c r="AC15" s="266">
        <f t="shared" si="12"/>
        <v>0</v>
      </c>
      <c r="AD15" s="266">
        <f t="shared" si="12"/>
        <v>1604773.9052097944</v>
      </c>
      <c r="AE15" s="266">
        <f t="shared" si="12"/>
        <v>1604773.9052097944</v>
      </c>
      <c r="AF15" s="266">
        <f t="shared" si="12"/>
        <v>1604773.9052097944</v>
      </c>
      <c r="AG15" s="266">
        <f t="shared" si="12"/>
        <v>5009419.7708430234</v>
      </c>
      <c r="AH15" s="266">
        <f t="shared" si="12"/>
        <v>5009419.7708430234</v>
      </c>
      <c r="AI15" s="266">
        <f t="shared" si="12"/>
        <v>5009419.7708430234</v>
      </c>
      <c r="AJ15" s="266">
        <f t="shared" si="12"/>
        <v>9818594.195924744</v>
      </c>
      <c r="AK15" s="266">
        <f t="shared" si="12"/>
        <v>9818594.195924744</v>
      </c>
      <c r="AL15" s="266">
        <f t="shared" si="12"/>
        <v>9818594.195924744</v>
      </c>
      <c r="AM15" s="266">
        <f t="shared" si="12"/>
        <v>9818594.195924744</v>
      </c>
      <c r="AN15" s="266">
        <f t="shared" si="12"/>
        <v>9818594.195924744</v>
      </c>
    </row>
    <row r="16" spans="1:40" ht="22.5" customHeight="1" x14ac:dyDescent="0.2">
      <c r="A16" s="170" t="s">
        <v>284</v>
      </c>
      <c r="B16" s="180">
        <f>MP_new!H6+MP_new!I6</f>
        <v>4.2814281249999997</v>
      </c>
      <c r="C16" s="173">
        <v>30</v>
      </c>
      <c r="D16" s="171" t="s">
        <v>275</v>
      </c>
      <c r="E16" s="291"/>
      <c r="F16" s="277"/>
      <c r="G16" s="276"/>
      <c r="H16" s="276"/>
      <c r="I16" s="277"/>
      <c r="J16" s="277">
        <f>$B15*0.25</f>
        <v>34691300.000000015</v>
      </c>
      <c r="K16" s="277">
        <f>$B15*0.5</f>
        <v>69382600.00000003</v>
      </c>
      <c r="L16" s="277">
        <f>$B15*0.25</f>
        <v>34691300.000000015</v>
      </c>
      <c r="M16" s="277"/>
      <c r="N16" s="278"/>
      <c r="O16" s="278"/>
      <c r="P16" s="278"/>
      <c r="Q16" s="278"/>
      <c r="R16" s="278"/>
      <c r="S16" s="278"/>
      <c r="T16" s="279"/>
      <c r="U16" s="290">
        <f t="shared" si="3"/>
        <v>138765200.00000006</v>
      </c>
      <c r="X16" s="248">
        <v>4</v>
      </c>
      <c r="Y16" s="266">
        <f>SUM(E13,E21,E29, E37)</f>
        <v>0</v>
      </c>
      <c r="Z16" s="266">
        <f t="shared" ref="Z16:AN16" si="13">SUM(F13,F21,F29, F37)+Y16</f>
        <v>0</v>
      </c>
      <c r="AA16" s="266">
        <f t="shared" si="13"/>
        <v>0</v>
      </c>
      <c r="AB16" s="266">
        <f t="shared" si="13"/>
        <v>0</v>
      </c>
      <c r="AC16" s="266">
        <f t="shared" si="13"/>
        <v>0</v>
      </c>
      <c r="AD16" s="266">
        <f t="shared" si="13"/>
        <v>1604773.9052097944</v>
      </c>
      <c r="AE16" s="266">
        <f t="shared" si="13"/>
        <v>1604773.9052097944</v>
      </c>
      <c r="AF16" s="266">
        <f t="shared" si="13"/>
        <v>1604773.9052097944</v>
      </c>
      <c r="AG16" s="266">
        <f t="shared" si="13"/>
        <v>5009419.7708430234</v>
      </c>
      <c r="AH16" s="266">
        <f t="shared" si="13"/>
        <v>5009419.7708430234</v>
      </c>
      <c r="AI16" s="266">
        <f t="shared" si="13"/>
        <v>5009419.7708430234</v>
      </c>
      <c r="AJ16" s="266">
        <f t="shared" si="13"/>
        <v>9818594.195924744</v>
      </c>
      <c r="AK16" s="266">
        <f t="shared" si="13"/>
        <v>9818594.195924744</v>
      </c>
      <c r="AL16" s="266">
        <f t="shared" si="13"/>
        <v>9818594.195924744</v>
      </c>
      <c r="AM16" s="266">
        <f t="shared" si="13"/>
        <v>12329634.036351008</v>
      </c>
      <c r="AN16" s="266">
        <f t="shared" si="13"/>
        <v>12329634.036351008</v>
      </c>
    </row>
    <row r="17" spans="1:40" ht="22.5" customHeight="1" x14ac:dyDescent="0.2">
      <c r="A17" s="170" t="s">
        <v>276</v>
      </c>
      <c r="B17" s="170"/>
      <c r="C17" s="173">
        <v>37</v>
      </c>
      <c r="D17" s="171" t="s">
        <v>277</v>
      </c>
      <c r="E17" s="291"/>
      <c r="F17" s="277"/>
      <c r="G17" s="277"/>
      <c r="H17" s="277"/>
      <c r="I17" s="277">
        <f>$B15*0.01</f>
        <v>1387652.0000000007</v>
      </c>
      <c r="J17" s="277">
        <f>$B15*0.01</f>
        <v>1387652.0000000007</v>
      </c>
      <c r="K17" s="277">
        <f>$B15*0.01</f>
        <v>1387652.0000000007</v>
      </c>
      <c r="L17" s="277">
        <f>$B15*0.01</f>
        <v>1387652.0000000007</v>
      </c>
      <c r="M17" s="277"/>
      <c r="N17" s="278"/>
      <c r="O17" s="278"/>
      <c r="P17" s="278"/>
      <c r="Q17" s="278"/>
      <c r="R17" s="278"/>
      <c r="S17" s="278"/>
      <c r="T17" s="279"/>
      <c r="U17" s="290">
        <f t="shared" si="3"/>
        <v>5550608.0000000028</v>
      </c>
      <c r="X17" s="248">
        <v>5</v>
      </c>
      <c r="Y17" s="266">
        <f>SUM(E13,E21,E29,E37,E45)</f>
        <v>0</v>
      </c>
      <c r="Z17" s="266">
        <f t="shared" ref="Z17:AN17" si="14">SUM(F13,F21,F29,F37,F45)+Y17</f>
        <v>0</v>
      </c>
      <c r="AA17" s="266">
        <f t="shared" si="14"/>
        <v>0</v>
      </c>
      <c r="AB17" s="266">
        <f t="shared" si="14"/>
        <v>0</v>
      </c>
      <c r="AC17" s="266">
        <f t="shared" si="14"/>
        <v>0</v>
      </c>
      <c r="AD17" s="266">
        <f t="shared" si="14"/>
        <v>1604773.9052097944</v>
      </c>
      <c r="AE17" s="266">
        <f t="shared" si="14"/>
        <v>1604773.9052097944</v>
      </c>
      <c r="AF17" s="266">
        <f t="shared" si="14"/>
        <v>1604773.9052097944</v>
      </c>
      <c r="AG17" s="266">
        <f t="shared" si="14"/>
        <v>5009419.7708430234</v>
      </c>
      <c r="AH17" s="266">
        <f t="shared" si="14"/>
        <v>5009419.7708430234</v>
      </c>
      <c r="AI17" s="266">
        <f t="shared" si="14"/>
        <v>5009419.7708430234</v>
      </c>
      <c r="AJ17" s="266">
        <f t="shared" si="14"/>
        <v>9818594.195924744</v>
      </c>
      <c r="AK17" s="266">
        <f t="shared" si="14"/>
        <v>9818594.195924744</v>
      </c>
      <c r="AL17" s="266">
        <f t="shared" si="14"/>
        <v>9818594.195924744</v>
      </c>
      <c r="AM17" s="266">
        <f t="shared" si="14"/>
        <v>12329634.036351008</v>
      </c>
      <c r="AN17" s="266">
        <f t="shared" si="14"/>
        <v>15271572.275404001</v>
      </c>
    </row>
    <row r="18" spans="1:40" ht="22.5" customHeight="1" x14ac:dyDescent="0.2">
      <c r="A18" s="172"/>
      <c r="B18" s="172"/>
      <c r="C18" s="173">
        <v>37</v>
      </c>
      <c r="D18" s="171" t="s">
        <v>278</v>
      </c>
      <c r="E18" s="291"/>
      <c r="F18" s="277"/>
      <c r="G18" s="276"/>
      <c r="H18" s="276"/>
      <c r="I18" s="277"/>
      <c r="J18" s="277">
        <f>$B15*0.02</f>
        <v>2775304.0000000014</v>
      </c>
      <c r="K18" s="277">
        <f>$B15*0.02</f>
        <v>2775304.0000000014</v>
      </c>
      <c r="L18" s="277">
        <f>$B15*0.02</f>
        <v>2775304.0000000014</v>
      </c>
      <c r="M18" s="280"/>
      <c r="N18" s="281"/>
      <c r="O18" s="281"/>
      <c r="P18" s="281"/>
      <c r="Q18" s="281"/>
      <c r="R18" s="281"/>
      <c r="S18" s="281"/>
      <c r="T18" s="282"/>
      <c r="U18" s="290">
        <f t="shared" si="3"/>
        <v>8325912.0000000037</v>
      </c>
    </row>
    <row r="19" spans="1:40" ht="22.5" customHeight="1" thickBot="1" x14ac:dyDescent="0.25">
      <c r="A19" s="174"/>
      <c r="B19" s="174"/>
      <c r="C19" s="175">
        <v>41</v>
      </c>
      <c r="D19" s="176" t="s">
        <v>285</v>
      </c>
      <c r="E19" s="292"/>
      <c r="F19" s="293"/>
      <c r="G19" s="292"/>
      <c r="H19" s="292"/>
      <c r="I19" s="293">
        <v>300000</v>
      </c>
      <c r="J19" s="293">
        <v>1000000</v>
      </c>
      <c r="K19" s="293">
        <v>1000000</v>
      </c>
      <c r="L19" s="293">
        <v>1000000</v>
      </c>
      <c r="M19" s="293"/>
      <c r="N19" s="294"/>
      <c r="O19" s="294"/>
      <c r="P19" s="294"/>
      <c r="Q19" s="294"/>
      <c r="R19" s="294"/>
      <c r="S19" s="294"/>
      <c r="T19" s="295"/>
      <c r="U19" s="289">
        <f t="shared" si="3"/>
        <v>3300000</v>
      </c>
    </row>
    <row r="20" spans="1:40" ht="22.5" customHeight="1" thickBot="1" x14ac:dyDescent="0.3">
      <c r="A20" s="349" t="s">
        <v>286</v>
      </c>
      <c r="B20" s="350"/>
      <c r="C20" s="350"/>
      <c r="D20" s="351"/>
      <c r="E20" s="288">
        <f t="shared" ref="E20:T20" si="15">SUM(E14:E19)</f>
        <v>0</v>
      </c>
      <c r="F20" s="288">
        <f t="shared" si="15"/>
        <v>0</v>
      </c>
      <c r="G20" s="288">
        <f t="shared" si="15"/>
        <v>0</v>
      </c>
      <c r="H20" s="288">
        <f t="shared" si="15"/>
        <v>1500000</v>
      </c>
      <c r="I20" s="288">
        <f t="shared" si="15"/>
        <v>3687652.0000000009</v>
      </c>
      <c r="J20" s="288">
        <f t="shared" si="15"/>
        <v>41854256.000000015</v>
      </c>
      <c r="K20" s="288">
        <f t="shared" si="15"/>
        <v>75545556.00000003</v>
      </c>
      <c r="L20" s="288">
        <f t="shared" si="15"/>
        <v>40354256.000000015</v>
      </c>
      <c r="M20" s="288">
        <f t="shared" si="15"/>
        <v>0</v>
      </c>
      <c r="N20" s="288">
        <f t="shared" si="15"/>
        <v>0</v>
      </c>
      <c r="O20" s="288">
        <f t="shared" si="15"/>
        <v>0</v>
      </c>
      <c r="P20" s="288">
        <f t="shared" si="15"/>
        <v>0</v>
      </c>
      <c r="Q20" s="288">
        <f t="shared" si="15"/>
        <v>0</v>
      </c>
      <c r="R20" s="288">
        <f t="shared" si="15"/>
        <v>0</v>
      </c>
      <c r="S20" s="288">
        <f t="shared" si="15"/>
        <v>0</v>
      </c>
      <c r="T20" s="288">
        <f t="shared" si="15"/>
        <v>0</v>
      </c>
      <c r="U20" s="289">
        <f t="shared" si="3"/>
        <v>162941720.00000006</v>
      </c>
    </row>
    <row r="21" spans="1:40" ht="22.5" customHeight="1" thickBot="1" x14ac:dyDescent="0.3">
      <c r="A21" s="349" t="s">
        <v>287</v>
      </c>
      <c r="B21" s="350"/>
      <c r="C21" s="350"/>
      <c r="D21" s="351"/>
      <c r="E21" s="288"/>
      <c r="F21" s="288"/>
      <c r="G21" s="288"/>
      <c r="H21" s="288"/>
      <c r="I21" s="288"/>
      <c r="J21" s="288"/>
      <c r="K21" s="288"/>
      <c r="L21" s="288"/>
      <c r="M21" s="288">
        <f>'Area Summary'!D45*1000000</f>
        <v>3404645.8656332288</v>
      </c>
      <c r="N21" s="288"/>
      <c r="O21" s="288"/>
      <c r="P21" s="288"/>
      <c r="Q21" s="288"/>
      <c r="R21" s="288"/>
      <c r="S21" s="288"/>
      <c r="T21" s="288"/>
      <c r="U21" s="289">
        <f t="shared" si="3"/>
        <v>3404645.8656332288</v>
      </c>
    </row>
    <row r="22" spans="1:40" ht="22.5" customHeight="1" x14ac:dyDescent="0.2">
      <c r="A22" s="358" t="s">
        <v>288</v>
      </c>
      <c r="B22" s="359"/>
      <c r="C22" s="167">
        <v>10</v>
      </c>
      <c r="D22" s="168" t="s">
        <v>271</v>
      </c>
      <c r="E22" s="267"/>
      <c r="F22" s="267"/>
      <c r="G22" s="267"/>
      <c r="H22" s="267"/>
      <c r="I22" s="267"/>
      <c r="J22" s="267"/>
      <c r="K22" s="267">
        <v>500000</v>
      </c>
      <c r="L22" s="267">
        <v>1000000</v>
      </c>
      <c r="M22" s="267">
        <v>1000000</v>
      </c>
      <c r="N22" s="267">
        <v>500000</v>
      </c>
      <c r="O22" s="267">
        <v>500000</v>
      </c>
      <c r="P22" s="268"/>
      <c r="Q22" s="268"/>
      <c r="R22" s="268"/>
      <c r="S22" s="268"/>
      <c r="T22" s="269"/>
      <c r="U22" s="270">
        <f t="shared" si="3"/>
        <v>3500000</v>
      </c>
    </row>
    <row r="23" spans="1:40" ht="22.5" customHeight="1" x14ac:dyDescent="0.2">
      <c r="A23" s="271" t="s">
        <v>272</v>
      </c>
      <c r="B23" s="272">
        <f>'Area Summary'!E28*1.4*1000000</f>
        <v>135416399.99999997</v>
      </c>
      <c r="C23" s="169">
        <v>37</v>
      </c>
      <c r="D23" s="168" t="s">
        <v>273</v>
      </c>
      <c r="E23" s="267"/>
      <c r="F23" s="267"/>
      <c r="G23" s="267"/>
      <c r="H23" s="267"/>
      <c r="I23" s="267"/>
      <c r="J23" s="267"/>
      <c r="K23" s="267">
        <v>1000000</v>
      </c>
      <c r="L23" s="267">
        <v>1000000</v>
      </c>
      <c r="M23" s="267">
        <v>1000000</v>
      </c>
      <c r="N23" s="267">
        <v>500000</v>
      </c>
      <c r="O23" s="267"/>
      <c r="P23" s="274"/>
      <c r="Q23" s="274"/>
      <c r="R23" s="274"/>
      <c r="S23" s="274"/>
      <c r="T23" s="275"/>
      <c r="U23" s="290">
        <f t="shared" si="3"/>
        <v>3500000</v>
      </c>
    </row>
    <row r="24" spans="1:40" ht="22.5" customHeight="1" x14ac:dyDescent="0.2">
      <c r="A24" s="170" t="s">
        <v>284</v>
      </c>
      <c r="B24" s="180">
        <f>MP_new!H7+MP_new!I7</f>
        <v>5.0888968750000014</v>
      </c>
      <c r="C24" s="173">
        <v>30</v>
      </c>
      <c r="D24" s="171" t="s">
        <v>275</v>
      </c>
      <c r="E24" s="291"/>
      <c r="F24" s="277"/>
      <c r="G24" s="276"/>
      <c r="H24" s="277"/>
      <c r="I24" s="276"/>
      <c r="J24" s="277"/>
      <c r="K24" s="276"/>
      <c r="L24" s="277"/>
      <c r="M24" s="277">
        <f>$B23*0.25</f>
        <v>33854099.999999993</v>
      </c>
      <c r="N24" s="277">
        <f>$B23*0.5</f>
        <v>67708199.999999985</v>
      </c>
      <c r="O24" s="277">
        <f>$B23*0.25</f>
        <v>33854099.999999993</v>
      </c>
      <c r="P24" s="278"/>
      <c r="Q24" s="278"/>
      <c r="R24" s="278"/>
      <c r="S24" s="278"/>
      <c r="T24" s="279"/>
      <c r="U24" s="290">
        <f t="shared" si="3"/>
        <v>135416399.99999997</v>
      </c>
    </row>
    <row r="25" spans="1:40" ht="22.5" customHeight="1" x14ac:dyDescent="0.2">
      <c r="A25" s="170" t="s">
        <v>276</v>
      </c>
      <c r="B25" s="170"/>
      <c r="C25" s="173">
        <v>37</v>
      </c>
      <c r="D25" s="171" t="s">
        <v>277</v>
      </c>
      <c r="E25" s="291"/>
      <c r="F25" s="277"/>
      <c r="G25" s="277"/>
      <c r="H25" s="277"/>
      <c r="I25" s="277"/>
      <c r="J25" s="277"/>
      <c r="K25" s="277"/>
      <c r="L25" s="277">
        <f>$B23*0.01</f>
        <v>1354163.9999999998</v>
      </c>
      <c r="M25" s="277">
        <f>$B23*0.01</f>
        <v>1354163.9999999998</v>
      </c>
      <c r="N25" s="277">
        <f>$B23*0.01</f>
        <v>1354163.9999999998</v>
      </c>
      <c r="O25" s="277">
        <f>$B23*0.01</f>
        <v>1354163.9999999998</v>
      </c>
      <c r="P25" s="277"/>
      <c r="Q25" s="278"/>
      <c r="R25" s="278"/>
      <c r="S25" s="278"/>
      <c r="T25" s="279"/>
      <c r="U25" s="290">
        <f t="shared" si="3"/>
        <v>5416655.9999999991</v>
      </c>
    </row>
    <row r="26" spans="1:40" ht="22.5" customHeight="1" x14ac:dyDescent="0.2">
      <c r="A26" s="172"/>
      <c r="B26" s="172"/>
      <c r="C26" s="173">
        <v>37</v>
      </c>
      <c r="D26" s="171" t="s">
        <v>278</v>
      </c>
      <c r="E26" s="291"/>
      <c r="F26" s="277"/>
      <c r="G26" s="276"/>
      <c r="H26" s="277"/>
      <c r="I26" s="276"/>
      <c r="J26" s="277"/>
      <c r="K26" s="276"/>
      <c r="L26" s="277"/>
      <c r="M26" s="277">
        <f>$B23*0.02</f>
        <v>2708327.9999999995</v>
      </c>
      <c r="N26" s="277">
        <f>$B23*0.02</f>
        <v>2708327.9999999995</v>
      </c>
      <c r="O26" s="277">
        <f>$B23*0.02</f>
        <v>2708327.9999999995</v>
      </c>
      <c r="P26" s="281"/>
      <c r="Q26" s="281"/>
      <c r="R26" s="281"/>
      <c r="S26" s="281"/>
      <c r="T26" s="282"/>
      <c r="U26" s="290">
        <f t="shared" si="3"/>
        <v>8124983.9999999981</v>
      </c>
    </row>
    <row r="27" spans="1:40" ht="22.5" customHeight="1" thickBot="1" x14ac:dyDescent="0.25">
      <c r="A27" s="174"/>
      <c r="B27" s="174"/>
      <c r="C27" s="175">
        <v>41</v>
      </c>
      <c r="D27" s="176" t="s">
        <v>285</v>
      </c>
      <c r="E27" s="292"/>
      <c r="F27" s="293"/>
      <c r="G27" s="292"/>
      <c r="H27" s="293"/>
      <c r="I27" s="292"/>
      <c r="J27" s="293"/>
      <c r="K27" s="292"/>
      <c r="L27" s="293">
        <v>300000</v>
      </c>
      <c r="M27" s="293">
        <v>1000000</v>
      </c>
      <c r="N27" s="293">
        <v>1000000</v>
      </c>
      <c r="O27" s="293">
        <v>1000000</v>
      </c>
      <c r="P27" s="294"/>
      <c r="Q27" s="294"/>
      <c r="R27" s="294"/>
      <c r="S27" s="294"/>
      <c r="T27" s="295"/>
      <c r="U27" s="289">
        <f t="shared" si="3"/>
        <v>3300000</v>
      </c>
    </row>
    <row r="28" spans="1:40" ht="22.5" customHeight="1" thickBot="1" x14ac:dyDescent="0.3">
      <c r="A28" s="349" t="s">
        <v>289</v>
      </c>
      <c r="B28" s="350"/>
      <c r="C28" s="350"/>
      <c r="D28" s="351"/>
      <c r="E28" s="288">
        <f t="shared" ref="E28:T28" si="16">SUM(E22:E27)</f>
        <v>0</v>
      </c>
      <c r="F28" s="288">
        <f t="shared" si="16"/>
        <v>0</v>
      </c>
      <c r="G28" s="288">
        <f t="shared" si="16"/>
        <v>0</v>
      </c>
      <c r="H28" s="288">
        <f t="shared" si="16"/>
        <v>0</v>
      </c>
      <c r="I28" s="288">
        <f t="shared" si="16"/>
        <v>0</v>
      </c>
      <c r="J28" s="288">
        <f t="shared" si="16"/>
        <v>0</v>
      </c>
      <c r="K28" s="288">
        <f t="shared" si="16"/>
        <v>1500000</v>
      </c>
      <c r="L28" s="288">
        <f t="shared" si="16"/>
        <v>3654164</v>
      </c>
      <c r="M28" s="288">
        <f t="shared" si="16"/>
        <v>40916591.999999993</v>
      </c>
      <c r="N28" s="288">
        <f t="shared" si="16"/>
        <v>73770691.999999985</v>
      </c>
      <c r="O28" s="288">
        <f t="shared" si="16"/>
        <v>39416591.999999993</v>
      </c>
      <c r="P28" s="288">
        <f t="shared" si="16"/>
        <v>0</v>
      </c>
      <c r="Q28" s="288">
        <f t="shared" si="16"/>
        <v>0</v>
      </c>
      <c r="R28" s="288">
        <f t="shared" si="16"/>
        <v>0</v>
      </c>
      <c r="S28" s="288">
        <f t="shared" si="16"/>
        <v>0</v>
      </c>
      <c r="T28" s="288">
        <f t="shared" si="16"/>
        <v>0</v>
      </c>
      <c r="U28" s="289">
        <f t="shared" si="3"/>
        <v>159258039.99999997</v>
      </c>
    </row>
    <row r="29" spans="1:40" ht="22.5" customHeight="1" thickBot="1" x14ac:dyDescent="0.3">
      <c r="A29" s="349" t="s">
        <v>290</v>
      </c>
      <c r="B29" s="350"/>
      <c r="C29" s="350"/>
      <c r="D29" s="351"/>
      <c r="E29" s="288"/>
      <c r="F29" s="288"/>
      <c r="G29" s="288"/>
      <c r="H29" s="288"/>
      <c r="I29" s="288"/>
      <c r="J29" s="288"/>
      <c r="K29" s="288"/>
      <c r="L29" s="288"/>
      <c r="M29" s="288"/>
      <c r="N29" s="288"/>
      <c r="O29" s="288"/>
      <c r="P29" s="288">
        <f>'Area Summary'!E45*1000000</f>
        <v>4809174.4250817206</v>
      </c>
      <c r="Q29" s="288"/>
      <c r="R29" s="288"/>
      <c r="S29" s="288"/>
      <c r="T29" s="288"/>
      <c r="U29" s="289">
        <f t="shared" si="3"/>
        <v>4809174.4250817206</v>
      </c>
    </row>
    <row r="30" spans="1:40" ht="22.5" customHeight="1" x14ac:dyDescent="0.2">
      <c r="A30" s="358" t="s">
        <v>291</v>
      </c>
      <c r="B30" s="359"/>
      <c r="C30" s="167">
        <v>10</v>
      </c>
      <c r="D30" s="168" t="s">
        <v>271</v>
      </c>
      <c r="E30" s="267"/>
      <c r="F30" s="267"/>
      <c r="G30" s="267"/>
      <c r="H30" s="267"/>
      <c r="I30" s="267"/>
      <c r="J30" s="267"/>
      <c r="K30" s="267"/>
      <c r="L30" s="267"/>
      <c r="M30" s="267"/>
      <c r="N30" s="267">
        <v>500000</v>
      </c>
      <c r="O30" s="267">
        <v>1000000</v>
      </c>
      <c r="P30" s="267">
        <v>1000000</v>
      </c>
      <c r="Q30" s="267">
        <v>500000</v>
      </c>
      <c r="R30" s="267">
        <v>500000</v>
      </c>
      <c r="S30" s="268"/>
      <c r="T30" s="269"/>
      <c r="U30" s="270">
        <f t="shared" si="3"/>
        <v>3500000</v>
      </c>
    </row>
    <row r="31" spans="1:40" ht="22.5" customHeight="1" x14ac:dyDescent="0.2">
      <c r="A31" s="271" t="s">
        <v>272</v>
      </c>
      <c r="B31" s="272">
        <f>'Area Summary'!F28*1.4*1000000</f>
        <v>105292599.99999993</v>
      </c>
      <c r="C31" s="169">
        <v>37</v>
      </c>
      <c r="D31" s="168" t="s">
        <v>273</v>
      </c>
      <c r="E31" s="267"/>
      <c r="F31" s="267"/>
      <c r="G31" s="267"/>
      <c r="H31" s="267"/>
      <c r="I31" s="267"/>
      <c r="J31" s="267"/>
      <c r="K31" s="267"/>
      <c r="L31" s="267"/>
      <c r="M31" s="267"/>
      <c r="N31" s="267">
        <v>1000000</v>
      </c>
      <c r="O31" s="267">
        <v>1000000</v>
      </c>
      <c r="P31" s="267">
        <v>1000000</v>
      </c>
      <c r="Q31" s="267">
        <v>500000</v>
      </c>
      <c r="R31" s="267"/>
      <c r="S31" s="268"/>
      <c r="T31" s="275"/>
      <c r="U31" s="290">
        <f t="shared" si="3"/>
        <v>3500000</v>
      </c>
    </row>
    <row r="32" spans="1:40" ht="22.5" customHeight="1" x14ac:dyDescent="0.2">
      <c r="A32" s="170" t="s">
        <v>284</v>
      </c>
      <c r="B32" s="180">
        <f>MP_new!H8+MP_new!I8</f>
        <v>3.9911453125000005</v>
      </c>
      <c r="C32" s="173">
        <v>30</v>
      </c>
      <c r="D32" s="171" t="s">
        <v>275</v>
      </c>
      <c r="E32" s="291"/>
      <c r="F32" s="277"/>
      <c r="G32" s="276"/>
      <c r="H32" s="277"/>
      <c r="I32" s="277"/>
      <c r="J32" s="277"/>
      <c r="K32" s="276"/>
      <c r="L32" s="277"/>
      <c r="M32" s="277"/>
      <c r="N32" s="276"/>
      <c r="O32" s="277"/>
      <c r="P32" s="277">
        <f>$B31*0.25</f>
        <v>26323149.999999981</v>
      </c>
      <c r="Q32" s="277">
        <f>$B31*0.5</f>
        <v>52646299.999999963</v>
      </c>
      <c r="R32" s="277">
        <f>$B31*0.25</f>
        <v>26323149.999999981</v>
      </c>
      <c r="S32" s="278"/>
      <c r="T32" s="279"/>
      <c r="U32" s="290">
        <f t="shared" si="3"/>
        <v>105292599.99999993</v>
      </c>
    </row>
    <row r="33" spans="1:22" ht="22.5" customHeight="1" x14ac:dyDescent="0.2">
      <c r="A33" s="170" t="s">
        <v>276</v>
      </c>
      <c r="B33" s="170"/>
      <c r="C33" s="173">
        <v>37</v>
      </c>
      <c r="D33" s="171" t="s">
        <v>277</v>
      </c>
      <c r="E33" s="291"/>
      <c r="F33" s="277"/>
      <c r="G33" s="277"/>
      <c r="H33" s="277"/>
      <c r="I33" s="277"/>
      <c r="J33" s="277"/>
      <c r="K33" s="277"/>
      <c r="L33" s="277"/>
      <c r="M33" s="277"/>
      <c r="N33" s="277"/>
      <c r="O33" s="277">
        <f>$B31*0.01</f>
        <v>1052925.9999999993</v>
      </c>
      <c r="P33" s="277">
        <f>$B31*0.01</f>
        <v>1052925.9999999993</v>
      </c>
      <c r="Q33" s="277">
        <f>$B31*0.01</f>
        <v>1052925.9999999993</v>
      </c>
      <c r="R33" s="277">
        <f>$B31*0.01</f>
        <v>1052925.9999999993</v>
      </c>
      <c r="S33" s="277"/>
      <c r="T33" s="279"/>
      <c r="U33" s="290">
        <f t="shared" si="3"/>
        <v>4211703.9999999972</v>
      </c>
    </row>
    <row r="34" spans="1:22" ht="22.5" customHeight="1" x14ac:dyDescent="0.2">
      <c r="A34" s="172"/>
      <c r="B34" s="172"/>
      <c r="C34" s="173">
        <v>37</v>
      </c>
      <c r="D34" s="171" t="s">
        <v>278</v>
      </c>
      <c r="E34" s="291"/>
      <c r="F34" s="277"/>
      <c r="G34" s="276"/>
      <c r="H34" s="277"/>
      <c r="I34" s="277"/>
      <c r="J34" s="277"/>
      <c r="K34" s="276"/>
      <c r="L34" s="277"/>
      <c r="M34" s="277"/>
      <c r="N34" s="276"/>
      <c r="O34" s="277"/>
      <c r="P34" s="277">
        <f>$B31*0.02</f>
        <v>2105851.9999999986</v>
      </c>
      <c r="Q34" s="277">
        <f>$B31*0.02</f>
        <v>2105851.9999999986</v>
      </c>
      <c r="R34" s="277">
        <f>$B31*0.02</f>
        <v>2105851.9999999986</v>
      </c>
      <c r="S34" s="281"/>
      <c r="T34" s="282"/>
      <c r="U34" s="290">
        <f t="shared" si="3"/>
        <v>6317555.9999999963</v>
      </c>
    </row>
    <row r="35" spans="1:22" ht="22.5" customHeight="1" thickBot="1" x14ac:dyDescent="0.25">
      <c r="A35" s="174"/>
      <c r="B35" s="174"/>
      <c r="C35" s="175">
        <v>41</v>
      </c>
      <c r="D35" s="176" t="s">
        <v>285</v>
      </c>
      <c r="E35" s="292"/>
      <c r="F35" s="293"/>
      <c r="G35" s="292"/>
      <c r="H35" s="293"/>
      <c r="I35" s="293"/>
      <c r="J35" s="293"/>
      <c r="K35" s="292"/>
      <c r="L35" s="293"/>
      <c r="M35" s="293"/>
      <c r="N35" s="292"/>
      <c r="O35" s="293">
        <v>300000</v>
      </c>
      <c r="P35" s="293">
        <v>1000000</v>
      </c>
      <c r="Q35" s="293">
        <v>1000000</v>
      </c>
      <c r="R35" s="293">
        <v>1000000</v>
      </c>
      <c r="S35" s="294"/>
      <c r="T35" s="295"/>
      <c r="U35" s="289">
        <f t="shared" si="3"/>
        <v>3300000</v>
      </c>
    </row>
    <row r="36" spans="1:22" ht="22.5" customHeight="1" thickBot="1" x14ac:dyDescent="0.3">
      <c r="A36" s="349" t="s">
        <v>292</v>
      </c>
      <c r="B36" s="350"/>
      <c r="C36" s="350"/>
      <c r="D36" s="351"/>
      <c r="E36" s="288">
        <f t="shared" ref="E36:T36" si="17">SUM(E30:E35)</f>
        <v>0</v>
      </c>
      <c r="F36" s="288">
        <f t="shared" si="17"/>
        <v>0</v>
      </c>
      <c r="G36" s="288">
        <f t="shared" si="17"/>
        <v>0</v>
      </c>
      <c r="H36" s="288">
        <f t="shared" si="17"/>
        <v>0</v>
      </c>
      <c r="I36" s="288">
        <f t="shared" si="17"/>
        <v>0</v>
      </c>
      <c r="J36" s="288">
        <f t="shared" si="17"/>
        <v>0</v>
      </c>
      <c r="K36" s="288">
        <f t="shared" si="17"/>
        <v>0</v>
      </c>
      <c r="L36" s="288">
        <f t="shared" si="17"/>
        <v>0</v>
      </c>
      <c r="M36" s="288">
        <f t="shared" si="17"/>
        <v>0</v>
      </c>
      <c r="N36" s="288">
        <f t="shared" si="17"/>
        <v>1500000</v>
      </c>
      <c r="O36" s="288">
        <f t="shared" si="17"/>
        <v>3352925.9999999991</v>
      </c>
      <c r="P36" s="288">
        <f t="shared" si="17"/>
        <v>32481927.999999981</v>
      </c>
      <c r="Q36" s="288">
        <f t="shared" si="17"/>
        <v>57805077.999999963</v>
      </c>
      <c r="R36" s="288">
        <f t="shared" si="17"/>
        <v>30981927.999999981</v>
      </c>
      <c r="S36" s="288">
        <f t="shared" si="17"/>
        <v>0</v>
      </c>
      <c r="T36" s="288">
        <f t="shared" si="17"/>
        <v>0</v>
      </c>
      <c r="U36" s="289">
        <f t="shared" si="3"/>
        <v>126121859.99999993</v>
      </c>
    </row>
    <row r="37" spans="1:22" ht="22.5" customHeight="1" thickBot="1" x14ac:dyDescent="0.3">
      <c r="A37" s="349" t="s">
        <v>293</v>
      </c>
      <c r="B37" s="350"/>
      <c r="C37" s="350"/>
      <c r="D37" s="351"/>
      <c r="E37" s="288"/>
      <c r="F37" s="288"/>
      <c r="G37" s="288"/>
      <c r="H37" s="288"/>
      <c r="I37" s="288"/>
      <c r="J37" s="288"/>
      <c r="K37" s="288"/>
      <c r="L37" s="288"/>
      <c r="M37" s="288"/>
      <c r="N37" s="288"/>
      <c r="O37" s="288"/>
      <c r="P37" s="288"/>
      <c r="Q37" s="288"/>
      <c r="R37" s="288"/>
      <c r="S37" s="288">
        <f>'Area Summary'!F45*1000000</f>
        <v>2511039.8404262639</v>
      </c>
      <c r="T37" s="288"/>
      <c r="U37" s="289">
        <f t="shared" si="3"/>
        <v>2511039.8404262639</v>
      </c>
    </row>
    <row r="38" spans="1:22" ht="22.5" customHeight="1" x14ac:dyDescent="0.2">
      <c r="A38" s="358" t="s">
        <v>294</v>
      </c>
      <c r="B38" s="359"/>
      <c r="C38" s="167">
        <v>10</v>
      </c>
      <c r="D38" s="168" t="s">
        <v>271</v>
      </c>
      <c r="E38" s="267"/>
      <c r="F38" s="267"/>
      <c r="G38" s="267"/>
      <c r="H38" s="267"/>
      <c r="I38" s="267"/>
      <c r="J38" s="267"/>
      <c r="K38" s="267"/>
      <c r="L38" s="267"/>
      <c r="M38" s="267"/>
      <c r="N38" s="267"/>
      <c r="O38" s="267"/>
      <c r="P38" s="267">
        <v>500000</v>
      </c>
      <c r="Q38" s="267">
        <v>1000000</v>
      </c>
      <c r="R38" s="267">
        <v>1000000</v>
      </c>
      <c r="S38" s="267">
        <v>500000</v>
      </c>
      <c r="T38" s="267">
        <v>500000</v>
      </c>
      <c r="U38" s="270">
        <f t="shared" si="3"/>
        <v>3500000</v>
      </c>
    </row>
    <row r="39" spans="1:22" ht="22.5" customHeight="1" x14ac:dyDescent="0.2">
      <c r="A39" s="271" t="s">
        <v>272</v>
      </c>
      <c r="B39" s="272">
        <f>'Area Summary'!G28*1.4*1000000</f>
        <v>91089599.999999985</v>
      </c>
      <c r="C39" s="169">
        <v>37</v>
      </c>
      <c r="D39" s="168" t="s">
        <v>273</v>
      </c>
      <c r="E39" s="267"/>
      <c r="F39" s="267"/>
      <c r="G39" s="267"/>
      <c r="H39" s="267"/>
      <c r="I39" s="267"/>
      <c r="J39" s="267"/>
      <c r="K39" s="267"/>
      <c r="L39" s="267"/>
      <c r="M39" s="267"/>
      <c r="N39" s="267"/>
      <c r="O39" s="267"/>
      <c r="P39" s="267">
        <v>1000000</v>
      </c>
      <c r="Q39" s="267">
        <v>1000000</v>
      </c>
      <c r="R39" s="267">
        <v>1000000</v>
      </c>
      <c r="S39" s="267">
        <v>500000</v>
      </c>
      <c r="T39" s="267"/>
      <c r="U39" s="290">
        <f t="shared" si="3"/>
        <v>3500000</v>
      </c>
    </row>
    <row r="40" spans="1:22" ht="22.5" customHeight="1" x14ac:dyDescent="0.2">
      <c r="A40" s="170" t="s">
        <v>284</v>
      </c>
      <c r="B40" s="180">
        <f>MP_new!H9+MP_new!I9</f>
        <v>4.0699031249999997</v>
      </c>
      <c r="C40" s="173">
        <v>30</v>
      </c>
      <c r="D40" s="171" t="s">
        <v>275</v>
      </c>
      <c r="E40" s="291"/>
      <c r="F40" s="277"/>
      <c r="G40" s="276"/>
      <c r="H40" s="277"/>
      <c r="I40" s="277"/>
      <c r="J40" s="277"/>
      <c r="K40" s="277"/>
      <c r="L40" s="277"/>
      <c r="M40" s="276"/>
      <c r="N40" s="277"/>
      <c r="O40" s="276"/>
      <c r="P40" s="276"/>
      <c r="Q40" s="277"/>
      <c r="R40" s="277">
        <f>$B39*0.25</f>
        <v>22772399.999999996</v>
      </c>
      <c r="S40" s="277">
        <f>$B39*0.5</f>
        <v>45544799.999999993</v>
      </c>
      <c r="T40" s="277">
        <f>$B39*0.25</f>
        <v>22772399.999999996</v>
      </c>
      <c r="U40" s="290">
        <f t="shared" si="3"/>
        <v>91089599.999999985</v>
      </c>
    </row>
    <row r="41" spans="1:22" ht="22.5" customHeight="1" x14ac:dyDescent="0.2">
      <c r="A41" s="170" t="s">
        <v>276</v>
      </c>
      <c r="B41" s="170"/>
      <c r="C41" s="173">
        <v>37</v>
      </c>
      <c r="D41" s="171" t="s">
        <v>277</v>
      </c>
      <c r="E41" s="291"/>
      <c r="F41" s="277"/>
      <c r="G41" s="277"/>
      <c r="H41" s="277"/>
      <c r="I41" s="277"/>
      <c r="J41" s="277"/>
      <c r="K41" s="277"/>
      <c r="L41" s="277"/>
      <c r="M41" s="277"/>
      <c r="N41" s="277"/>
      <c r="O41" s="277"/>
      <c r="P41" s="277"/>
      <c r="Q41" s="277">
        <f>$B39*0.01</f>
        <v>910895.99999999988</v>
      </c>
      <c r="R41" s="277">
        <f>$B39*0.01</f>
        <v>910895.99999999988</v>
      </c>
      <c r="S41" s="277">
        <f>$B39*0.01</f>
        <v>910895.99999999988</v>
      </c>
      <c r="T41" s="277">
        <f>$B39*0.01</f>
        <v>910895.99999999988</v>
      </c>
      <c r="U41" s="290">
        <f t="shared" si="3"/>
        <v>3643583.9999999995</v>
      </c>
    </row>
    <row r="42" spans="1:22" ht="22.5" customHeight="1" x14ac:dyDescent="0.2">
      <c r="A42" s="172"/>
      <c r="B42" s="172"/>
      <c r="C42" s="173">
        <v>37</v>
      </c>
      <c r="D42" s="171" t="s">
        <v>278</v>
      </c>
      <c r="E42" s="291"/>
      <c r="F42" s="277"/>
      <c r="G42" s="276"/>
      <c r="H42" s="277"/>
      <c r="I42" s="277"/>
      <c r="J42" s="277"/>
      <c r="K42" s="277"/>
      <c r="L42" s="277"/>
      <c r="M42" s="276"/>
      <c r="N42" s="277"/>
      <c r="O42" s="276"/>
      <c r="P42" s="276"/>
      <c r="Q42" s="277"/>
      <c r="R42" s="277">
        <f>$B39*0.02</f>
        <v>1821791.9999999998</v>
      </c>
      <c r="S42" s="277">
        <f>$B39*0.02</f>
        <v>1821791.9999999998</v>
      </c>
      <c r="T42" s="277">
        <f>$B39*0.02</f>
        <v>1821791.9999999998</v>
      </c>
      <c r="U42" s="290">
        <f t="shared" si="3"/>
        <v>5465375.9999999991</v>
      </c>
    </row>
    <row r="43" spans="1:22" ht="22.5" customHeight="1" thickBot="1" x14ac:dyDescent="0.25">
      <c r="A43" s="174"/>
      <c r="B43" s="174"/>
      <c r="C43" s="175">
        <v>41</v>
      </c>
      <c r="D43" s="176" t="s">
        <v>285</v>
      </c>
      <c r="E43" s="283"/>
      <c r="F43" s="284"/>
      <c r="G43" s="283"/>
      <c r="H43" s="284"/>
      <c r="I43" s="284"/>
      <c r="J43" s="284"/>
      <c r="K43" s="284"/>
      <c r="L43" s="284"/>
      <c r="M43" s="283"/>
      <c r="N43" s="284"/>
      <c r="O43" s="292"/>
      <c r="P43" s="292"/>
      <c r="Q43" s="293">
        <v>300000</v>
      </c>
      <c r="R43" s="293">
        <v>1000000</v>
      </c>
      <c r="S43" s="293">
        <v>1000000</v>
      </c>
      <c r="T43" s="293">
        <v>1000000</v>
      </c>
      <c r="U43" s="289">
        <f t="shared" si="3"/>
        <v>3300000</v>
      </c>
    </row>
    <row r="44" spans="1:22" ht="22.5" customHeight="1" thickBot="1" x14ac:dyDescent="0.3">
      <c r="A44" s="349" t="s">
        <v>295</v>
      </c>
      <c r="B44" s="350"/>
      <c r="C44" s="350"/>
      <c r="D44" s="351"/>
      <c r="E44" s="288">
        <f t="shared" ref="E44:T44" si="18">SUM(E38:E43)</f>
        <v>0</v>
      </c>
      <c r="F44" s="288">
        <f t="shared" si="18"/>
        <v>0</v>
      </c>
      <c r="G44" s="288">
        <f t="shared" si="18"/>
        <v>0</v>
      </c>
      <c r="H44" s="288">
        <f t="shared" si="18"/>
        <v>0</v>
      </c>
      <c r="I44" s="288">
        <f t="shared" si="18"/>
        <v>0</v>
      </c>
      <c r="J44" s="288">
        <f t="shared" si="18"/>
        <v>0</v>
      </c>
      <c r="K44" s="288">
        <f t="shared" si="18"/>
        <v>0</v>
      </c>
      <c r="L44" s="288">
        <f t="shared" si="18"/>
        <v>0</v>
      </c>
      <c r="M44" s="288">
        <f t="shared" si="18"/>
        <v>0</v>
      </c>
      <c r="N44" s="288">
        <f t="shared" si="18"/>
        <v>0</v>
      </c>
      <c r="O44" s="288">
        <f t="shared" si="18"/>
        <v>0</v>
      </c>
      <c r="P44" s="288">
        <f t="shared" si="18"/>
        <v>1500000</v>
      </c>
      <c r="Q44" s="288">
        <f t="shared" si="18"/>
        <v>3210896</v>
      </c>
      <c r="R44" s="288">
        <f t="shared" si="18"/>
        <v>28505087.999999996</v>
      </c>
      <c r="S44" s="288">
        <f t="shared" si="18"/>
        <v>50277487.999999993</v>
      </c>
      <c r="T44" s="288">
        <f t="shared" si="18"/>
        <v>27005087.999999996</v>
      </c>
      <c r="U44" s="289">
        <f t="shared" si="3"/>
        <v>110498559.99999999</v>
      </c>
    </row>
    <row r="45" spans="1:22" ht="22.5" customHeight="1" thickBot="1" x14ac:dyDescent="0.3">
      <c r="A45" s="349" t="s">
        <v>296</v>
      </c>
      <c r="B45" s="350"/>
      <c r="C45" s="350"/>
      <c r="D45" s="351"/>
      <c r="E45" s="288"/>
      <c r="F45" s="288"/>
      <c r="G45" s="288"/>
      <c r="H45" s="288"/>
      <c r="I45" s="288"/>
      <c r="J45" s="288"/>
      <c r="K45" s="288"/>
      <c r="L45" s="288"/>
      <c r="M45" s="288"/>
      <c r="N45" s="288"/>
      <c r="O45" s="288"/>
      <c r="P45" s="288"/>
      <c r="Q45" s="288"/>
      <c r="R45" s="288"/>
      <c r="S45" s="288"/>
      <c r="T45" s="288">
        <f>'Area Summary'!G45*1000000</f>
        <v>2941938.2390529923</v>
      </c>
      <c r="U45" s="289">
        <f t="shared" si="3"/>
        <v>2941938.2390529923</v>
      </c>
    </row>
    <row r="46" spans="1:22" ht="17.25" customHeight="1" thickBot="1" x14ac:dyDescent="0.25">
      <c r="A46" s="367" t="s">
        <v>297</v>
      </c>
      <c r="B46" s="368"/>
      <c r="C46" s="369"/>
      <c r="D46" s="177"/>
      <c r="E46" s="296">
        <f t="shared" ref="E46:U46" si="19">SUM(E6:E11,E14:E19,E22:E27,E30:E35,E38:E43)</f>
        <v>1500000</v>
      </c>
      <c r="F46" s="296">
        <f t="shared" si="19"/>
        <v>3818761.9999999995</v>
      </c>
      <c r="G46" s="296">
        <f t="shared" si="19"/>
        <v>22743905.999999993</v>
      </c>
      <c r="H46" s="296">
        <f t="shared" si="19"/>
        <v>106775815.99999997</v>
      </c>
      <c r="I46" s="296">
        <f t="shared" si="19"/>
        <v>47712987.999999985</v>
      </c>
      <c r="J46" s="296">
        <f t="shared" si="19"/>
        <v>41854256.000000015</v>
      </c>
      <c r="K46" s="296">
        <f t="shared" si="19"/>
        <v>77045556.00000003</v>
      </c>
      <c r="L46" s="296">
        <f t="shared" si="19"/>
        <v>44008420.000000015</v>
      </c>
      <c r="M46" s="296">
        <f t="shared" si="19"/>
        <v>40916591.999999993</v>
      </c>
      <c r="N46" s="296">
        <f t="shared" si="19"/>
        <v>75270691.999999985</v>
      </c>
      <c r="O46" s="296">
        <f t="shared" si="19"/>
        <v>42769517.999999993</v>
      </c>
      <c r="P46" s="296">
        <f t="shared" si="19"/>
        <v>33981927.999999985</v>
      </c>
      <c r="Q46" s="296">
        <f t="shared" si="19"/>
        <v>61015973.999999963</v>
      </c>
      <c r="R46" s="296">
        <f t="shared" si="19"/>
        <v>59487015.999999978</v>
      </c>
      <c r="S46" s="296">
        <f t="shared" si="19"/>
        <v>50277487.999999993</v>
      </c>
      <c r="T46" s="296">
        <f t="shared" si="19"/>
        <v>27005087.999999996</v>
      </c>
      <c r="U46" s="296">
        <f t="shared" si="19"/>
        <v>736183999.99999988</v>
      </c>
      <c r="V46" s="249"/>
    </row>
    <row r="47" spans="1:22" ht="16.5" customHeight="1" thickTop="1" thickBot="1" x14ac:dyDescent="0.3">
      <c r="A47" s="373" t="s">
        <v>298</v>
      </c>
      <c r="B47" s="374"/>
      <c r="C47" s="374"/>
      <c r="D47" s="375"/>
      <c r="E47" s="297">
        <f>E46</f>
        <v>1500000</v>
      </c>
      <c r="F47" s="297">
        <f t="shared" ref="F47:T47" si="20">E47+F46</f>
        <v>5318762</v>
      </c>
      <c r="G47" s="297">
        <f t="shared" si="20"/>
        <v>28062667.999999993</v>
      </c>
      <c r="H47" s="297">
        <f t="shared" si="20"/>
        <v>134838483.99999997</v>
      </c>
      <c r="I47" s="297">
        <f t="shared" si="20"/>
        <v>182551471.99999994</v>
      </c>
      <c r="J47" s="297">
        <f t="shared" si="20"/>
        <v>224405727.99999994</v>
      </c>
      <c r="K47" s="297">
        <f t="shared" si="20"/>
        <v>301451284</v>
      </c>
      <c r="L47" s="297">
        <f t="shared" si="20"/>
        <v>345459704</v>
      </c>
      <c r="M47" s="297">
        <f t="shared" si="20"/>
        <v>386376296</v>
      </c>
      <c r="N47" s="297">
        <f t="shared" si="20"/>
        <v>461646988</v>
      </c>
      <c r="O47" s="297">
        <f t="shared" si="20"/>
        <v>504416506</v>
      </c>
      <c r="P47" s="297">
        <f t="shared" si="20"/>
        <v>538398434</v>
      </c>
      <c r="Q47" s="297">
        <f t="shared" si="20"/>
        <v>599414408</v>
      </c>
      <c r="R47" s="297">
        <f t="shared" si="20"/>
        <v>658901424</v>
      </c>
      <c r="S47" s="297">
        <f t="shared" si="20"/>
        <v>709178912</v>
      </c>
      <c r="T47" s="297">
        <f t="shared" si="20"/>
        <v>736184000</v>
      </c>
      <c r="U47" s="298"/>
      <c r="V47" s="249"/>
    </row>
    <row r="48" spans="1:22" x14ac:dyDescent="0.2">
      <c r="A48" s="178"/>
      <c r="B48" s="178"/>
      <c r="C48" s="376" t="s">
        <v>299</v>
      </c>
      <c r="D48" s="179">
        <v>10</v>
      </c>
      <c r="E48" s="266">
        <f t="shared" ref="E48:T51" si="21">SUMIF($C$6:$C$43,$D48,E$6:E$43)</f>
        <v>500000</v>
      </c>
      <c r="F48" s="266">
        <f t="shared" si="21"/>
        <v>1000000</v>
      </c>
      <c r="G48" s="266">
        <f t="shared" si="21"/>
        <v>1000000</v>
      </c>
      <c r="H48" s="266">
        <f t="shared" si="21"/>
        <v>1000000</v>
      </c>
      <c r="I48" s="266">
        <f t="shared" si="21"/>
        <v>1500000</v>
      </c>
      <c r="J48" s="266">
        <f t="shared" si="21"/>
        <v>1000000</v>
      </c>
      <c r="K48" s="266">
        <f t="shared" si="21"/>
        <v>1000000</v>
      </c>
      <c r="L48" s="266">
        <f t="shared" si="21"/>
        <v>1500000</v>
      </c>
      <c r="M48" s="266">
        <f t="shared" si="21"/>
        <v>1000000</v>
      </c>
      <c r="N48" s="266">
        <f t="shared" si="21"/>
        <v>1000000</v>
      </c>
      <c r="O48" s="266">
        <f t="shared" si="21"/>
        <v>1500000</v>
      </c>
      <c r="P48" s="266">
        <f t="shared" si="21"/>
        <v>1500000</v>
      </c>
      <c r="Q48" s="266">
        <f t="shared" si="21"/>
        <v>1500000</v>
      </c>
      <c r="R48" s="266">
        <f t="shared" si="21"/>
        <v>1500000</v>
      </c>
      <c r="S48" s="266">
        <f t="shared" si="21"/>
        <v>500000</v>
      </c>
      <c r="T48" s="266">
        <f t="shared" si="21"/>
        <v>500000</v>
      </c>
      <c r="U48" s="299"/>
      <c r="V48" s="249"/>
    </row>
    <row r="49" spans="1:24" x14ac:dyDescent="0.2">
      <c r="A49" s="178"/>
      <c r="C49" s="377"/>
      <c r="D49" s="251">
        <v>37</v>
      </c>
      <c r="E49" s="266">
        <f t="shared" si="21"/>
        <v>1000000</v>
      </c>
      <c r="F49" s="266">
        <f t="shared" si="21"/>
        <v>2518761.9999999995</v>
      </c>
      <c r="G49" s="266">
        <f t="shared" si="21"/>
        <v>5556285.9999999981</v>
      </c>
      <c r="H49" s="266">
        <f t="shared" si="21"/>
        <v>6056285.9999999981</v>
      </c>
      <c r="I49" s="266">
        <f t="shared" si="21"/>
        <v>6943937.9999999991</v>
      </c>
      <c r="J49" s="266">
        <f t="shared" si="21"/>
        <v>5162956.0000000019</v>
      </c>
      <c r="K49" s="266">
        <f t="shared" si="21"/>
        <v>5662956.0000000019</v>
      </c>
      <c r="L49" s="266">
        <f t="shared" si="21"/>
        <v>6517120.0000000019</v>
      </c>
      <c r="M49" s="266">
        <f t="shared" si="21"/>
        <v>5062492</v>
      </c>
      <c r="N49" s="266">
        <f t="shared" si="21"/>
        <v>5562491.9999999991</v>
      </c>
      <c r="O49" s="266">
        <f t="shared" si="21"/>
        <v>6115417.9999999981</v>
      </c>
      <c r="P49" s="266">
        <f t="shared" si="21"/>
        <v>5158777.9999999981</v>
      </c>
      <c r="Q49" s="266">
        <f t="shared" si="21"/>
        <v>5569673.9999999981</v>
      </c>
      <c r="R49" s="266">
        <f t="shared" si="21"/>
        <v>6891465.9999999981</v>
      </c>
      <c r="S49" s="266">
        <f t="shared" si="21"/>
        <v>3232688</v>
      </c>
      <c r="T49" s="266">
        <f t="shared" si="21"/>
        <v>2732687.9999999995</v>
      </c>
    </row>
    <row r="50" spans="1:24" x14ac:dyDescent="0.2">
      <c r="A50" s="178"/>
      <c r="C50" s="377"/>
      <c r="D50" s="251">
        <v>30</v>
      </c>
      <c r="E50" s="266">
        <f t="shared" si="21"/>
        <v>0</v>
      </c>
      <c r="F50" s="266">
        <f t="shared" si="21"/>
        <v>0</v>
      </c>
      <c r="G50" s="266">
        <f t="shared" si="21"/>
        <v>15187619.999999994</v>
      </c>
      <c r="H50" s="266">
        <f t="shared" si="21"/>
        <v>98719529.99999997</v>
      </c>
      <c r="I50" s="266">
        <f t="shared" si="21"/>
        <v>37969049.999999985</v>
      </c>
      <c r="J50" s="266">
        <f t="shared" si="21"/>
        <v>34691300.000000015</v>
      </c>
      <c r="K50" s="266">
        <f t="shared" si="21"/>
        <v>69382600.00000003</v>
      </c>
      <c r="L50" s="266">
        <f t="shared" si="21"/>
        <v>34691300.000000015</v>
      </c>
      <c r="M50" s="266">
        <f t="shared" si="21"/>
        <v>33854099.999999993</v>
      </c>
      <c r="N50" s="266">
        <f t="shared" si="21"/>
        <v>67708199.999999985</v>
      </c>
      <c r="O50" s="266">
        <f t="shared" si="21"/>
        <v>33854099.999999993</v>
      </c>
      <c r="P50" s="266">
        <f t="shared" si="21"/>
        <v>26323149.999999981</v>
      </c>
      <c r="Q50" s="266">
        <f t="shared" si="21"/>
        <v>52646299.999999963</v>
      </c>
      <c r="R50" s="266">
        <f t="shared" si="21"/>
        <v>49095549.999999978</v>
      </c>
      <c r="S50" s="266">
        <f t="shared" si="21"/>
        <v>45544799.999999993</v>
      </c>
      <c r="T50" s="266">
        <f t="shared" si="21"/>
        <v>22772399.999999996</v>
      </c>
    </row>
    <row r="51" spans="1:24" x14ac:dyDescent="0.2">
      <c r="A51" s="178"/>
      <c r="C51" s="377"/>
      <c r="D51" s="251">
        <v>41</v>
      </c>
      <c r="E51" s="266">
        <f t="shared" si="21"/>
        <v>0</v>
      </c>
      <c r="F51" s="266">
        <f t="shared" si="21"/>
        <v>300000</v>
      </c>
      <c r="G51" s="266">
        <f t="shared" si="21"/>
        <v>1000000</v>
      </c>
      <c r="H51" s="266">
        <f t="shared" si="21"/>
        <v>1000000</v>
      </c>
      <c r="I51" s="266">
        <f t="shared" si="21"/>
        <v>1300000</v>
      </c>
      <c r="J51" s="266">
        <f t="shared" si="21"/>
        <v>1000000</v>
      </c>
      <c r="K51" s="266">
        <f t="shared" si="21"/>
        <v>1000000</v>
      </c>
      <c r="L51" s="266">
        <f t="shared" si="21"/>
        <v>1300000</v>
      </c>
      <c r="M51" s="266">
        <f t="shared" si="21"/>
        <v>1000000</v>
      </c>
      <c r="N51" s="266">
        <f t="shared" si="21"/>
        <v>1000000</v>
      </c>
      <c r="O51" s="266">
        <f t="shared" si="21"/>
        <v>1300000</v>
      </c>
      <c r="P51" s="266">
        <f t="shared" si="21"/>
        <v>1000000</v>
      </c>
      <c r="Q51" s="266">
        <f t="shared" si="21"/>
        <v>1300000</v>
      </c>
      <c r="R51" s="266">
        <f t="shared" si="21"/>
        <v>2000000</v>
      </c>
      <c r="S51" s="266">
        <f t="shared" si="21"/>
        <v>1000000</v>
      </c>
      <c r="T51" s="266">
        <f t="shared" si="21"/>
        <v>1000000</v>
      </c>
    </row>
    <row r="52" spans="1:24" ht="22.5" hidden="1" customHeight="1" thickBot="1" x14ac:dyDescent="0.25">
      <c r="A52" s="370" t="s">
        <v>300</v>
      </c>
      <c r="B52" s="371"/>
      <c r="C52" s="371"/>
      <c r="D52" s="371"/>
      <c r="E52" s="371"/>
      <c r="F52" s="371"/>
      <c r="G52" s="371"/>
      <c r="H52" s="371"/>
      <c r="I52" s="371"/>
      <c r="J52" s="371"/>
      <c r="K52" s="371"/>
      <c r="L52" s="371"/>
      <c r="M52" s="371"/>
      <c r="N52" s="371"/>
      <c r="O52" s="371"/>
      <c r="P52" s="371"/>
      <c r="Q52" s="371"/>
      <c r="R52" s="371"/>
      <c r="S52" s="371"/>
      <c r="T52" s="371"/>
      <c r="U52" s="371"/>
      <c r="V52" s="371"/>
      <c r="W52" s="372"/>
      <c r="X52" s="249"/>
    </row>
    <row r="53" spans="1:24" hidden="1" x14ac:dyDescent="0.2">
      <c r="A53" s="362" t="s">
        <v>301</v>
      </c>
      <c r="B53" s="363"/>
      <c r="C53" s="77">
        <v>10</v>
      </c>
      <c r="D53" s="86" t="s">
        <v>271</v>
      </c>
      <c r="E53" s="300"/>
      <c r="F53" s="301"/>
      <c r="G53" s="301"/>
      <c r="H53" s="301"/>
      <c r="I53" s="301"/>
      <c r="J53" s="301"/>
      <c r="K53" s="301"/>
      <c r="L53" s="301"/>
      <c r="M53" s="301"/>
      <c r="N53" s="301"/>
      <c r="O53" s="302"/>
      <c r="P53" s="302"/>
      <c r="Q53" s="302"/>
      <c r="R53" s="302"/>
      <c r="S53" s="302"/>
      <c r="T53" s="302"/>
      <c r="U53" s="302"/>
      <c r="V53" s="303"/>
      <c r="W53" s="304">
        <f>SUM(E53:V53)</f>
        <v>0</v>
      </c>
      <c r="X53" s="249"/>
    </row>
    <row r="54" spans="1:24" ht="25.5" hidden="1" customHeight="1" x14ac:dyDescent="0.2">
      <c r="A54" s="305"/>
      <c r="B54" s="272"/>
      <c r="C54" s="75">
        <v>30</v>
      </c>
      <c r="D54" s="78" t="s">
        <v>275</v>
      </c>
      <c r="E54" s="306"/>
      <c r="F54" s="277"/>
      <c r="G54" s="277"/>
      <c r="H54" s="307">
        <f>5300*1000</f>
        <v>5300000</v>
      </c>
      <c r="I54" s="307">
        <f>9666*1000</f>
        <v>9666000</v>
      </c>
      <c r="J54" s="307">
        <f>9864*1000</f>
        <v>9864000</v>
      </c>
      <c r="K54" s="307">
        <f>10062*1000</f>
        <v>10062000</v>
      </c>
      <c r="L54" s="307">
        <f>5695*1000</f>
        <v>5695000</v>
      </c>
      <c r="M54" s="307">
        <f>9666*1000</f>
        <v>9666000</v>
      </c>
      <c r="N54" s="277"/>
      <c r="O54" s="278"/>
      <c r="P54" s="278"/>
      <c r="Q54" s="278"/>
      <c r="R54" s="278"/>
      <c r="S54" s="278"/>
      <c r="T54" s="278"/>
      <c r="U54" s="278"/>
      <c r="V54" s="279"/>
      <c r="W54" s="290">
        <f>SUM(E54:V54)</f>
        <v>50253000</v>
      </c>
      <c r="X54" s="249"/>
    </row>
    <row r="55" spans="1:24" ht="25.5" hidden="1" customHeight="1" x14ac:dyDescent="0.2">
      <c r="A55" s="305"/>
      <c r="B55" s="272"/>
      <c r="C55" s="75">
        <v>37</v>
      </c>
      <c r="D55" s="78" t="s">
        <v>302</v>
      </c>
      <c r="E55" s="306"/>
      <c r="F55" s="277"/>
      <c r="G55" s="277"/>
      <c r="H55" s="277"/>
      <c r="I55" s="277"/>
      <c r="J55" s="277"/>
      <c r="K55" s="277"/>
      <c r="L55" s="277"/>
      <c r="M55" s="277"/>
      <c r="N55" s="277"/>
      <c r="O55" s="278"/>
      <c r="P55" s="278"/>
      <c r="Q55" s="278"/>
      <c r="R55" s="278"/>
      <c r="S55" s="278"/>
      <c r="T55" s="278"/>
      <c r="U55" s="278"/>
      <c r="V55" s="279"/>
      <c r="W55" s="290"/>
      <c r="X55" s="249"/>
    </row>
    <row r="56" spans="1:24" hidden="1" x14ac:dyDescent="0.2">
      <c r="A56" s="74" t="s">
        <v>276</v>
      </c>
      <c r="B56" s="73"/>
      <c r="C56" s="75">
        <v>41</v>
      </c>
      <c r="D56" s="78" t="s">
        <v>285</v>
      </c>
      <c r="E56" s="306"/>
      <c r="F56" s="277"/>
      <c r="G56" s="277"/>
      <c r="H56" s="277"/>
      <c r="I56" s="277"/>
      <c r="J56" s="277"/>
      <c r="K56" s="277"/>
      <c r="L56" s="277"/>
      <c r="M56" s="277"/>
      <c r="N56" s="277"/>
      <c r="O56" s="278"/>
      <c r="P56" s="278"/>
      <c r="Q56" s="278"/>
      <c r="R56" s="278"/>
      <c r="S56" s="278"/>
      <c r="T56" s="278"/>
      <c r="U56" s="278"/>
      <c r="V56" s="279"/>
      <c r="W56" s="290">
        <f t="shared" ref="W56:W87" si="22">SUM(E56:V56)</f>
        <v>0</v>
      </c>
      <c r="X56" s="249"/>
    </row>
    <row r="57" spans="1:24" ht="13.5" hidden="1" customHeight="1" thickBot="1" x14ac:dyDescent="0.25">
      <c r="A57" s="76"/>
      <c r="B57" s="76"/>
      <c r="C57" s="87"/>
      <c r="D57" s="83"/>
      <c r="E57" s="308"/>
      <c r="F57" s="309"/>
      <c r="G57" s="309"/>
      <c r="H57" s="309"/>
      <c r="I57" s="309"/>
      <c r="J57" s="309"/>
      <c r="K57" s="309"/>
      <c r="L57" s="309"/>
      <c r="M57" s="309"/>
      <c r="N57" s="309"/>
      <c r="O57" s="310"/>
      <c r="P57" s="310"/>
      <c r="Q57" s="310"/>
      <c r="R57" s="310"/>
      <c r="S57" s="310"/>
      <c r="T57" s="310"/>
      <c r="U57" s="310"/>
      <c r="V57" s="311"/>
      <c r="W57" s="289">
        <f t="shared" si="22"/>
        <v>0</v>
      </c>
      <c r="X57" s="249"/>
    </row>
    <row r="58" spans="1:24" hidden="1" x14ac:dyDescent="0.2">
      <c r="A58" s="360" t="s">
        <v>303</v>
      </c>
      <c r="B58" s="361"/>
      <c r="C58" s="77">
        <v>10</v>
      </c>
      <c r="D58" s="86" t="s">
        <v>271</v>
      </c>
      <c r="E58" s="312"/>
      <c r="F58" s="307"/>
      <c r="G58" s="307">
        <v>150000</v>
      </c>
      <c r="H58" s="307">
        <v>150000</v>
      </c>
      <c r="I58" s="307">
        <v>150000</v>
      </c>
      <c r="J58" s="307">
        <v>150000</v>
      </c>
      <c r="K58" s="307">
        <v>150000</v>
      </c>
      <c r="L58" s="307">
        <v>150000</v>
      </c>
      <c r="M58" s="307">
        <v>150000</v>
      </c>
      <c r="N58" s="307">
        <v>150000</v>
      </c>
      <c r="O58" s="307">
        <v>150000</v>
      </c>
      <c r="P58" s="307">
        <v>150000</v>
      </c>
      <c r="Q58" s="307"/>
      <c r="R58" s="307"/>
      <c r="S58" s="307"/>
      <c r="T58" s="307"/>
      <c r="U58" s="313"/>
      <c r="V58" s="314"/>
      <c r="W58" s="270">
        <f t="shared" si="22"/>
        <v>1500000</v>
      </c>
      <c r="X58" s="249"/>
    </row>
    <row r="59" spans="1:24" ht="25.5" hidden="1" customHeight="1" x14ac:dyDescent="0.2">
      <c r="A59" s="305"/>
      <c r="B59" s="272"/>
      <c r="C59" s="75">
        <v>30</v>
      </c>
      <c r="D59" s="78" t="s">
        <v>275</v>
      </c>
      <c r="E59" s="306"/>
      <c r="F59" s="277"/>
      <c r="G59" s="277"/>
      <c r="H59" s="277"/>
      <c r="I59" s="277"/>
      <c r="J59" s="277"/>
      <c r="K59" s="277"/>
      <c r="L59" s="277"/>
      <c r="M59" s="277"/>
      <c r="N59" s="277"/>
      <c r="O59" s="278"/>
      <c r="P59" s="278"/>
      <c r="Q59" s="278"/>
      <c r="R59" s="278"/>
      <c r="S59" s="278"/>
      <c r="T59" s="278"/>
      <c r="U59" s="278"/>
      <c r="V59" s="279"/>
      <c r="W59" s="290">
        <f t="shared" si="22"/>
        <v>0</v>
      </c>
      <c r="X59" s="249"/>
    </row>
    <row r="60" spans="1:24" ht="25.5" hidden="1" customHeight="1" x14ac:dyDescent="0.2">
      <c r="A60" s="74"/>
      <c r="B60" s="73"/>
      <c r="C60" s="75">
        <v>37</v>
      </c>
      <c r="D60" s="78" t="s">
        <v>302</v>
      </c>
      <c r="E60" s="306"/>
      <c r="F60" s="277"/>
      <c r="G60" s="277"/>
      <c r="H60" s="277"/>
      <c r="I60" s="277"/>
      <c r="J60" s="277"/>
      <c r="K60" s="277"/>
      <c r="L60" s="277"/>
      <c r="M60" s="277"/>
      <c r="N60" s="277"/>
      <c r="O60" s="278"/>
      <c r="P60" s="278"/>
      <c r="Q60" s="278"/>
      <c r="R60" s="278"/>
      <c r="S60" s="278"/>
      <c r="T60" s="278"/>
      <c r="U60" s="278"/>
      <c r="V60" s="279"/>
      <c r="W60" s="290">
        <f t="shared" si="22"/>
        <v>0</v>
      </c>
      <c r="X60" s="249"/>
    </row>
    <row r="61" spans="1:24" hidden="1" x14ac:dyDescent="0.2">
      <c r="A61" s="74" t="s">
        <v>276</v>
      </c>
      <c r="B61" s="74"/>
      <c r="C61" s="75">
        <v>41</v>
      </c>
      <c r="D61" s="78" t="s">
        <v>285</v>
      </c>
      <c r="E61" s="306"/>
      <c r="F61" s="277"/>
      <c r="G61" s="277"/>
      <c r="H61" s="277"/>
      <c r="I61" s="277"/>
      <c r="J61" s="277"/>
      <c r="K61" s="277"/>
      <c r="L61" s="277"/>
      <c r="M61" s="277"/>
      <c r="N61" s="277"/>
      <c r="O61" s="278"/>
      <c r="P61" s="278"/>
      <c r="Q61" s="278"/>
      <c r="R61" s="278"/>
      <c r="S61" s="278"/>
      <c r="T61" s="278"/>
      <c r="U61" s="278"/>
      <c r="V61" s="279"/>
      <c r="W61" s="290">
        <f t="shared" si="22"/>
        <v>0</v>
      </c>
      <c r="X61" s="249"/>
    </row>
    <row r="62" spans="1:24" ht="13.5" hidden="1" customHeight="1" thickBot="1" x14ac:dyDescent="0.25">
      <c r="A62" s="76"/>
      <c r="B62" s="76"/>
      <c r="C62" s="87"/>
      <c r="D62" s="83"/>
      <c r="E62" s="308"/>
      <c r="F62" s="309"/>
      <c r="G62" s="309"/>
      <c r="H62" s="309"/>
      <c r="I62" s="309"/>
      <c r="J62" s="309"/>
      <c r="K62" s="309"/>
      <c r="L62" s="309"/>
      <c r="M62" s="309"/>
      <c r="N62" s="309"/>
      <c r="O62" s="310"/>
      <c r="P62" s="310"/>
      <c r="Q62" s="310"/>
      <c r="R62" s="310"/>
      <c r="S62" s="310"/>
      <c r="T62" s="310"/>
      <c r="U62" s="310"/>
      <c r="V62" s="311"/>
      <c r="W62" s="289">
        <f t="shared" si="22"/>
        <v>0</v>
      </c>
      <c r="X62" s="249"/>
    </row>
    <row r="63" spans="1:24" ht="24.75" hidden="1" customHeight="1" x14ac:dyDescent="0.2">
      <c r="A63" s="360" t="s">
        <v>304</v>
      </c>
      <c r="B63" s="361"/>
      <c r="C63" s="77">
        <v>10</v>
      </c>
      <c r="D63" s="86" t="s">
        <v>271</v>
      </c>
      <c r="E63" s="312"/>
      <c r="F63" s="307"/>
      <c r="G63" s="307">
        <v>243000</v>
      </c>
      <c r="H63" s="307">
        <v>248000</v>
      </c>
      <c r="I63" s="307">
        <v>253000</v>
      </c>
      <c r="J63" s="307">
        <v>258000</v>
      </c>
      <c r="K63" s="307"/>
      <c r="L63" s="307"/>
      <c r="M63" s="307"/>
      <c r="N63" s="307"/>
      <c r="O63" s="313"/>
      <c r="P63" s="313"/>
      <c r="Q63" s="313"/>
      <c r="R63" s="313"/>
      <c r="S63" s="313"/>
      <c r="T63" s="313"/>
      <c r="U63" s="313"/>
      <c r="V63" s="314"/>
      <c r="W63" s="270">
        <f t="shared" si="22"/>
        <v>1002000</v>
      </c>
      <c r="X63" s="249"/>
    </row>
    <row r="64" spans="1:24" ht="25.5" hidden="1" customHeight="1" x14ac:dyDescent="0.2">
      <c r="A64" s="305"/>
      <c r="B64" s="272"/>
      <c r="C64" s="75">
        <v>30</v>
      </c>
      <c r="D64" s="78" t="s">
        <v>275</v>
      </c>
      <c r="E64" s="306"/>
      <c r="F64" s="277"/>
      <c r="G64" s="277">
        <v>2640000</v>
      </c>
      <c r="H64" s="277"/>
      <c r="I64" s="307">
        <v>2255000</v>
      </c>
      <c r="J64" s="307">
        <v>767000</v>
      </c>
      <c r="K64" s="307"/>
      <c r="L64" s="307"/>
      <c r="M64" s="277"/>
      <c r="N64" s="277"/>
      <c r="O64" s="278"/>
      <c r="P64" s="278"/>
      <c r="Q64" s="278"/>
      <c r="R64" s="278"/>
      <c r="S64" s="278"/>
      <c r="T64" s="278"/>
      <c r="U64" s="278"/>
      <c r="V64" s="279"/>
      <c r="W64" s="290">
        <f t="shared" si="22"/>
        <v>5662000</v>
      </c>
      <c r="X64" s="249"/>
    </row>
    <row r="65" spans="1:24" ht="25.5" hidden="1" customHeight="1" x14ac:dyDescent="0.2">
      <c r="A65" s="74"/>
      <c r="B65" s="73"/>
      <c r="C65" s="75">
        <v>37</v>
      </c>
      <c r="D65" s="78" t="s">
        <v>302</v>
      </c>
      <c r="E65" s="306"/>
      <c r="F65" s="277"/>
      <c r="G65" s="277">
        <v>400000</v>
      </c>
      <c r="H65" s="277">
        <v>400000</v>
      </c>
      <c r="I65" s="277">
        <v>400000</v>
      </c>
      <c r="J65" s="277">
        <v>400000</v>
      </c>
      <c r="K65" s="277"/>
      <c r="L65" s="277"/>
      <c r="M65" s="277"/>
      <c r="N65" s="277"/>
      <c r="O65" s="278"/>
      <c r="P65" s="278"/>
      <c r="Q65" s="278"/>
      <c r="R65" s="278"/>
      <c r="S65" s="278"/>
      <c r="T65" s="278"/>
      <c r="U65" s="278"/>
      <c r="V65" s="279"/>
      <c r="W65" s="290">
        <f t="shared" si="22"/>
        <v>1600000</v>
      </c>
      <c r="X65" s="249"/>
    </row>
    <row r="66" spans="1:24" hidden="1" x14ac:dyDescent="0.2">
      <c r="A66" s="74" t="s">
        <v>276</v>
      </c>
      <c r="B66" s="74"/>
      <c r="C66" s="75">
        <v>41</v>
      </c>
      <c r="D66" s="78" t="s">
        <v>285</v>
      </c>
      <c r="E66" s="306"/>
      <c r="F66" s="277"/>
      <c r="G66" s="277"/>
      <c r="H66" s="277">
        <v>200000</v>
      </c>
      <c r="I66" s="277">
        <v>100000</v>
      </c>
      <c r="J66" s="277">
        <v>100000</v>
      </c>
      <c r="K66" s="277"/>
      <c r="L66" s="277"/>
      <c r="M66" s="277"/>
      <c r="N66" s="277"/>
      <c r="O66" s="278"/>
      <c r="P66" s="278"/>
      <c r="Q66" s="278"/>
      <c r="R66" s="278"/>
      <c r="S66" s="278"/>
      <c r="T66" s="278"/>
      <c r="U66" s="278"/>
      <c r="V66" s="279"/>
      <c r="W66" s="290">
        <f t="shared" si="22"/>
        <v>400000</v>
      </c>
      <c r="X66" s="249"/>
    </row>
    <row r="67" spans="1:24" ht="13.5" hidden="1" customHeight="1" thickBot="1" x14ac:dyDescent="0.25">
      <c r="A67" s="76"/>
      <c r="B67" s="76"/>
      <c r="C67" s="87"/>
      <c r="D67" s="83"/>
      <c r="E67" s="308"/>
      <c r="F67" s="309"/>
      <c r="G67" s="309"/>
      <c r="H67" s="309"/>
      <c r="I67" s="309"/>
      <c r="J67" s="309"/>
      <c r="K67" s="309"/>
      <c r="L67" s="309"/>
      <c r="M67" s="309"/>
      <c r="N67" s="309"/>
      <c r="O67" s="310"/>
      <c r="P67" s="310"/>
      <c r="Q67" s="310"/>
      <c r="R67" s="310"/>
      <c r="S67" s="310"/>
      <c r="T67" s="310"/>
      <c r="U67" s="310"/>
      <c r="V67" s="311"/>
      <c r="W67" s="289">
        <f t="shared" si="22"/>
        <v>0</v>
      </c>
      <c r="X67" s="249"/>
    </row>
    <row r="68" spans="1:24" hidden="1" x14ac:dyDescent="0.2">
      <c r="A68" s="360" t="s">
        <v>305</v>
      </c>
      <c r="B68" s="361"/>
      <c r="C68" s="77">
        <v>10</v>
      </c>
      <c r="D68" s="86" t="s">
        <v>271</v>
      </c>
      <c r="E68" s="312"/>
      <c r="F68" s="307"/>
      <c r="G68" s="307">
        <v>200000</v>
      </c>
      <c r="H68" s="307">
        <v>206000</v>
      </c>
      <c r="I68" s="307">
        <v>212000</v>
      </c>
      <c r="J68" s="307">
        <v>218000</v>
      </c>
      <c r="K68" s="307"/>
      <c r="L68" s="307"/>
      <c r="M68" s="307"/>
      <c r="N68" s="307"/>
      <c r="O68" s="313"/>
      <c r="P68" s="313"/>
      <c r="Q68" s="313"/>
      <c r="R68" s="313"/>
      <c r="S68" s="313"/>
      <c r="T68" s="313"/>
      <c r="U68" s="313"/>
      <c r="V68" s="314"/>
      <c r="W68" s="270">
        <f t="shared" si="22"/>
        <v>836000</v>
      </c>
      <c r="X68" s="249"/>
    </row>
    <row r="69" spans="1:24" ht="25.5" hidden="1" customHeight="1" x14ac:dyDescent="0.2">
      <c r="A69" s="305"/>
      <c r="B69" s="272"/>
      <c r="C69" s="75">
        <v>30</v>
      </c>
      <c r="D69" s="78" t="s">
        <v>275</v>
      </c>
      <c r="E69" s="306"/>
      <c r="F69" s="277"/>
      <c r="G69" s="277"/>
      <c r="H69" s="277"/>
      <c r="I69" s="277"/>
      <c r="J69" s="277"/>
      <c r="K69" s="277"/>
      <c r="L69" s="277"/>
      <c r="M69" s="277"/>
      <c r="N69" s="277"/>
      <c r="O69" s="278"/>
      <c r="P69" s="278"/>
      <c r="Q69" s="278"/>
      <c r="R69" s="278"/>
      <c r="S69" s="278"/>
      <c r="T69" s="278"/>
      <c r="U69" s="278"/>
      <c r="V69" s="279"/>
      <c r="W69" s="290">
        <f t="shared" si="22"/>
        <v>0</v>
      </c>
      <c r="X69" s="249"/>
    </row>
    <row r="70" spans="1:24" ht="25.5" hidden="1" customHeight="1" x14ac:dyDescent="0.2">
      <c r="A70" s="74"/>
      <c r="B70" s="73"/>
      <c r="C70" s="75">
        <v>37</v>
      </c>
      <c r="D70" s="78" t="s">
        <v>302</v>
      </c>
      <c r="E70" s="306"/>
      <c r="F70" s="277"/>
      <c r="G70" s="277">
        <v>1100000</v>
      </c>
      <c r="H70" s="277">
        <v>1100000</v>
      </c>
      <c r="I70" s="277">
        <v>1100000</v>
      </c>
      <c r="J70" s="277">
        <v>1100000</v>
      </c>
      <c r="K70" s="277"/>
      <c r="L70" s="277"/>
      <c r="M70" s="277"/>
      <c r="N70" s="277"/>
      <c r="O70" s="278"/>
      <c r="P70" s="278"/>
      <c r="Q70" s="278"/>
      <c r="R70" s="278"/>
      <c r="S70" s="278"/>
      <c r="T70" s="278"/>
      <c r="U70" s="278"/>
      <c r="V70" s="279"/>
      <c r="W70" s="290">
        <f t="shared" si="22"/>
        <v>4400000</v>
      </c>
      <c r="X70" s="249"/>
    </row>
    <row r="71" spans="1:24" hidden="1" x14ac:dyDescent="0.2">
      <c r="A71" s="74" t="s">
        <v>276</v>
      </c>
      <c r="B71" s="74"/>
      <c r="C71" s="75">
        <v>41</v>
      </c>
      <c r="D71" s="78" t="s">
        <v>285</v>
      </c>
      <c r="E71" s="306"/>
      <c r="F71" s="277"/>
      <c r="G71" s="277"/>
      <c r="H71" s="277"/>
      <c r="I71" s="277"/>
      <c r="J71" s="277"/>
      <c r="K71" s="277"/>
      <c r="L71" s="277"/>
      <c r="M71" s="277"/>
      <c r="N71" s="277"/>
      <c r="O71" s="278"/>
      <c r="P71" s="278"/>
      <c r="Q71" s="278"/>
      <c r="R71" s="278"/>
      <c r="S71" s="278"/>
      <c r="T71" s="278"/>
      <c r="U71" s="278"/>
      <c r="V71" s="279"/>
      <c r="W71" s="290">
        <f t="shared" si="22"/>
        <v>0</v>
      </c>
      <c r="X71" s="249"/>
    </row>
    <row r="72" spans="1:24" ht="13.5" hidden="1" customHeight="1" thickBot="1" x14ac:dyDescent="0.25">
      <c r="A72" s="76"/>
      <c r="B72" s="76"/>
      <c r="C72" s="87"/>
      <c r="D72" s="83"/>
      <c r="E72" s="308"/>
      <c r="F72" s="309"/>
      <c r="G72" s="309"/>
      <c r="H72" s="309"/>
      <c r="I72" s="309"/>
      <c r="J72" s="309"/>
      <c r="K72" s="309"/>
      <c r="L72" s="309"/>
      <c r="M72" s="309"/>
      <c r="N72" s="309"/>
      <c r="O72" s="310"/>
      <c r="P72" s="310"/>
      <c r="Q72" s="310"/>
      <c r="R72" s="310"/>
      <c r="S72" s="310"/>
      <c r="T72" s="310"/>
      <c r="U72" s="310"/>
      <c r="V72" s="311"/>
      <c r="W72" s="289">
        <f t="shared" si="22"/>
        <v>0</v>
      </c>
      <c r="X72" s="249"/>
    </row>
    <row r="73" spans="1:24" hidden="1" x14ac:dyDescent="0.2">
      <c r="A73" s="360" t="s">
        <v>306</v>
      </c>
      <c r="B73" s="361"/>
      <c r="C73" s="77">
        <v>10</v>
      </c>
      <c r="D73" s="86" t="s">
        <v>271</v>
      </c>
      <c r="E73" s="312"/>
      <c r="F73" s="307"/>
      <c r="G73" s="307">
        <v>207000</v>
      </c>
      <c r="H73" s="307">
        <v>215000</v>
      </c>
      <c r="I73" s="307">
        <v>222000</v>
      </c>
      <c r="J73" s="307">
        <v>230000</v>
      </c>
      <c r="K73" s="307">
        <v>238000</v>
      </c>
      <c r="L73" s="307">
        <v>246000</v>
      </c>
      <c r="M73" s="307">
        <v>255000</v>
      </c>
      <c r="N73" s="307">
        <v>264000</v>
      </c>
      <c r="O73" s="313">
        <v>273000</v>
      </c>
      <c r="P73" s="313">
        <v>283000</v>
      </c>
      <c r="Q73" s="313"/>
      <c r="R73" s="313"/>
      <c r="S73" s="313"/>
      <c r="T73" s="313"/>
      <c r="U73" s="313"/>
      <c r="V73" s="314"/>
      <c r="W73" s="270">
        <f t="shared" si="22"/>
        <v>2433000</v>
      </c>
      <c r="X73" s="249"/>
    </row>
    <row r="74" spans="1:24" ht="25.5" hidden="1" customHeight="1" x14ac:dyDescent="0.2">
      <c r="A74" s="305"/>
      <c r="B74" s="272"/>
      <c r="C74" s="75">
        <v>30</v>
      </c>
      <c r="D74" s="78" t="s">
        <v>275</v>
      </c>
      <c r="E74" s="306"/>
      <c r="F74" s="277"/>
      <c r="G74" s="277"/>
      <c r="H74" s="277"/>
      <c r="I74" s="277"/>
      <c r="J74" s="277"/>
      <c r="K74" s="277"/>
      <c r="L74" s="277"/>
      <c r="M74" s="277"/>
      <c r="N74" s="277"/>
      <c r="O74" s="278"/>
      <c r="P74" s="278"/>
      <c r="Q74" s="278"/>
      <c r="R74" s="278"/>
      <c r="S74" s="278"/>
      <c r="T74" s="278"/>
      <c r="U74" s="278"/>
      <c r="V74" s="279"/>
      <c r="W74" s="290">
        <f t="shared" si="22"/>
        <v>0</v>
      </c>
      <c r="X74" s="249"/>
    </row>
    <row r="75" spans="1:24" ht="25.5" hidden="1" customHeight="1" x14ac:dyDescent="0.2">
      <c r="A75" s="74"/>
      <c r="B75" s="73"/>
      <c r="C75" s="75">
        <v>37</v>
      </c>
      <c r="D75" s="78" t="s">
        <v>302</v>
      </c>
      <c r="E75" s="306"/>
      <c r="F75" s="277"/>
      <c r="G75" s="277">
        <v>780000</v>
      </c>
      <c r="H75" s="277">
        <v>808000</v>
      </c>
      <c r="I75" s="277">
        <v>836000</v>
      </c>
      <c r="J75" s="277">
        <v>864000</v>
      </c>
      <c r="K75" s="277">
        <v>896000</v>
      </c>
      <c r="L75" s="277">
        <v>927000</v>
      </c>
      <c r="M75" s="277">
        <v>959000</v>
      </c>
      <c r="N75" s="277">
        <v>993000</v>
      </c>
      <c r="O75" s="278">
        <v>1028000</v>
      </c>
      <c r="P75" s="278">
        <v>1063000</v>
      </c>
      <c r="Q75" s="278"/>
      <c r="R75" s="278"/>
      <c r="S75" s="278"/>
      <c r="T75" s="278"/>
      <c r="U75" s="278"/>
      <c r="V75" s="279"/>
      <c r="W75" s="290">
        <f t="shared" si="22"/>
        <v>9154000</v>
      </c>
      <c r="X75" s="249"/>
    </row>
    <row r="76" spans="1:24" hidden="1" x14ac:dyDescent="0.2">
      <c r="A76" s="74" t="s">
        <v>276</v>
      </c>
      <c r="B76" s="74"/>
      <c r="C76" s="75">
        <v>41</v>
      </c>
      <c r="D76" s="78" t="s">
        <v>285</v>
      </c>
      <c r="E76" s="306"/>
      <c r="F76" s="277"/>
      <c r="G76" s="277"/>
      <c r="H76" s="277"/>
      <c r="I76" s="277"/>
      <c r="J76" s="277"/>
      <c r="K76" s="277"/>
      <c r="L76" s="277"/>
      <c r="M76" s="277"/>
      <c r="N76" s="277"/>
      <c r="O76" s="278"/>
      <c r="P76" s="278"/>
      <c r="Q76" s="278"/>
      <c r="R76" s="278"/>
      <c r="S76" s="278"/>
      <c r="T76" s="278"/>
      <c r="U76" s="278"/>
      <c r="V76" s="279"/>
      <c r="W76" s="290">
        <f t="shared" si="22"/>
        <v>0</v>
      </c>
      <c r="X76" s="249"/>
    </row>
    <row r="77" spans="1:24" ht="39" hidden="1" customHeight="1" thickBot="1" x14ac:dyDescent="0.25">
      <c r="A77" s="76"/>
      <c r="B77" s="76"/>
      <c r="C77" s="87">
        <v>99</v>
      </c>
      <c r="D77" s="83" t="s">
        <v>307</v>
      </c>
      <c r="E77" s="308"/>
      <c r="F77" s="309"/>
      <c r="G77" s="309">
        <v>6500000</v>
      </c>
      <c r="H77" s="309">
        <v>6728000</v>
      </c>
      <c r="I77" s="309">
        <v>6963000</v>
      </c>
      <c r="J77" s="309">
        <v>7207000</v>
      </c>
      <c r="K77" s="309">
        <v>7459000</v>
      </c>
      <c r="L77" s="309">
        <v>7720000</v>
      </c>
      <c r="M77" s="309">
        <v>7990000</v>
      </c>
      <c r="N77" s="309">
        <v>8270000</v>
      </c>
      <c r="O77" s="310">
        <v>8560000</v>
      </c>
      <c r="P77" s="310">
        <v>8860000</v>
      </c>
      <c r="Q77" s="310"/>
      <c r="R77" s="310"/>
      <c r="S77" s="310"/>
      <c r="T77" s="310"/>
      <c r="U77" s="310"/>
      <c r="V77" s="311"/>
      <c r="W77" s="289">
        <f t="shared" si="22"/>
        <v>76257000</v>
      </c>
      <c r="X77" s="249"/>
    </row>
    <row r="78" spans="1:24" hidden="1" x14ac:dyDescent="0.2">
      <c r="A78" s="360" t="s">
        <v>308</v>
      </c>
      <c r="B78" s="361"/>
      <c r="C78" s="77">
        <v>10</v>
      </c>
      <c r="D78" s="86" t="s">
        <v>271</v>
      </c>
      <c r="E78" s="312"/>
      <c r="F78" s="307"/>
      <c r="G78" s="307">
        <v>160000</v>
      </c>
      <c r="H78" s="307">
        <v>166000</v>
      </c>
      <c r="I78" s="307"/>
      <c r="J78" s="307"/>
      <c r="K78" s="307"/>
      <c r="L78" s="307"/>
      <c r="M78" s="307"/>
      <c r="N78" s="307"/>
      <c r="O78" s="313"/>
      <c r="P78" s="313"/>
      <c r="Q78" s="313"/>
      <c r="R78" s="313"/>
      <c r="S78" s="313"/>
      <c r="T78" s="313"/>
      <c r="U78" s="313"/>
      <c r="V78" s="314"/>
      <c r="W78" s="270">
        <f t="shared" si="22"/>
        <v>326000</v>
      </c>
      <c r="X78" s="249"/>
    </row>
    <row r="79" spans="1:24" ht="25.5" hidden="1" customHeight="1" x14ac:dyDescent="0.2">
      <c r="A79" s="305"/>
      <c r="B79" s="272"/>
      <c r="C79" s="75">
        <v>30</v>
      </c>
      <c r="D79" s="78" t="s">
        <v>275</v>
      </c>
      <c r="E79" s="306"/>
      <c r="F79" s="277"/>
      <c r="G79" s="277"/>
      <c r="H79" s="277"/>
      <c r="I79" s="277"/>
      <c r="J79" s="277"/>
      <c r="K79" s="277"/>
      <c r="L79" s="277"/>
      <c r="M79" s="277"/>
      <c r="N79" s="277"/>
      <c r="O79" s="278"/>
      <c r="P79" s="278"/>
      <c r="Q79" s="278"/>
      <c r="R79" s="278"/>
      <c r="S79" s="278"/>
      <c r="T79" s="278"/>
      <c r="U79" s="278"/>
      <c r="V79" s="279"/>
      <c r="W79" s="290">
        <f t="shared" si="22"/>
        <v>0</v>
      </c>
      <c r="X79" s="249"/>
    </row>
    <row r="80" spans="1:24" ht="38.25" hidden="1" customHeight="1" x14ac:dyDescent="0.2">
      <c r="A80" s="74"/>
      <c r="B80" s="73"/>
      <c r="C80" s="75">
        <v>37</v>
      </c>
      <c r="D80" s="78" t="s">
        <v>309</v>
      </c>
      <c r="E80" s="306"/>
      <c r="F80" s="277"/>
      <c r="G80" s="277">
        <v>130000</v>
      </c>
      <c r="H80" s="277">
        <v>135000</v>
      </c>
      <c r="I80" s="277"/>
      <c r="J80" s="277"/>
      <c r="K80" s="277"/>
      <c r="L80" s="277"/>
      <c r="M80" s="277"/>
      <c r="N80" s="277"/>
      <c r="O80" s="278"/>
      <c r="P80" s="278"/>
      <c r="Q80" s="278"/>
      <c r="R80" s="278"/>
      <c r="S80" s="278"/>
      <c r="T80" s="278"/>
      <c r="U80" s="278"/>
      <c r="V80" s="279"/>
      <c r="W80" s="290">
        <f t="shared" si="22"/>
        <v>265000</v>
      </c>
      <c r="X80" s="249"/>
    </row>
    <row r="81" spans="1:24" hidden="1" x14ac:dyDescent="0.2">
      <c r="A81" s="74" t="s">
        <v>276</v>
      </c>
      <c r="B81" s="74"/>
      <c r="C81" s="75">
        <v>41</v>
      </c>
      <c r="D81" s="78" t="s">
        <v>285</v>
      </c>
      <c r="E81" s="306"/>
      <c r="F81" s="277"/>
      <c r="G81" s="277">
        <v>871000</v>
      </c>
      <c r="H81" s="277"/>
      <c r="I81" s="277"/>
      <c r="J81" s="277"/>
      <c r="K81" s="277"/>
      <c r="L81" s="277"/>
      <c r="M81" s="277"/>
      <c r="N81" s="277"/>
      <c r="O81" s="278"/>
      <c r="P81" s="278"/>
      <c r="Q81" s="278"/>
      <c r="R81" s="278"/>
      <c r="S81" s="278"/>
      <c r="T81" s="278"/>
      <c r="U81" s="278"/>
      <c r="V81" s="279"/>
      <c r="W81" s="290">
        <f t="shared" si="22"/>
        <v>871000</v>
      </c>
      <c r="X81" s="249"/>
    </row>
    <row r="82" spans="1:24" ht="13.5" hidden="1" customHeight="1" thickBot="1" x14ac:dyDescent="0.25">
      <c r="A82" s="76"/>
      <c r="B82" s="76"/>
      <c r="C82" s="87"/>
      <c r="D82" s="83"/>
      <c r="E82" s="308"/>
      <c r="F82" s="309"/>
      <c r="G82" s="309"/>
      <c r="H82" s="309"/>
      <c r="I82" s="309"/>
      <c r="J82" s="309"/>
      <c r="K82" s="309"/>
      <c r="L82" s="309"/>
      <c r="M82" s="309"/>
      <c r="N82" s="309"/>
      <c r="O82" s="310"/>
      <c r="P82" s="310"/>
      <c r="Q82" s="310"/>
      <c r="R82" s="310"/>
      <c r="S82" s="310"/>
      <c r="T82" s="310"/>
      <c r="U82" s="310"/>
      <c r="V82" s="311"/>
      <c r="W82" s="289">
        <f t="shared" si="22"/>
        <v>0</v>
      </c>
      <c r="X82" s="249"/>
    </row>
    <row r="83" spans="1:24" hidden="1" x14ac:dyDescent="0.2">
      <c r="A83" s="360" t="s">
        <v>310</v>
      </c>
      <c r="B83" s="361"/>
      <c r="C83" s="77">
        <v>10</v>
      </c>
      <c r="D83" s="86" t="s">
        <v>271</v>
      </c>
      <c r="E83" s="312"/>
      <c r="F83" s="307"/>
      <c r="G83" s="307">
        <v>280000</v>
      </c>
      <c r="H83" s="307">
        <v>290000</v>
      </c>
      <c r="I83" s="307"/>
      <c r="J83" s="307"/>
      <c r="K83" s="307"/>
      <c r="L83" s="307"/>
      <c r="M83" s="307"/>
      <c r="N83" s="307"/>
      <c r="O83" s="313"/>
      <c r="P83" s="313"/>
      <c r="Q83" s="313"/>
      <c r="R83" s="313"/>
      <c r="S83" s="313"/>
      <c r="T83" s="313"/>
      <c r="U83" s="313"/>
      <c r="V83" s="314"/>
      <c r="W83" s="270">
        <f t="shared" si="22"/>
        <v>570000</v>
      </c>
      <c r="X83" s="249"/>
    </row>
    <row r="84" spans="1:24" ht="25.5" hidden="1" customHeight="1" x14ac:dyDescent="0.2">
      <c r="A84" s="305"/>
      <c r="B84" s="272"/>
      <c r="C84" s="75">
        <v>30</v>
      </c>
      <c r="D84" s="78" t="s">
        <v>275</v>
      </c>
      <c r="E84" s="306"/>
      <c r="F84" s="277"/>
      <c r="G84" s="277"/>
      <c r="H84" s="277"/>
      <c r="I84" s="277"/>
      <c r="J84" s="277"/>
      <c r="K84" s="277"/>
      <c r="L84" s="277"/>
      <c r="M84" s="277"/>
      <c r="N84" s="277"/>
      <c r="O84" s="278"/>
      <c r="P84" s="278"/>
      <c r="Q84" s="278"/>
      <c r="R84" s="278"/>
      <c r="S84" s="278"/>
      <c r="T84" s="278"/>
      <c r="U84" s="278"/>
      <c r="V84" s="279"/>
      <c r="W84" s="290">
        <f t="shared" si="22"/>
        <v>0</v>
      </c>
      <c r="X84" s="249"/>
    </row>
    <row r="85" spans="1:24" ht="26.25" hidden="1" customHeight="1" x14ac:dyDescent="0.2">
      <c r="A85" s="74"/>
      <c r="B85" s="73"/>
      <c r="C85" s="75">
        <v>37</v>
      </c>
      <c r="D85" s="78" t="s">
        <v>311</v>
      </c>
      <c r="E85" s="306"/>
      <c r="F85" s="277"/>
      <c r="G85" s="277">
        <v>130000</v>
      </c>
      <c r="H85" s="277">
        <v>135000</v>
      </c>
      <c r="I85" s="277"/>
      <c r="J85" s="277"/>
      <c r="K85" s="277"/>
      <c r="L85" s="277"/>
      <c r="M85" s="277"/>
      <c r="N85" s="277"/>
      <c r="O85" s="278"/>
      <c r="P85" s="278"/>
      <c r="Q85" s="278"/>
      <c r="R85" s="278"/>
      <c r="S85" s="278"/>
      <c r="T85" s="278"/>
      <c r="U85" s="278"/>
      <c r="V85" s="279"/>
      <c r="W85" s="290">
        <f t="shared" si="22"/>
        <v>265000</v>
      </c>
      <c r="X85" s="249"/>
    </row>
    <row r="86" spans="1:24" hidden="1" x14ac:dyDescent="0.2">
      <c r="A86" s="74" t="s">
        <v>276</v>
      </c>
      <c r="B86" s="74"/>
      <c r="C86" s="75">
        <v>41</v>
      </c>
      <c r="D86" s="78" t="s">
        <v>312</v>
      </c>
      <c r="E86" s="306"/>
      <c r="F86" s="277"/>
      <c r="G86" s="277">
        <v>850000</v>
      </c>
      <c r="H86" s="277"/>
      <c r="I86" s="277"/>
      <c r="J86" s="277"/>
      <c r="K86" s="277"/>
      <c r="L86" s="277"/>
      <c r="M86" s="277"/>
      <c r="N86" s="277"/>
      <c r="O86" s="278"/>
      <c r="P86" s="278"/>
      <c r="Q86" s="278"/>
      <c r="R86" s="278"/>
      <c r="S86" s="278"/>
      <c r="T86" s="278"/>
      <c r="U86" s="278"/>
      <c r="V86" s="279"/>
      <c r="W86" s="290">
        <f t="shared" si="22"/>
        <v>850000</v>
      </c>
      <c r="X86" s="249"/>
    </row>
    <row r="87" spans="1:24" ht="13.5" hidden="1" customHeight="1" thickBot="1" x14ac:dyDescent="0.25">
      <c r="A87" s="76"/>
      <c r="B87" s="76"/>
      <c r="C87" s="87"/>
      <c r="D87" s="83"/>
      <c r="E87" s="308"/>
      <c r="F87" s="309"/>
      <c r="G87" s="309"/>
      <c r="H87" s="309"/>
      <c r="I87" s="309"/>
      <c r="J87" s="309"/>
      <c r="K87" s="309"/>
      <c r="L87" s="309"/>
      <c r="M87" s="309"/>
      <c r="N87" s="309"/>
      <c r="O87" s="310"/>
      <c r="P87" s="310"/>
      <c r="Q87" s="310"/>
      <c r="R87" s="310"/>
      <c r="S87" s="310"/>
      <c r="T87" s="310"/>
      <c r="U87" s="310"/>
      <c r="V87" s="311"/>
      <c r="W87" s="289">
        <f t="shared" si="22"/>
        <v>0</v>
      </c>
      <c r="X87" s="249"/>
    </row>
    <row r="88" spans="1:24" hidden="1" x14ac:dyDescent="0.2">
      <c r="A88" s="360" t="s">
        <v>80</v>
      </c>
      <c r="B88" s="361"/>
      <c r="C88" s="77">
        <v>10</v>
      </c>
      <c r="D88" s="86" t="s">
        <v>271</v>
      </c>
      <c r="E88" s="312"/>
      <c r="F88" s="307"/>
      <c r="G88" s="307">
        <v>160000</v>
      </c>
      <c r="H88" s="307">
        <v>166000</v>
      </c>
      <c r="I88" s="307"/>
      <c r="J88" s="307"/>
      <c r="K88" s="307"/>
      <c r="L88" s="307"/>
      <c r="M88" s="307"/>
      <c r="N88" s="307"/>
      <c r="O88" s="313"/>
      <c r="P88" s="313"/>
      <c r="Q88" s="313"/>
      <c r="R88" s="313"/>
      <c r="S88" s="313"/>
      <c r="T88" s="313"/>
      <c r="U88" s="313"/>
      <c r="V88" s="314"/>
      <c r="W88" s="270">
        <f t="shared" ref="W88:W119" si="23">SUM(E88:V88)</f>
        <v>326000</v>
      </c>
      <c r="X88" s="249"/>
    </row>
    <row r="89" spans="1:24" ht="25.5" hidden="1" customHeight="1" x14ac:dyDescent="0.2">
      <c r="A89" s="305"/>
      <c r="B89" s="272"/>
      <c r="C89" s="75">
        <v>30</v>
      </c>
      <c r="D89" s="78" t="s">
        <v>275</v>
      </c>
      <c r="E89" s="306"/>
      <c r="F89" s="277"/>
      <c r="G89" s="277"/>
      <c r="H89" s="277"/>
      <c r="I89" s="277"/>
      <c r="J89" s="277"/>
      <c r="K89" s="277"/>
      <c r="L89" s="277"/>
      <c r="M89" s="277"/>
      <c r="N89" s="277"/>
      <c r="O89" s="278"/>
      <c r="P89" s="278"/>
      <c r="Q89" s="278"/>
      <c r="R89" s="278"/>
      <c r="S89" s="278"/>
      <c r="T89" s="278"/>
      <c r="U89" s="278"/>
      <c r="V89" s="279"/>
      <c r="W89" s="290">
        <f t="shared" si="23"/>
        <v>0</v>
      </c>
      <c r="X89" s="249"/>
    </row>
    <row r="90" spans="1:24" ht="26.25" hidden="1" customHeight="1" x14ac:dyDescent="0.2">
      <c r="A90" s="74"/>
      <c r="B90" s="73"/>
      <c r="C90" s="75">
        <v>37</v>
      </c>
      <c r="D90" s="78" t="s">
        <v>311</v>
      </c>
      <c r="E90" s="306"/>
      <c r="F90" s="277"/>
      <c r="G90" s="277">
        <v>130000</v>
      </c>
      <c r="H90" s="277">
        <v>135000</v>
      </c>
      <c r="I90" s="277"/>
      <c r="J90" s="277"/>
      <c r="K90" s="277"/>
      <c r="L90" s="277"/>
      <c r="M90" s="277"/>
      <c r="N90" s="277"/>
      <c r="O90" s="278"/>
      <c r="P90" s="278"/>
      <c r="Q90" s="278"/>
      <c r="R90" s="278"/>
      <c r="S90" s="278"/>
      <c r="T90" s="278"/>
      <c r="U90" s="278"/>
      <c r="V90" s="279"/>
      <c r="W90" s="290">
        <f t="shared" si="23"/>
        <v>265000</v>
      </c>
      <c r="X90" s="249"/>
    </row>
    <row r="91" spans="1:24" hidden="1" x14ac:dyDescent="0.2">
      <c r="A91" s="74" t="s">
        <v>276</v>
      </c>
      <c r="B91" s="74"/>
      <c r="C91" s="75">
        <v>41</v>
      </c>
      <c r="D91" s="78" t="s">
        <v>285</v>
      </c>
      <c r="E91" s="306"/>
      <c r="F91" s="277"/>
      <c r="G91" s="277">
        <v>533000</v>
      </c>
      <c r="H91" s="277"/>
      <c r="I91" s="277"/>
      <c r="J91" s="277"/>
      <c r="K91" s="277"/>
      <c r="L91" s="277"/>
      <c r="M91" s="277"/>
      <c r="N91" s="277"/>
      <c r="O91" s="278"/>
      <c r="P91" s="278"/>
      <c r="Q91" s="278"/>
      <c r="R91" s="278"/>
      <c r="S91" s="278"/>
      <c r="T91" s="278"/>
      <c r="U91" s="278"/>
      <c r="V91" s="279"/>
      <c r="W91" s="290">
        <f t="shared" si="23"/>
        <v>533000</v>
      </c>
      <c r="X91" s="249"/>
    </row>
    <row r="92" spans="1:24" ht="13.5" hidden="1" customHeight="1" thickBot="1" x14ac:dyDescent="0.25">
      <c r="A92" s="76"/>
      <c r="B92" s="76"/>
      <c r="C92" s="87"/>
      <c r="D92" s="79"/>
      <c r="E92" s="308"/>
      <c r="F92" s="309"/>
      <c r="G92" s="309"/>
      <c r="H92" s="309"/>
      <c r="I92" s="309"/>
      <c r="J92" s="309"/>
      <c r="K92" s="309"/>
      <c r="L92" s="309"/>
      <c r="M92" s="309"/>
      <c r="N92" s="309"/>
      <c r="O92" s="310"/>
      <c r="P92" s="310"/>
      <c r="Q92" s="310"/>
      <c r="R92" s="310"/>
      <c r="S92" s="310"/>
      <c r="T92" s="310"/>
      <c r="U92" s="310"/>
      <c r="V92" s="311"/>
      <c r="W92" s="289">
        <f t="shared" si="23"/>
        <v>0</v>
      </c>
      <c r="X92" s="249"/>
    </row>
    <row r="93" spans="1:24" hidden="1" x14ac:dyDescent="0.2">
      <c r="A93" s="360" t="s">
        <v>313</v>
      </c>
      <c r="B93" s="361"/>
      <c r="C93" s="77">
        <v>10</v>
      </c>
      <c r="D93" s="86" t="s">
        <v>271</v>
      </c>
      <c r="E93" s="312"/>
      <c r="F93" s="307"/>
      <c r="G93" s="307">
        <v>527000</v>
      </c>
      <c r="H93" s="307">
        <v>545000</v>
      </c>
      <c r="I93" s="307">
        <v>564000</v>
      </c>
      <c r="J93" s="307">
        <v>584000</v>
      </c>
      <c r="K93" s="307">
        <v>604000</v>
      </c>
      <c r="L93" s="307">
        <v>626000</v>
      </c>
      <c r="M93" s="307">
        <v>647000</v>
      </c>
      <c r="N93" s="307">
        <v>670000</v>
      </c>
      <c r="O93" s="313">
        <v>693000</v>
      </c>
      <c r="P93" s="313">
        <v>718000</v>
      </c>
      <c r="Q93" s="313"/>
      <c r="R93" s="313"/>
      <c r="S93" s="313"/>
      <c r="T93" s="313"/>
      <c r="U93" s="313"/>
      <c r="V93" s="314"/>
      <c r="W93" s="270">
        <f t="shared" si="23"/>
        <v>6178000</v>
      </c>
      <c r="X93" s="249"/>
    </row>
    <row r="94" spans="1:24" ht="25.5" hidden="1" customHeight="1" x14ac:dyDescent="0.2">
      <c r="A94" s="305"/>
      <c r="B94" s="272"/>
      <c r="C94" s="75">
        <v>30</v>
      </c>
      <c r="D94" s="78" t="s">
        <v>275</v>
      </c>
      <c r="E94" s="306"/>
      <c r="F94" s="277"/>
      <c r="G94" s="277"/>
      <c r="H94" s="277"/>
      <c r="I94" s="277"/>
      <c r="J94" s="277"/>
      <c r="K94" s="277"/>
      <c r="L94" s="277"/>
      <c r="M94" s="277"/>
      <c r="N94" s="277"/>
      <c r="O94" s="278"/>
      <c r="P94" s="278"/>
      <c r="Q94" s="278"/>
      <c r="R94" s="278"/>
      <c r="S94" s="278"/>
      <c r="T94" s="278"/>
      <c r="U94" s="278"/>
      <c r="V94" s="279"/>
      <c r="W94" s="290">
        <f t="shared" si="23"/>
        <v>0</v>
      </c>
      <c r="X94" s="249"/>
    </row>
    <row r="95" spans="1:24" ht="38.25" hidden="1" customHeight="1" x14ac:dyDescent="0.2">
      <c r="A95" s="74"/>
      <c r="B95" s="73"/>
      <c r="C95" s="75">
        <v>37</v>
      </c>
      <c r="D95" s="78" t="s">
        <v>314</v>
      </c>
      <c r="E95" s="306"/>
      <c r="F95" s="277"/>
      <c r="G95" s="277">
        <v>975000</v>
      </c>
      <c r="H95" s="277">
        <v>1010000</v>
      </c>
      <c r="I95" s="277">
        <v>1045000</v>
      </c>
      <c r="J95" s="277">
        <v>1081000</v>
      </c>
      <c r="K95" s="277">
        <v>1119000</v>
      </c>
      <c r="L95" s="277">
        <v>1158000</v>
      </c>
      <c r="M95" s="277">
        <v>1200000</v>
      </c>
      <c r="N95" s="277">
        <v>1240000</v>
      </c>
      <c r="O95" s="278">
        <v>1284000</v>
      </c>
      <c r="P95" s="278">
        <v>1330000</v>
      </c>
      <c r="Q95" s="278"/>
      <c r="R95" s="278"/>
      <c r="S95" s="278"/>
      <c r="T95" s="278"/>
      <c r="U95" s="278"/>
      <c r="V95" s="279"/>
      <c r="W95" s="290">
        <f t="shared" si="23"/>
        <v>11442000</v>
      </c>
      <c r="X95" s="249"/>
    </row>
    <row r="96" spans="1:24" hidden="1" x14ac:dyDescent="0.2">
      <c r="A96" s="74" t="s">
        <v>276</v>
      </c>
      <c r="B96" s="74"/>
      <c r="C96" s="75">
        <v>41</v>
      </c>
      <c r="D96" s="78" t="s">
        <v>285</v>
      </c>
      <c r="E96" s="306"/>
      <c r="F96" s="277"/>
      <c r="G96" s="277"/>
      <c r="H96" s="277"/>
      <c r="I96" s="277"/>
      <c r="J96" s="277"/>
      <c r="K96" s="277"/>
      <c r="L96" s="277"/>
      <c r="M96" s="277"/>
      <c r="N96" s="277"/>
      <c r="O96" s="278"/>
      <c r="P96" s="278"/>
      <c r="Q96" s="278"/>
      <c r="R96" s="278"/>
      <c r="S96" s="278"/>
      <c r="T96" s="278"/>
      <c r="U96" s="278"/>
      <c r="V96" s="279"/>
      <c r="W96" s="290">
        <f t="shared" si="23"/>
        <v>0</v>
      </c>
      <c r="X96" s="249"/>
    </row>
    <row r="97" spans="1:24" ht="13.5" hidden="1" customHeight="1" thickBot="1" x14ac:dyDescent="0.25">
      <c r="A97" s="76"/>
      <c r="B97" s="76"/>
      <c r="C97" s="87"/>
      <c r="D97" s="83"/>
      <c r="E97" s="308"/>
      <c r="F97" s="309"/>
      <c r="G97" s="309"/>
      <c r="H97" s="309"/>
      <c r="I97" s="309"/>
      <c r="J97" s="309"/>
      <c r="K97" s="309"/>
      <c r="L97" s="309"/>
      <c r="M97" s="309"/>
      <c r="N97" s="309"/>
      <c r="O97" s="310"/>
      <c r="P97" s="310"/>
      <c r="Q97" s="310"/>
      <c r="R97" s="310"/>
      <c r="S97" s="310"/>
      <c r="T97" s="310"/>
      <c r="U97" s="310"/>
      <c r="V97" s="311"/>
      <c r="W97" s="289">
        <f t="shared" si="23"/>
        <v>0</v>
      </c>
      <c r="X97" s="249"/>
    </row>
    <row r="98" spans="1:24" hidden="1" x14ac:dyDescent="0.2">
      <c r="A98" s="360" t="s">
        <v>315</v>
      </c>
      <c r="B98" s="361"/>
      <c r="C98" s="77">
        <v>10</v>
      </c>
      <c r="D98" s="86" t="s">
        <v>271</v>
      </c>
      <c r="E98" s="312"/>
      <c r="F98" s="307"/>
      <c r="G98" s="307">
        <v>162000</v>
      </c>
      <c r="H98" s="307">
        <v>118000</v>
      </c>
      <c r="I98" s="307">
        <v>122000</v>
      </c>
      <c r="J98" s="307">
        <v>126000</v>
      </c>
      <c r="K98" s="307">
        <v>130000</v>
      </c>
      <c r="L98" s="307">
        <v>135000</v>
      </c>
      <c r="M98" s="307"/>
      <c r="N98" s="307"/>
      <c r="O98" s="313"/>
      <c r="P98" s="313"/>
      <c r="Q98" s="313"/>
      <c r="R98" s="313"/>
      <c r="S98" s="313"/>
      <c r="T98" s="313"/>
      <c r="U98" s="313"/>
      <c r="V98" s="314"/>
      <c r="W98" s="270">
        <f t="shared" si="23"/>
        <v>793000</v>
      </c>
      <c r="X98" s="249"/>
    </row>
    <row r="99" spans="1:24" ht="25.5" hidden="1" customHeight="1" x14ac:dyDescent="0.2">
      <c r="A99" s="305"/>
      <c r="B99" s="272"/>
      <c r="C99" s="75">
        <v>30</v>
      </c>
      <c r="D99" s="78" t="s">
        <v>275</v>
      </c>
      <c r="E99" s="306"/>
      <c r="F99" s="277"/>
      <c r="G99" s="277"/>
      <c r="H99" s="277"/>
      <c r="I99" s="277"/>
      <c r="J99" s="277"/>
      <c r="K99" s="277"/>
      <c r="L99" s="277"/>
      <c r="M99" s="277"/>
      <c r="N99" s="277"/>
      <c r="O99" s="278"/>
      <c r="P99" s="278"/>
      <c r="Q99" s="278"/>
      <c r="R99" s="278"/>
      <c r="S99" s="278"/>
      <c r="T99" s="278"/>
      <c r="U99" s="278"/>
      <c r="V99" s="279"/>
      <c r="W99" s="290">
        <f t="shared" si="23"/>
        <v>0</v>
      </c>
      <c r="X99" s="249"/>
    </row>
    <row r="100" spans="1:24" ht="38.25" hidden="1" customHeight="1" x14ac:dyDescent="0.2">
      <c r="A100" s="74"/>
      <c r="B100" s="73"/>
      <c r="C100" s="75">
        <v>37</v>
      </c>
      <c r="D100" s="78" t="s">
        <v>316</v>
      </c>
      <c r="E100" s="306"/>
      <c r="F100" s="277"/>
      <c r="G100" s="277">
        <v>520000</v>
      </c>
      <c r="H100" s="277">
        <v>539000</v>
      </c>
      <c r="I100" s="277">
        <v>558000</v>
      </c>
      <c r="J100" s="277">
        <v>577000</v>
      </c>
      <c r="K100" s="277">
        <v>597000</v>
      </c>
      <c r="L100" s="277">
        <v>618000</v>
      </c>
      <c r="M100" s="277"/>
      <c r="N100" s="277"/>
      <c r="O100" s="278"/>
      <c r="P100" s="278"/>
      <c r="Q100" s="278"/>
      <c r="R100" s="278"/>
      <c r="S100" s="278"/>
      <c r="T100" s="278"/>
      <c r="U100" s="278"/>
      <c r="V100" s="279"/>
      <c r="W100" s="290">
        <f t="shared" si="23"/>
        <v>3409000</v>
      </c>
      <c r="X100" s="249"/>
    </row>
    <row r="101" spans="1:24" hidden="1" x14ac:dyDescent="0.2">
      <c r="A101" s="74" t="s">
        <v>276</v>
      </c>
      <c r="B101" s="74"/>
      <c r="C101" s="75">
        <v>41</v>
      </c>
      <c r="D101" s="78" t="s">
        <v>285</v>
      </c>
      <c r="E101" s="306"/>
      <c r="F101" s="277"/>
      <c r="G101" s="277">
        <v>208000</v>
      </c>
      <c r="H101" s="277"/>
      <c r="I101" s="277">
        <v>223000</v>
      </c>
      <c r="J101" s="277"/>
      <c r="K101" s="277">
        <v>239000</v>
      </c>
      <c r="L101" s="277"/>
      <c r="M101" s="277"/>
      <c r="N101" s="277"/>
      <c r="O101" s="278"/>
      <c r="P101" s="278"/>
      <c r="Q101" s="278"/>
      <c r="R101" s="278"/>
      <c r="S101" s="278"/>
      <c r="T101" s="278"/>
      <c r="U101" s="278"/>
      <c r="V101" s="279"/>
      <c r="W101" s="290">
        <f t="shared" si="23"/>
        <v>670000</v>
      </c>
      <c r="X101" s="249"/>
    </row>
    <row r="102" spans="1:24" ht="13.5" hidden="1" customHeight="1" thickBot="1" x14ac:dyDescent="0.25">
      <c r="A102" s="76"/>
      <c r="B102" s="76"/>
      <c r="C102" s="87"/>
      <c r="D102" s="80"/>
      <c r="E102" s="308"/>
      <c r="F102" s="309"/>
      <c r="G102" s="309"/>
      <c r="H102" s="309"/>
      <c r="I102" s="309"/>
      <c r="J102" s="309"/>
      <c r="K102" s="309"/>
      <c r="L102" s="309"/>
      <c r="M102" s="309"/>
      <c r="N102" s="309"/>
      <c r="O102" s="310"/>
      <c r="P102" s="310"/>
      <c r="Q102" s="310"/>
      <c r="R102" s="310"/>
      <c r="S102" s="310"/>
      <c r="T102" s="310"/>
      <c r="U102" s="310"/>
      <c r="V102" s="311"/>
      <c r="W102" s="289">
        <f t="shared" si="23"/>
        <v>0</v>
      </c>
      <c r="X102" s="249"/>
    </row>
    <row r="103" spans="1:24" hidden="1" x14ac:dyDescent="0.2">
      <c r="A103" s="360" t="s">
        <v>317</v>
      </c>
      <c r="B103" s="361"/>
      <c r="C103" s="77">
        <v>10</v>
      </c>
      <c r="D103" s="86" t="s">
        <v>271</v>
      </c>
      <c r="E103" s="312"/>
      <c r="F103" s="307"/>
      <c r="G103" s="307">
        <v>2000000</v>
      </c>
      <c r="H103" s="307">
        <v>1000000</v>
      </c>
      <c r="I103" s="307">
        <v>1000000</v>
      </c>
      <c r="J103" s="307">
        <v>500000</v>
      </c>
      <c r="K103" s="307">
        <v>500000</v>
      </c>
      <c r="L103" s="307">
        <v>500000</v>
      </c>
      <c r="M103" s="307">
        <v>500000</v>
      </c>
      <c r="N103" s="307">
        <v>500000</v>
      </c>
      <c r="O103" s="307">
        <v>500000</v>
      </c>
      <c r="P103" s="307">
        <v>500000</v>
      </c>
      <c r="Q103" s="307"/>
      <c r="R103" s="307"/>
      <c r="S103" s="307"/>
      <c r="T103" s="307"/>
      <c r="U103" s="307"/>
      <c r="V103" s="307"/>
      <c r="W103" s="270">
        <f t="shared" si="23"/>
        <v>7500000</v>
      </c>
      <c r="X103" s="249"/>
    </row>
    <row r="104" spans="1:24" ht="25.5" hidden="1" customHeight="1" x14ac:dyDescent="0.2">
      <c r="A104" s="305"/>
      <c r="B104" s="272"/>
      <c r="C104" s="75">
        <v>30</v>
      </c>
      <c r="D104" s="78" t="s">
        <v>275</v>
      </c>
      <c r="E104" s="306"/>
      <c r="F104" s="277"/>
      <c r="G104" s="277"/>
      <c r="H104" s="277"/>
      <c r="I104" s="277"/>
      <c r="J104" s="277"/>
      <c r="K104" s="277"/>
      <c r="L104" s="277"/>
      <c r="M104" s="277"/>
      <c r="N104" s="277"/>
      <c r="O104" s="278"/>
      <c r="P104" s="278"/>
      <c r="Q104" s="278"/>
      <c r="R104" s="278"/>
      <c r="S104" s="278"/>
      <c r="T104" s="278"/>
      <c r="U104" s="278"/>
      <c r="V104" s="279"/>
      <c r="W104" s="290">
        <f t="shared" si="23"/>
        <v>0</v>
      </c>
      <c r="X104" s="249"/>
    </row>
    <row r="105" spans="1:24" ht="25.5" hidden="1" customHeight="1" x14ac:dyDescent="0.2">
      <c r="A105" s="74"/>
      <c r="B105" s="73"/>
      <c r="C105" s="75">
        <v>37</v>
      </c>
      <c r="D105" s="78" t="s">
        <v>302</v>
      </c>
      <c r="E105" s="306"/>
      <c r="F105" s="277"/>
      <c r="G105" s="277">
        <v>2000000</v>
      </c>
      <c r="H105" s="277">
        <v>1000000</v>
      </c>
      <c r="I105" s="277">
        <v>1000000</v>
      </c>
      <c r="J105" s="277">
        <v>500000</v>
      </c>
      <c r="K105" s="277">
        <v>500000</v>
      </c>
      <c r="L105" s="277">
        <v>500000</v>
      </c>
      <c r="M105" s="277">
        <v>500000</v>
      </c>
      <c r="N105" s="277">
        <v>500000</v>
      </c>
      <c r="O105" s="277">
        <v>500000</v>
      </c>
      <c r="P105" s="277">
        <v>500000</v>
      </c>
      <c r="Q105" s="277"/>
      <c r="R105" s="278"/>
      <c r="S105" s="278"/>
      <c r="T105" s="278"/>
      <c r="U105" s="278"/>
      <c r="V105" s="279"/>
      <c r="W105" s="290">
        <f t="shared" si="23"/>
        <v>7500000</v>
      </c>
      <c r="X105" s="249"/>
    </row>
    <row r="106" spans="1:24" hidden="1" x14ac:dyDescent="0.2">
      <c r="A106" s="74" t="s">
        <v>276</v>
      </c>
      <c r="B106" s="74"/>
      <c r="C106" s="75">
        <v>41</v>
      </c>
      <c r="D106" s="78" t="s">
        <v>285</v>
      </c>
      <c r="E106" s="306"/>
      <c r="F106" s="277"/>
      <c r="G106" s="277"/>
      <c r="H106" s="277"/>
      <c r="I106" s="277"/>
      <c r="J106" s="277"/>
      <c r="K106" s="277"/>
      <c r="L106" s="277"/>
      <c r="M106" s="277"/>
      <c r="N106" s="277"/>
      <c r="O106" s="278"/>
      <c r="P106" s="278"/>
      <c r="Q106" s="278"/>
      <c r="R106" s="278"/>
      <c r="S106" s="278"/>
      <c r="T106" s="278"/>
      <c r="U106" s="278"/>
      <c r="V106" s="279"/>
      <c r="W106" s="290">
        <f t="shared" si="23"/>
        <v>0</v>
      </c>
      <c r="X106" s="249"/>
    </row>
    <row r="107" spans="1:24" ht="13.5" hidden="1" customHeight="1" thickBot="1" x14ac:dyDescent="0.25">
      <c r="A107" s="76"/>
      <c r="B107" s="76"/>
      <c r="C107" s="87"/>
      <c r="D107" s="79"/>
      <c r="E107" s="308"/>
      <c r="F107" s="309"/>
      <c r="G107" s="309"/>
      <c r="H107" s="309"/>
      <c r="I107" s="309"/>
      <c r="J107" s="309"/>
      <c r="K107" s="309"/>
      <c r="L107" s="309"/>
      <c r="M107" s="309"/>
      <c r="N107" s="309"/>
      <c r="O107" s="310"/>
      <c r="P107" s="310"/>
      <c r="Q107" s="310"/>
      <c r="R107" s="310"/>
      <c r="S107" s="310"/>
      <c r="T107" s="310"/>
      <c r="U107" s="310"/>
      <c r="V107" s="311"/>
      <c r="W107" s="289">
        <f t="shared" si="23"/>
        <v>0</v>
      </c>
      <c r="X107" s="249"/>
    </row>
    <row r="108" spans="1:24" hidden="1" x14ac:dyDescent="0.2">
      <c r="A108" s="360" t="s">
        <v>318</v>
      </c>
      <c r="B108" s="361"/>
      <c r="C108" s="77">
        <v>10</v>
      </c>
      <c r="D108" s="86" t="s">
        <v>271</v>
      </c>
      <c r="E108" s="312"/>
      <c r="F108" s="307"/>
      <c r="G108" s="307">
        <v>329000</v>
      </c>
      <c r="H108" s="307">
        <v>341000</v>
      </c>
      <c r="I108" s="307">
        <v>353000</v>
      </c>
      <c r="J108" s="307">
        <v>365000</v>
      </c>
      <c r="K108" s="307">
        <v>378000</v>
      </c>
      <c r="L108" s="307">
        <v>391000</v>
      </c>
      <c r="M108" s="307">
        <v>405000</v>
      </c>
      <c r="N108" s="307">
        <v>419000</v>
      </c>
      <c r="O108" s="313">
        <v>431000</v>
      </c>
      <c r="P108" s="313">
        <v>449000</v>
      </c>
      <c r="Q108" s="313"/>
      <c r="R108" s="313"/>
      <c r="S108" s="313"/>
      <c r="T108" s="313"/>
      <c r="U108" s="313"/>
      <c r="V108" s="314"/>
      <c r="W108" s="270">
        <f t="shared" si="23"/>
        <v>3861000</v>
      </c>
      <c r="X108" s="249"/>
    </row>
    <row r="109" spans="1:24" ht="25.5" hidden="1" customHeight="1" x14ac:dyDescent="0.2">
      <c r="A109" s="305"/>
      <c r="B109" s="272"/>
      <c r="C109" s="75">
        <v>30</v>
      </c>
      <c r="D109" s="78" t="s">
        <v>275</v>
      </c>
      <c r="E109" s="306"/>
      <c r="F109" s="277"/>
      <c r="G109" s="277"/>
      <c r="H109" s="277"/>
      <c r="I109" s="277"/>
      <c r="J109" s="277"/>
      <c r="K109" s="277"/>
      <c r="L109" s="277"/>
      <c r="M109" s="277"/>
      <c r="N109" s="277"/>
      <c r="O109" s="278"/>
      <c r="P109" s="278"/>
      <c r="Q109" s="278"/>
      <c r="R109" s="278"/>
      <c r="S109" s="278"/>
      <c r="T109" s="278"/>
      <c r="U109" s="278"/>
      <c r="V109" s="279"/>
      <c r="W109" s="290">
        <f t="shared" si="23"/>
        <v>0</v>
      </c>
      <c r="X109" s="249"/>
    </row>
    <row r="110" spans="1:24" ht="38.25" hidden="1" customHeight="1" x14ac:dyDescent="0.2">
      <c r="A110" s="74"/>
      <c r="B110" s="73"/>
      <c r="C110" s="75">
        <v>37</v>
      </c>
      <c r="D110" s="78" t="s">
        <v>316</v>
      </c>
      <c r="E110" s="306"/>
      <c r="F110" s="277"/>
      <c r="G110" s="277">
        <v>6500000</v>
      </c>
      <c r="H110" s="277">
        <v>6728000</v>
      </c>
      <c r="I110" s="277">
        <v>6963000</v>
      </c>
      <c r="J110" s="277">
        <v>7207000</v>
      </c>
      <c r="K110" s="277">
        <v>7459000</v>
      </c>
      <c r="L110" s="277">
        <v>7720000</v>
      </c>
      <c r="M110" s="277">
        <v>7991000</v>
      </c>
      <c r="N110" s="277">
        <v>8270000</v>
      </c>
      <c r="O110" s="278">
        <v>8560000</v>
      </c>
      <c r="P110" s="278">
        <v>8860000</v>
      </c>
      <c r="Q110" s="278"/>
      <c r="R110" s="278"/>
      <c r="S110" s="278"/>
      <c r="T110" s="278"/>
      <c r="U110" s="278"/>
      <c r="V110" s="279"/>
      <c r="W110" s="290">
        <f t="shared" si="23"/>
        <v>76258000</v>
      </c>
      <c r="X110" s="249"/>
    </row>
    <row r="111" spans="1:24" hidden="1" x14ac:dyDescent="0.2">
      <c r="A111" s="74" t="s">
        <v>276</v>
      </c>
      <c r="B111" s="74"/>
      <c r="C111" s="75">
        <v>41</v>
      </c>
      <c r="D111" s="78" t="s">
        <v>285</v>
      </c>
      <c r="E111" s="306"/>
      <c r="F111" s="277"/>
      <c r="G111" s="277"/>
      <c r="H111" s="277"/>
      <c r="I111" s="277"/>
      <c r="J111" s="277"/>
      <c r="K111" s="277"/>
      <c r="L111" s="277"/>
      <c r="M111" s="277"/>
      <c r="N111" s="277"/>
      <c r="O111" s="278"/>
      <c r="P111" s="278"/>
      <c r="Q111" s="278"/>
      <c r="R111" s="278"/>
      <c r="S111" s="278"/>
      <c r="T111" s="278"/>
      <c r="U111" s="278"/>
      <c r="V111" s="279"/>
      <c r="W111" s="290">
        <f t="shared" si="23"/>
        <v>0</v>
      </c>
      <c r="X111" s="249"/>
    </row>
    <row r="112" spans="1:24" ht="13.5" hidden="1" customHeight="1" thickBot="1" x14ac:dyDescent="0.25">
      <c r="A112" s="76"/>
      <c r="B112" s="76"/>
      <c r="C112" s="87"/>
      <c r="D112" s="83"/>
      <c r="E112" s="308"/>
      <c r="F112" s="309"/>
      <c r="G112" s="309"/>
      <c r="H112" s="309"/>
      <c r="I112" s="309"/>
      <c r="J112" s="309"/>
      <c r="K112" s="309"/>
      <c r="L112" s="309"/>
      <c r="M112" s="309"/>
      <c r="N112" s="309"/>
      <c r="O112" s="310"/>
      <c r="P112" s="310"/>
      <c r="Q112" s="310"/>
      <c r="R112" s="310"/>
      <c r="S112" s="310"/>
      <c r="T112" s="310"/>
      <c r="U112" s="310"/>
      <c r="V112" s="311"/>
      <c r="W112" s="289">
        <f t="shared" si="23"/>
        <v>0</v>
      </c>
      <c r="X112" s="249"/>
    </row>
    <row r="113" spans="1:24" hidden="1" x14ac:dyDescent="0.2">
      <c r="A113" s="360" t="s">
        <v>319</v>
      </c>
      <c r="B113" s="361"/>
      <c r="C113" s="77">
        <v>10</v>
      </c>
      <c r="D113" s="86" t="s">
        <v>271</v>
      </c>
      <c r="E113" s="312"/>
      <c r="F113" s="307"/>
      <c r="G113" s="307"/>
      <c r="H113" s="307"/>
      <c r="I113" s="307"/>
      <c r="J113" s="307"/>
      <c r="K113" s="307"/>
      <c r="L113" s="307"/>
      <c r="M113" s="307"/>
      <c r="N113" s="307"/>
      <c r="O113" s="313"/>
      <c r="P113" s="313"/>
      <c r="Q113" s="313"/>
      <c r="R113" s="313"/>
      <c r="S113" s="313"/>
      <c r="T113" s="313"/>
      <c r="U113" s="313"/>
      <c r="V113" s="314"/>
      <c r="W113" s="270">
        <f t="shared" si="23"/>
        <v>0</v>
      </c>
      <c r="X113" s="249"/>
    </row>
    <row r="114" spans="1:24" ht="25.5" hidden="1" customHeight="1" x14ac:dyDescent="0.2">
      <c r="A114" s="305"/>
      <c r="B114" s="272"/>
      <c r="C114" s="75">
        <v>30</v>
      </c>
      <c r="D114" s="78" t="s">
        <v>275</v>
      </c>
      <c r="E114" s="306"/>
      <c r="F114" s="277"/>
      <c r="G114" s="277"/>
      <c r="H114" s="277"/>
      <c r="I114" s="277"/>
      <c r="J114" s="277"/>
      <c r="K114" s="277"/>
      <c r="L114" s="277"/>
      <c r="M114" s="277"/>
      <c r="N114" s="277"/>
      <c r="O114" s="278"/>
      <c r="P114" s="278"/>
      <c r="Q114" s="278"/>
      <c r="R114" s="278"/>
      <c r="S114" s="278"/>
      <c r="T114" s="278"/>
      <c r="U114" s="278"/>
      <c r="V114" s="279"/>
      <c r="W114" s="290">
        <f t="shared" si="23"/>
        <v>0</v>
      </c>
      <c r="X114" s="249"/>
    </row>
    <row r="115" spans="1:24" ht="25.5" hidden="1" customHeight="1" x14ac:dyDescent="0.2">
      <c r="A115" s="74"/>
      <c r="B115" s="73"/>
      <c r="C115" s="75">
        <v>37</v>
      </c>
      <c r="D115" s="78" t="s">
        <v>302</v>
      </c>
      <c r="E115" s="306"/>
      <c r="F115" s="277"/>
      <c r="G115" s="277"/>
      <c r="H115" s="277"/>
      <c r="I115" s="277"/>
      <c r="J115" s="277"/>
      <c r="K115" s="277"/>
      <c r="L115" s="277"/>
      <c r="M115" s="277"/>
      <c r="N115" s="277"/>
      <c r="O115" s="278"/>
      <c r="P115" s="278"/>
      <c r="Q115" s="278"/>
      <c r="R115" s="278"/>
      <c r="S115" s="278"/>
      <c r="T115" s="278"/>
      <c r="U115" s="278"/>
      <c r="V115" s="279"/>
      <c r="W115" s="290">
        <f t="shared" si="23"/>
        <v>0</v>
      </c>
      <c r="X115" s="249"/>
    </row>
    <row r="116" spans="1:24" hidden="1" x14ac:dyDescent="0.2">
      <c r="A116" s="74" t="s">
        <v>276</v>
      </c>
      <c r="B116" s="74"/>
      <c r="C116" s="75">
        <v>41</v>
      </c>
      <c r="D116" s="78" t="s">
        <v>285</v>
      </c>
      <c r="E116" s="306"/>
      <c r="F116" s="277"/>
      <c r="G116" s="277"/>
      <c r="H116" s="277"/>
      <c r="I116" s="277"/>
      <c r="J116" s="277"/>
      <c r="K116" s="277"/>
      <c r="L116" s="277"/>
      <c r="M116" s="277"/>
      <c r="N116" s="277"/>
      <c r="O116" s="278"/>
      <c r="P116" s="278"/>
      <c r="Q116" s="278"/>
      <c r="R116" s="278"/>
      <c r="S116" s="278"/>
      <c r="T116" s="278"/>
      <c r="U116" s="278"/>
      <c r="V116" s="279"/>
      <c r="W116" s="290">
        <f t="shared" si="23"/>
        <v>0</v>
      </c>
      <c r="X116" s="249"/>
    </row>
    <row r="117" spans="1:24" ht="13.5" hidden="1" customHeight="1" thickBot="1" x14ac:dyDescent="0.25">
      <c r="A117" s="76"/>
      <c r="B117" s="76"/>
      <c r="C117" s="87"/>
      <c r="D117" s="83"/>
      <c r="E117" s="308"/>
      <c r="F117" s="309"/>
      <c r="G117" s="309"/>
      <c r="H117" s="309"/>
      <c r="I117" s="309"/>
      <c r="J117" s="309"/>
      <c r="K117" s="309"/>
      <c r="L117" s="309"/>
      <c r="M117" s="309"/>
      <c r="N117" s="309"/>
      <c r="O117" s="310"/>
      <c r="P117" s="310"/>
      <c r="Q117" s="310"/>
      <c r="R117" s="310"/>
      <c r="S117" s="310"/>
      <c r="T117" s="310"/>
      <c r="U117" s="310"/>
      <c r="V117" s="311"/>
      <c r="W117" s="289">
        <f t="shared" si="23"/>
        <v>0</v>
      </c>
      <c r="X117" s="249"/>
    </row>
    <row r="118" spans="1:24" hidden="1" x14ac:dyDescent="0.2">
      <c r="A118" s="360" t="s">
        <v>320</v>
      </c>
      <c r="B118" s="361"/>
      <c r="C118" s="77">
        <v>10</v>
      </c>
      <c r="D118" s="86" t="s">
        <v>271</v>
      </c>
      <c r="E118" s="312"/>
      <c r="F118" s="307"/>
      <c r="G118" s="307">
        <v>500000</v>
      </c>
      <c r="H118" s="307">
        <v>500000</v>
      </c>
      <c r="I118" s="307">
        <v>500000</v>
      </c>
      <c r="J118" s="307">
        <v>500000</v>
      </c>
      <c r="K118" s="307">
        <v>500000</v>
      </c>
      <c r="L118" s="307">
        <v>500000</v>
      </c>
      <c r="M118" s="307">
        <v>500000</v>
      </c>
      <c r="N118" s="307">
        <v>500000</v>
      </c>
      <c r="O118" s="307">
        <v>500000</v>
      </c>
      <c r="P118" s="307">
        <v>500000</v>
      </c>
      <c r="Q118" s="313"/>
      <c r="R118" s="313"/>
      <c r="S118" s="313"/>
      <c r="T118" s="313"/>
      <c r="U118" s="313"/>
      <c r="V118" s="314"/>
      <c r="W118" s="270">
        <f t="shared" si="23"/>
        <v>5000000</v>
      </c>
      <c r="X118" s="249"/>
    </row>
    <row r="119" spans="1:24" ht="25.5" hidden="1" customHeight="1" x14ac:dyDescent="0.2">
      <c r="A119" s="305"/>
      <c r="B119" s="272"/>
      <c r="C119" s="75">
        <v>30</v>
      </c>
      <c r="D119" s="78" t="s">
        <v>275</v>
      </c>
      <c r="E119" s="306"/>
      <c r="F119" s="277"/>
      <c r="G119" s="277"/>
      <c r="H119" s="277"/>
      <c r="I119" s="277"/>
      <c r="J119" s="277"/>
      <c r="K119" s="277"/>
      <c r="L119" s="277"/>
      <c r="M119" s="277"/>
      <c r="N119" s="277"/>
      <c r="O119" s="278"/>
      <c r="P119" s="278"/>
      <c r="Q119" s="278"/>
      <c r="R119" s="278"/>
      <c r="S119" s="278"/>
      <c r="T119" s="278"/>
      <c r="U119" s="278"/>
      <c r="V119" s="279"/>
      <c r="W119" s="290">
        <f t="shared" si="23"/>
        <v>0</v>
      </c>
      <c r="X119" s="249"/>
    </row>
    <row r="120" spans="1:24" ht="25.5" hidden="1" customHeight="1" x14ac:dyDescent="0.2">
      <c r="A120" s="74"/>
      <c r="B120" s="73"/>
      <c r="C120" s="75">
        <v>37</v>
      </c>
      <c r="D120" s="78" t="s">
        <v>311</v>
      </c>
      <c r="E120" s="306"/>
      <c r="F120" s="277"/>
      <c r="G120" s="277">
        <v>400000</v>
      </c>
      <c r="H120" s="277">
        <v>400000</v>
      </c>
      <c r="I120" s="277">
        <v>400000</v>
      </c>
      <c r="J120" s="277">
        <v>400000</v>
      </c>
      <c r="K120" s="277">
        <v>400000</v>
      </c>
      <c r="L120" s="277">
        <v>400000</v>
      </c>
      <c r="M120" s="277">
        <v>400000</v>
      </c>
      <c r="N120" s="277">
        <v>400000</v>
      </c>
      <c r="O120" s="277">
        <v>400000</v>
      </c>
      <c r="P120" s="277">
        <v>400000</v>
      </c>
      <c r="Q120" s="278"/>
      <c r="R120" s="278"/>
      <c r="S120" s="278"/>
      <c r="T120" s="278"/>
      <c r="U120" s="278"/>
      <c r="V120" s="279"/>
      <c r="W120" s="290">
        <f t="shared" ref="W120:W151" si="24">SUM(E120:V120)</f>
        <v>4000000</v>
      </c>
      <c r="X120" s="249"/>
    </row>
    <row r="121" spans="1:24" hidden="1" x14ac:dyDescent="0.2">
      <c r="A121" s="74" t="s">
        <v>276</v>
      </c>
      <c r="B121" s="74"/>
      <c r="C121" s="75">
        <v>41</v>
      </c>
      <c r="D121" s="78" t="s">
        <v>285</v>
      </c>
      <c r="E121" s="306"/>
      <c r="F121" s="277"/>
      <c r="G121" s="277"/>
      <c r="H121" s="277"/>
      <c r="I121" s="277"/>
      <c r="J121" s="277"/>
      <c r="K121" s="277"/>
      <c r="L121" s="277"/>
      <c r="M121" s="277"/>
      <c r="N121" s="277"/>
      <c r="O121" s="278"/>
      <c r="P121" s="278"/>
      <c r="Q121" s="278"/>
      <c r="R121" s="278"/>
      <c r="S121" s="278"/>
      <c r="T121" s="278"/>
      <c r="U121" s="278"/>
      <c r="V121" s="279"/>
      <c r="W121" s="290">
        <f t="shared" si="24"/>
        <v>0</v>
      </c>
      <c r="X121" s="249"/>
    </row>
    <row r="122" spans="1:24" ht="13.5" hidden="1" customHeight="1" thickBot="1" x14ac:dyDescent="0.25">
      <c r="A122" s="76"/>
      <c r="B122" s="76"/>
      <c r="C122" s="87"/>
      <c r="D122" s="83"/>
      <c r="E122" s="308"/>
      <c r="F122" s="309"/>
      <c r="G122" s="309"/>
      <c r="H122" s="309"/>
      <c r="I122" s="309"/>
      <c r="J122" s="309"/>
      <c r="K122" s="309"/>
      <c r="L122" s="309"/>
      <c r="M122" s="309"/>
      <c r="N122" s="309"/>
      <c r="O122" s="310"/>
      <c r="P122" s="310"/>
      <c r="Q122" s="310"/>
      <c r="R122" s="310"/>
      <c r="S122" s="310"/>
      <c r="T122" s="310"/>
      <c r="U122" s="310"/>
      <c r="V122" s="311"/>
      <c r="W122" s="289">
        <f t="shared" si="24"/>
        <v>0</v>
      </c>
      <c r="X122" s="249"/>
    </row>
    <row r="123" spans="1:24" hidden="1" x14ac:dyDescent="0.2">
      <c r="A123" s="360" t="s">
        <v>321</v>
      </c>
      <c r="B123" s="361"/>
      <c r="C123" s="77">
        <v>10</v>
      </c>
      <c r="D123" s="86" t="s">
        <v>271</v>
      </c>
      <c r="E123" s="312"/>
      <c r="F123" s="307"/>
      <c r="G123" s="307">
        <v>400000</v>
      </c>
      <c r="H123" s="307">
        <v>400000</v>
      </c>
      <c r="I123" s="307">
        <v>400000</v>
      </c>
      <c r="J123" s="307">
        <v>400000</v>
      </c>
      <c r="K123" s="307">
        <v>400000</v>
      </c>
      <c r="L123" s="307">
        <v>400000</v>
      </c>
      <c r="M123" s="307">
        <v>400000</v>
      </c>
      <c r="N123" s="307">
        <v>400000</v>
      </c>
      <c r="O123" s="307">
        <v>400000</v>
      </c>
      <c r="P123" s="307">
        <v>400000</v>
      </c>
      <c r="Q123" s="313"/>
      <c r="R123" s="313"/>
      <c r="S123" s="313"/>
      <c r="T123" s="313"/>
      <c r="U123" s="313"/>
      <c r="V123" s="314"/>
      <c r="W123" s="270">
        <f t="shared" si="24"/>
        <v>4000000</v>
      </c>
      <c r="X123" s="249"/>
    </row>
    <row r="124" spans="1:24" ht="25.5" hidden="1" customHeight="1" x14ac:dyDescent="0.2">
      <c r="A124" s="305"/>
      <c r="B124" s="272"/>
      <c r="C124" s="75">
        <v>30</v>
      </c>
      <c r="D124" s="78" t="s">
        <v>275</v>
      </c>
      <c r="E124" s="306"/>
      <c r="F124" s="277"/>
      <c r="G124" s="277"/>
      <c r="H124" s="277"/>
      <c r="I124" s="277"/>
      <c r="J124" s="277"/>
      <c r="K124" s="277"/>
      <c r="L124" s="277"/>
      <c r="M124" s="277"/>
      <c r="N124" s="277"/>
      <c r="O124" s="278"/>
      <c r="P124" s="278"/>
      <c r="Q124" s="278"/>
      <c r="R124" s="278"/>
      <c r="S124" s="278"/>
      <c r="T124" s="278"/>
      <c r="U124" s="278"/>
      <c r="V124" s="279"/>
      <c r="W124" s="290">
        <f t="shared" si="24"/>
        <v>0</v>
      </c>
      <c r="X124" s="249"/>
    </row>
    <row r="125" spans="1:24" ht="27" hidden="1" customHeight="1" x14ac:dyDescent="0.2">
      <c r="A125" s="74"/>
      <c r="B125" s="73"/>
      <c r="C125" s="75">
        <v>37</v>
      </c>
      <c r="D125" s="78" t="s">
        <v>311</v>
      </c>
      <c r="E125" s="306"/>
      <c r="F125" s="277"/>
      <c r="G125" s="277">
        <v>500000</v>
      </c>
      <c r="H125" s="277">
        <v>500000</v>
      </c>
      <c r="I125" s="277">
        <v>1000000</v>
      </c>
      <c r="J125" s="277">
        <v>1000000</v>
      </c>
      <c r="K125" s="277">
        <v>1000000</v>
      </c>
      <c r="L125" s="277">
        <v>2000000</v>
      </c>
      <c r="M125" s="277">
        <v>2000000</v>
      </c>
      <c r="N125" s="277">
        <v>1000000</v>
      </c>
      <c r="O125" s="277">
        <v>1000000</v>
      </c>
      <c r="P125" s="277">
        <v>1000000</v>
      </c>
      <c r="Q125" s="278"/>
      <c r="R125" s="278"/>
      <c r="S125" s="278"/>
      <c r="T125" s="278"/>
      <c r="U125" s="278"/>
      <c r="V125" s="279"/>
      <c r="W125" s="290">
        <f t="shared" si="24"/>
        <v>11000000</v>
      </c>
      <c r="X125" s="249"/>
    </row>
    <row r="126" spans="1:24" hidden="1" x14ac:dyDescent="0.2">
      <c r="A126" s="74" t="s">
        <v>276</v>
      </c>
      <c r="B126" s="74"/>
      <c r="C126" s="75">
        <v>41</v>
      </c>
      <c r="D126" s="78" t="s">
        <v>285</v>
      </c>
      <c r="E126" s="306"/>
      <c r="F126" s="277"/>
      <c r="G126" s="277"/>
      <c r="H126" s="277"/>
      <c r="I126" s="277"/>
      <c r="J126" s="277"/>
      <c r="K126" s="277"/>
      <c r="L126" s="277"/>
      <c r="M126" s="277"/>
      <c r="N126" s="277"/>
      <c r="O126" s="278"/>
      <c r="P126" s="278"/>
      <c r="Q126" s="278"/>
      <c r="R126" s="278"/>
      <c r="S126" s="278"/>
      <c r="T126" s="278"/>
      <c r="U126" s="278"/>
      <c r="V126" s="279"/>
      <c r="W126" s="290">
        <f t="shared" si="24"/>
        <v>0</v>
      </c>
      <c r="X126" s="249"/>
    </row>
    <row r="127" spans="1:24" ht="13.5" hidden="1" customHeight="1" thickBot="1" x14ac:dyDescent="0.25">
      <c r="A127" s="76"/>
      <c r="B127" s="76"/>
      <c r="C127" s="87"/>
      <c r="D127" s="83"/>
      <c r="E127" s="308"/>
      <c r="F127" s="309"/>
      <c r="G127" s="309"/>
      <c r="H127" s="309"/>
      <c r="I127" s="309"/>
      <c r="J127" s="309"/>
      <c r="K127" s="309"/>
      <c r="L127" s="309"/>
      <c r="M127" s="309"/>
      <c r="N127" s="309"/>
      <c r="O127" s="310"/>
      <c r="P127" s="310"/>
      <c r="Q127" s="310"/>
      <c r="R127" s="310"/>
      <c r="S127" s="310"/>
      <c r="T127" s="310"/>
      <c r="U127" s="310"/>
      <c r="V127" s="311"/>
      <c r="W127" s="289">
        <f t="shared" si="24"/>
        <v>0</v>
      </c>
      <c r="X127" s="249"/>
    </row>
    <row r="128" spans="1:24" hidden="1" x14ac:dyDescent="0.2">
      <c r="A128" s="360" t="s">
        <v>322</v>
      </c>
      <c r="B128" s="361"/>
      <c r="C128" s="77">
        <v>10</v>
      </c>
      <c r="D128" s="86" t="s">
        <v>271</v>
      </c>
      <c r="E128" s="312"/>
      <c r="F128" s="307"/>
      <c r="G128" s="307">
        <v>500000</v>
      </c>
      <c r="H128" s="307">
        <v>500000</v>
      </c>
      <c r="I128" s="307">
        <v>500000</v>
      </c>
      <c r="J128" s="307">
        <v>500000</v>
      </c>
      <c r="K128" s="307">
        <v>500000</v>
      </c>
      <c r="L128" s="307">
        <v>500000</v>
      </c>
      <c r="M128" s="307">
        <v>500000</v>
      </c>
      <c r="N128" s="307">
        <v>500000</v>
      </c>
      <c r="O128" s="307">
        <v>500000</v>
      </c>
      <c r="P128" s="307">
        <v>500000</v>
      </c>
      <c r="Q128" s="313"/>
      <c r="R128" s="313"/>
      <c r="S128" s="313"/>
      <c r="T128" s="313"/>
      <c r="U128" s="313"/>
      <c r="V128" s="314"/>
      <c r="W128" s="270">
        <f t="shared" si="24"/>
        <v>5000000</v>
      </c>
      <c r="X128" s="249"/>
    </row>
    <row r="129" spans="1:24" ht="25.5" hidden="1" customHeight="1" x14ac:dyDescent="0.2">
      <c r="A129" s="305"/>
      <c r="B129" s="272"/>
      <c r="C129" s="75">
        <v>30</v>
      </c>
      <c r="D129" s="78" t="s">
        <v>275</v>
      </c>
      <c r="E129" s="306"/>
      <c r="F129" s="277"/>
      <c r="G129" s="277"/>
      <c r="H129" s="277"/>
      <c r="I129" s="277"/>
      <c r="J129" s="277"/>
      <c r="K129" s="277"/>
      <c r="L129" s="277"/>
      <c r="M129" s="277"/>
      <c r="N129" s="277"/>
      <c r="O129" s="278"/>
      <c r="P129" s="278"/>
      <c r="Q129" s="278"/>
      <c r="R129" s="278"/>
      <c r="S129" s="278"/>
      <c r="T129" s="278"/>
      <c r="U129" s="278"/>
      <c r="V129" s="279"/>
      <c r="W129" s="290">
        <f t="shared" si="24"/>
        <v>0</v>
      </c>
      <c r="X129" s="249"/>
    </row>
    <row r="130" spans="1:24" ht="26.25" hidden="1" customHeight="1" x14ac:dyDescent="0.2">
      <c r="A130" s="74"/>
      <c r="B130" s="73"/>
      <c r="C130" s="75">
        <v>37</v>
      </c>
      <c r="D130" s="78" t="s">
        <v>311</v>
      </c>
      <c r="E130" s="306"/>
      <c r="F130" s="277"/>
      <c r="G130" s="277">
        <v>300000</v>
      </c>
      <c r="H130" s="277">
        <v>300000</v>
      </c>
      <c r="I130" s="277">
        <v>300000</v>
      </c>
      <c r="J130" s="277">
        <v>300000</v>
      </c>
      <c r="K130" s="277">
        <v>300000</v>
      </c>
      <c r="L130" s="277">
        <v>300000</v>
      </c>
      <c r="M130" s="277">
        <v>300000</v>
      </c>
      <c r="N130" s="277">
        <v>300000</v>
      </c>
      <c r="O130" s="277">
        <v>300000</v>
      </c>
      <c r="P130" s="277">
        <v>300000</v>
      </c>
      <c r="Q130" s="278"/>
      <c r="R130" s="278"/>
      <c r="S130" s="278"/>
      <c r="T130" s="278"/>
      <c r="U130" s="278"/>
      <c r="V130" s="279"/>
      <c r="W130" s="290">
        <f t="shared" si="24"/>
        <v>3000000</v>
      </c>
      <c r="X130" s="249"/>
    </row>
    <row r="131" spans="1:24" hidden="1" x14ac:dyDescent="0.2">
      <c r="A131" s="74" t="s">
        <v>276</v>
      </c>
      <c r="B131" s="74"/>
      <c r="C131" s="75">
        <v>41</v>
      </c>
      <c r="D131" s="78" t="s">
        <v>285</v>
      </c>
      <c r="E131" s="306"/>
      <c r="F131" s="277"/>
      <c r="G131" s="277"/>
      <c r="H131" s="277"/>
      <c r="I131" s="277"/>
      <c r="J131" s="277"/>
      <c r="K131" s="277"/>
      <c r="L131" s="277"/>
      <c r="M131" s="277"/>
      <c r="N131" s="277"/>
      <c r="O131" s="278"/>
      <c r="P131" s="278"/>
      <c r="Q131" s="278"/>
      <c r="R131" s="278"/>
      <c r="S131" s="278"/>
      <c r="T131" s="278"/>
      <c r="U131" s="278"/>
      <c r="V131" s="279"/>
      <c r="W131" s="290">
        <f t="shared" si="24"/>
        <v>0</v>
      </c>
      <c r="X131" s="249"/>
    </row>
    <row r="132" spans="1:24" ht="13.5" hidden="1" customHeight="1" thickBot="1" x14ac:dyDescent="0.25">
      <c r="A132" s="76"/>
      <c r="B132" s="76"/>
      <c r="C132" s="87"/>
      <c r="D132" s="83"/>
      <c r="E132" s="308"/>
      <c r="F132" s="309"/>
      <c r="G132" s="309"/>
      <c r="H132" s="309"/>
      <c r="I132" s="309"/>
      <c r="J132" s="309"/>
      <c r="K132" s="309"/>
      <c r="L132" s="309"/>
      <c r="M132" s="309"/>
      <c r="N132" s="309"/>
      <c r="O132" s="310"/>
      <c r="P132" s="310"/>
      <c r="Q132" s="310"/>
      <c r="R132" s="310"/>
      <c r="S132" s="310"/>
      <c r="T132" s="310"/>
      <c r="U132" s="310"/>
      <c r="V132" s="311"/>
      <c r="W132" s="289">
        <f t="shared" si="24"/>
        <v>0</v>
      </c>
      <c r="X132" s="249"/>
    </row>
    <row r="133" spans="1:24" hidden="1" x14ac:dyDescent="0.2">
      <c r="A133" s="360" t="s">
        <v>323</v>
      </c>
      <c r="B133" s="361"/>
      <c r="C133" s="77">
        <v>10</v>
      </c>
      <c r="D133" s="86" t="s">
        <v>271</v>
      </c>
      <c r="E133" s="312"/>
      <c r="F133" s="307"/>
      <c r="G133" s="307">
        <v>200000</v>
      </c>
      <c r="H133" s="307">
        <v>200000</v>
      </c>
      <c r="I133" s="307">
        <v>200000</v>
      </c>
      <c r="J133" s="307">
        <v>200000</v>
      </c>
      <c r="K133" s="307">
        <v>200000</v>
      </c>
      <c r="L133" s="307">
        <v>200000</v>
      </c>
      <c r="M133" s="307">
        <v>200000</v>
      </c>
      <c r="N133" s="307">
        <v>200000</v>
      </c>
      <c r="O133" s="307">
        <v>200000</v>
      </c>
      <c r="P133" s="307">
        <v>200000</v>
      </c>
      <c r="Q133" s="313"/>
      <c r="R133" s="313"/>
      <c r="S133" s="313"/>
      <c r="T133" s="313"/>
      <c r="U133" s="313"/>
      <c r="V133" s="314"/>
      <c r="W133" s="270">
        <f t="shared" si="24"/>
        <v>2000000</v>
      </c>
      <c r="X133" s="249"/>
    </row>
    <row r="134" spans="1:24" ht="25.5" hidden="1" customHeight="1" x14ac:dyDescent="0.2">
      <c r="A134" s="305"/>
      <c r="B134" s="272"/>
      <c r="C134" s="75">
        <v>30</v>
      </c>
      <c r="D134" s="78" t="s">
        <v>275</v>
      </c>
      <c r="E134" s="306"/>
      <c r="F134" s="277"/>
      <c r="G134" s="277"/>
      <c r="H134" s="277"/>
      <c r="I134" s="277"/>
      <c r="J134" s="277"/>
      <c r="K134" s="277"/>
      <c r="L134" s="277"/>
      <c r="M134" s="277"/>
      <c r="N134" s="277"/>
      <c r="O134" s="278"/>
      <c r="P134" s="278"/>
      <c r="Q134" s="278"/>
      <c r="R134" s="278"/>
      <c r="S134" s="278"/>
      <c r="T134" s="278"/>
      <c r="U134" s="278"/>
      <c r="V134" s="279"/>
      <c r="W134" s="290">
        <f t="shared" si="24"/>
        <v>0</v>
      </c>
      <c r="X134" s="249"/>
    </row>
    <row r="135" spans="1:24" ht="25.5" hidden="1" customHeight="1" x14ac:dyDescent="0.2">
      <c r="A135" s="74"/>
      <c r="B135" s="73"/>
      <c r="C135" s="75">
        <v>37</v>
      </c>
      <c r="D135" s="78" t="s">
        <v>302</v>
      </c>
      <c r="E135" s="306"/>
      <c r="F135" s="277"/>
      <c r="G135" s="277">
        <v>300000</v>
      </c>
      <c r="H135" s="277">
        <v>300000</v>
      </c>
      <c r="I135" s="277">
        <v>300000</v>
      </c>
      <c r="J135" s="277">
        <v>300000</v>
      </c>
      <c r="K135" s="277">
        <v>300000</v>
      </c>
      <c r="L135" s="277">
        <v>300000</v>
      </c>
      <c r="M135" s="277">
        <v>300000</v>
      </c>
      <c r="N135" s="277">
        <v>300000</v>
      </c>
      <c r="O135" s="277">
        <v>300000</v>
      </c>
      <c r="P135" s="277">
        <v>300000</v>
      </c>
      <c r="Q135" s="278"/>
      <c r="R135" s="278"/>
      <c r="S135" s="278"/>
      <c r="T135" s="278"/>
      <c r="U135" s="278"/>
      <c r="V135" s="279"/>
      <c r="W135" s="290">
        <f t="shared" si="24"/>
        <v>3000000</v>
      </c>
      <c r="X135" s="249"/>
    </row>
    <row r="136" spans="1:24" hidden="1" x14ac:dyDescent="0.2">
      <c r="A136" s="74" t="s">
        <v>276</v>
      </c>
      <c r="B136" s="74"/>
      <c r="C136" s="75">
        <v>41</v>
      </c>
      <c r="D136" s="78" t="s">
        <v>285</v>
      </c>
      <c r="E136" s="306"/>
      <c r="F136" s="277"/>
      <c r="G136" s="277"/>
      <c r="H136" s="277"/>
      <c r="I136" s="277"/>
      <c r="J136" s="277"/>
      <c r="K136" s="277"/>
      <c r="L136" s="277"/>
      <c r="M136" s="277"/>
      <c r="N136" s="277"/>
      <c r="O136" s="278"/>
      <c r="P136" s="278"/>
      <c r="Q136" s="278"/>
      <c r="R136" s="278"/>
      <c r="S136" s="278"/>
      <c r="T136" s="278"/>
      <c r="U136" s="278"/>
      <c r="V136" s="279"/>
      <c r="W136" s="290">
        <f t="shared" si="24"/>
        <v>0</v>
      </c>
      <c r="X136" s="249"/>
    </row>
    <row r="137" spans="1:24" ht="13.5" hidden="1" customHeight="1" thickBot="1" x14ac:dyDescent="0.25">
      <c r="A137" s="76"/>
      <c r="B137" s="76"/>
      <c r="C137" s="87"/>
      <c r="D137" s="83"/>
      <c r="E137" s="308"/>
      <c r="F137" s="309"/>
      <c r="G137" s="309"/>
      <c r="H137" s="309"/>
      <c r="I137" s="309"/>
      <c r="J137" s="309"/>
      <c r="K137" s="309"/>
      <c r="L137" s="309"/>
      <c r="M137" s="309"/>
      <c r="N137" s="309"/>
      <c r="O137" s="310"/>
      <c r="P137" s="310"/>
      <c r="Q137" s="310"/>
      <c r="R137" s="310"/>
      <c r="S137" s="310"/>
      <c r="T137" s="310"/>
      <c r="U137" s="310"/>
      <c r="V137" s="311"/>
      <c r="W137" s="289">
        <f t="shared" si="24"/>
        <v>0</v>
      </c>
      <c r="X137" s="249"/>
    </row>
    <row r="138" spans="1:24" hidden="1" x14ac:dyDescent="0.2">
      <c r="A138" s="360" t="s">
        <v>324</v>
      </c>
      <c r="B138" s="361"/>
      <c r="C138" s="81">
        <v>10</v>
      </c>
      <c r="D138" s="84" t="s">
        <v>271</v>
      </c>
      <c r="E138" s="312"/>
      <c r="F138" s="307"/>
      <c r="G138" s="307"/>
      <c r="H138" s="307"/>
      <c r="I138" s="307"/>
      <c r="J138" s="307"/>
      <c r="K138" s="307"/>
      <c r="L138" s="307"/>
      <c r="M138" s="307"/>
      <c r="N138" s="307"/>
      <c r="O138" s="313"/>
      <c r="P138" s="313"/>
      <c r="Q138" s="313"/>
      <c r="R138" s="313"/>
      <c r="S138" s="313"/>
      <c r="T138" s="313"/>
      <c r="U138" s="313"/>
      <c r="V138" s="314"/>
      <c r="W138" s="270">
        <f t="shared" si="24"/>
        <v>0</v>
      </c>
      <c r="X138" s="249"/>
    </row>
    <row r="139" spans="1:24" ht="25.5" hidden="1" customHeight="1" x14ac:dyDescent="0.2">
      <c r="A139" s="305"/>
      <c r="B139" s="272"/>
      <c r="C139" s="75">
        <v>30</v>
      </c>
      <c r="D139" s="78" t="s">
        <v>275</v>
      </c>
      <c r="E139" s="306"/>
      <c r="F139" s="277"/>
      <c r="G139" s="277"/>
      <c r="H139" s="277"/>
      <c r="I139" s="277"/>
      <c r="J139" s="277"/>
      <c r="K139" s="277"/>
      <c r="L139" s="277"/>
      <c r="M139" s="277"/>
      <c r="N139" s="277"/>
      <c r="O139" s="278"/>
      <c r="P139" s="278"/>
      <c r="Q139" s="278"/>
      <c r="R139" s="278"/>
      <c r="S139" s="278"/>
      <c r="T139" s="278"/>
      <c r="U139" s="278"/>
      <c r="V139" s="279"/>
      <c r="W139" s="290">
        <f t="shared" si="24"/>
        <v>0</v>
      </c>
      <c r="X139" s="249"/>
    </row>
    <row r="140" spans="1:24" ht="38.25" hidden="1" customHeight="1" x14ac:dyDescent="0.2">
      <c r="A140" s="74" t="s">
        <v>276</v>
      </c>
      <c r="B140" s="82" t="s">
        <v>325</v>
      </c>
      <c r="C140" s="75">
        <v>39</v>
      </c>
      <c r="D140" s="78" t="s">
        <v>326</v>
      </c>
      <c r="E140" s="306"/>
      <c r="F140" s="277"/>
      <c r="G140" s="277">
        <v>100000</v>
      </c>
      <c r="H140" s="277">
        <v>200000</v>
      </c>
      <c r="I140" s="277">
        <v>800000</v>
      </c>
      <c r="J140" s="277">
        <v>800000</v>
      </c>
      <c r="K140" s="277">
        <v>200000</v>
      </c>
      <c r="L140" s="277">
        <v>100000</v>
      </c>
      <c r="M140" s="277">
        <v>100000</v>
      </c>
      <c r="N140" s="277">
        <v>100000</v>
      </c>
      <c r="O140" s="278">
        <v>100000</v>
      </c>
      <c r="P140" s="278">
        <v>100000</v>
      </c>
      <c r="Q140" s="278"/>
      <c r="R140" s="278"/>
      <c r="S140" s="278"/>
      <c r="T140" s="278"/>
      <c r="U140" s="278"/>
      <c r="V140" s="279"/>
      <c r="W140" s="290">
        <f t="shared" si="24"/>
        <v>2600000</v>
      </c>
      <c r="X140" s="249"/>
    </row>
    <row r="141" spans="1:24" ht="38.25" hidden="1" customHeight="1" x14ac:dyDescent="0.2">
      <c r="A141" s="74"/>
      <c r="B141" s="82" t="s">
        <v>327</v>
      </c>
      <c r="C141" s="75">
        <v>39</v>
      </c>
      <c r="D141" s="78" t="s">
        <v>326</v>
      </c>
      <c r="E141" s="306"/>
      <c r="F141" s="277"/>
      <c r="G141" s="277">
        <v>6000000</v>
      </c>
      <c r="H141" s="277">
        <v>6000000</v>
      </c>
      <c r="I141" s="277">
        <v>6000000</v>
      </c>
      <c r="J141" s="277">
        <v>6000000</v>
      </c>
      <c r="K141" s="277">
        <v>6000000</v>
      </c>
      <c r="L141" s="277">
        <v>6000000</v>
      </c>
      <c r="M141" s="277">
        <v>600000</v>
      </c>
      <c r="N141" s="277">
        <v>600000</v>
      </c>
      <c r="O141" s="277">
        <v>600000</v>
      </c>
      <c r="P141" s="277">
        <v>600000</v>
      </c>
      <c r="Q141" s="278"/>
      <c r="R141" s="278"/>
      <c r="S141" s="278"/>
      <c r="T141" s="278"/>
      <c r="U141" s="278"/>
      <c r="V141" s="279"/>
      <c r="W141" s="290">
        <f t="shared" si="24"/>
        <v>38400000</v>
      </c>
      <c r="X141" s="249"/>
    </row>
    <row r="142" spans="1:24" ht="13.5" hidden="1" customHeight="1" thickBot="1" x14ac:dyDescent="0.25">
      <c r="A142" s="76"/>
      <c r="B142" s="76"/>
      <c r="C142" s="87">
        <v>41</v>
      </c>
      <c r="D142" s="83" t="s">
        <v>285</v>
      </c>
      <c r="E142" s="308"/>
      <c r="F142" s="309"/>
      <c r="G142" s="309"/>
      <c r="H142" s="309"/>
      <c r="I142" s="309"/>
      <c r="J142" s="309"/>
      <c r="K142" s="309"/>
      <c r="L142" s="309"/>
      <c r="M142" s="309"/>
      <c r="N142" s="309"/>
      <c r="O142" s="310"/>
      <c r="P142" s="310"/>
      <c r="Q142" s="310"/>
      <c r="R142" s="310"/>
      <c r="S142" s="310"/>
      <c r="T142" s="310"/>
      <c r="U142" s="310"/>
      <c r="V142" s="311"/>
      <c r="W142" s="289">
        <f t="shared" si="24"/>
        <v>0</v>
      </c>
      <c r="X142" s="249"/>
    </row>
    <row r="143" spans="1:24" hidden="1" x14ac:dyDescent="0.2">
      <c r="A143" s="360" t="s">
        <v>328</v>
      </c>
      <c r="B143" s="361"/>
      <c r="C143" s="81">
        <v>10</v>
      </c>
      <c r="D143" s="84" t="s">
        <v>271</v>
      </c>
      <c r="E143" s="312"/>
      <c r="F143" s="307"/>
      <c r="G143" s="307">
        <v>150000</v>
      </c>
      <c r="H143" s="307">
        <v>150000</v>
      </c>
      <c r="I143" s="307">
        <v>150000</v>
      </c>
      <c r="J143" s="307">
        <v>150000</v>
      </c>
      <c r="K143" s="307">
        <v>150000</v>
      </c>
      <c r="L143" s="307">
        <v>150000</v>
      </c>
      <c r="M143" s="307">
        <v>150000</v>
      </c>
      <c r="N143" s="307">
        <v>150000</v>
      </c>
      <c r="O143" s="307">
        <v>150000</v>
      </c>
      <c r="P143" s="307">
        <v>150000</v>
      </c>
      <c r="Q143" s="313"/>
      <c r="R143" s="313"/>
      <c r="S143" s="313"/>
      <c r="T143" s="313"/>
      <c r="U143" s="313"/>
      <c r="V143" s="314"/>
      <c r="W143" s="270">
        <f t="shared" si="24"/>
        <v>1500000</v>
      </c>
      <c r="X143" s="249"/>
    </row>
    <row r="144" spans="1:24" hidden="1" x14ac:dyDescent="0.2">
      <c r="A144" s="315" t="s">
        <v>329</v>
      </c>
      <c r="B144" s="316"/>
      <c r="C144" s="89">
        <v>41</v>
      </c>
      <c r="D144" s="85" t="s">
        <v>285</v>
      </c>
      <c r="E144" s="317"/>
      <c r="F144" s="280">
        <v>5000000</v>
      </c>
      <c r="G144" s="280">
        <v>6000000</v>
      </c>
      <c r="H144" s="280">
        <v>6000000</v>
      </c>
      <c r="I144" s="280"/>
      <c r="J144" s="280"/>
      <c r="K144" s="280"/>
      <c r="L144" s="280"/>
      <c r="M144" s="280"/>
      <c r="N144" s="280"/>
      <c r="O144" s="281"/>
      <c r="P144" s="281"/>
      <c r="Q144" s="281"/>
      <c r="R144" s="281"/>
      <c r="S144" s="281"/>
      <c r="T144" s="281"/>
      <c r="U144" s="281"/>
      <c r="V144" s="282"/>
      <c r="W144" s="287">
        <f t="shared" si="24"/>
        <v>17000000</v>
      </c>
      <c r="X144" s="249"/>
    </row>
    <row r="145" spans="1:24" hidden="1" x14ac:dyDescent="0.2">
      <c r="A145" s="362" t="s">
        <v>330</v>
      </c>
      <c r="B145" s="363"/>
      <c r="C145" s="77">
        <v>10</v>
      </c>
      <c r="D145" s="86" t="s">
        <v>271</v>
      </c>
      <c r="E145" s="300"/>
      <c r="F145" s="301"/>
      <c r="G145" s="301"/>
      <c r="H145" s="301"/>
      <c r="I145" s="301"/>
      <c r="J145" s="301"/>
      <c r="K145" s="301"/>
      <c r="L145" s="301"/>
      <c r="M145" s="301"/>
      <c r="N145" s="301"/>
      <c r="O145" s="302"/>
      <c r="P145" s="302"/>
      <c r="Q145" s="302"/>
      <c r="R145" s="302"/>
      <c r="S145" s="302"/>
      <c r="T145" s="302"/>
      <c r="U145" s="302"/>
      <c r="V145" s="303"/>
      <c r="W145" s="304">
        <f t="shared" si="24"/>
        <v>0</v>
      </c>
      <c r="X145" s="249"/>
    </row>
    <row r="146" spans="1:24" ht="13.5" hidden="1" customHeight="1" thickBot="1" x14ac:dyDescent="0.25">
      <c r="A146" s="318" t="s">
        <v>329</v>
      </c>
      <c r="B146" s="319"/>
      <c r="C146" s="87">
        <v>41</v>
      </c>
      <c r="D146" s="83" t="s">
        <v>285</v>
      </c>
      <c r="E146" s="308"/>
      <c r="F146" s="309">
        <v>5000000</v>
      </c>
      <c r="G146" s="309">
        <v>6000000</v>
      </c>
      <c r="H146" s="309">
        <v>6000000</v>
      </c>
      <c r="I146" s="309"/>
      <c r="J146" s="309"/>
      <c r="K146" s="309"/>
      <c r="L146" s="309"/>
      <c r="M146" s="309"/>
      <c r="N146" s="309"/>
      <c r="O146" s="310"/>
      <c r="P146" s="310"/>
      <c r="Q146" s="310"/>
      <c r="R146" s="310"/>
      <c r="S146" s="310"/>
      <c r="T146" s="310"/>
      <c r="U146" s="310"/>
      <c r="V146" s="311"/>
      <c r="W146" s="289">
        <f t="shared" si="24"/>
        <v>17000000</v>
      </c>
      <c r="X146" s="249"/>
    </row>
    <row r="147" spans="1:24" hidden="1" x14ac:dyDescent="0.2">
      <c r="A147" s="362" t="s">
        <v>331</v>
      </c>
      <c r="B147" s="363"/>
      <c r="C147" s="77">
        <v>10</v>
      </c>
      <c r="D147" s="86" t="s">
        <v>271</v>
      </c>
      <c r="E147" s="300"/>
      <c r="F147" s="301"/>
      <c r="G147" s="301">
        <v>200000</v>
      </c>
      <c r="H147" s="301">
        <v>200000</v>
      </c>
      <c r="I147" s="301">
        <v>200000</v>
      </c>
      <c r="J147" s="301">
        <v>200000</v>
      </c>
      <c r="K147" s="301">
        <v>200000</v>
      </c>
      <c r="L147" s="301">
        <v>200000</v>
      </c>
      <c r="M147" s="301">
        <v>200000</v>
      </c>
      <c r="N147" s="301">
        <v>200000</v>
      </c>
      <c r="O147" s="301">
        <v>200000</v>
      </c>
      <c r="P147" s="301">
        <v>200000</v>
      </c>
      <c r="Q147" s="302"/>
      <c r="R147" s="302"/>
      <c r="S147" s="302"/>
      <c r="T147" s="302"/>
      <c r="U147" s="302"/>
      <c r="V147" s="303"/>
      <c r="W147" s="304">
        <f t="shared" si="24"/>
        <v>2000000</v>
      </c>
      <c r="X147" s="249"/>
    </row>
    <row r="148" spans="1:24" ht="13.5" hidden="1" customHeight="1" thickBot="1" x14ac:dyDescent="0.25">
      <c r="A148" s="318" t="s">
        <v>329</v>
      </c>
      <c r="B148" s="319"/>
      <c r="C148" s="87">
        <v>41</v>
      </c>
      <c r="D148" s="83" t="s">
        <v>285</v>
      </c>
      <c r="E148" s="308">
        <v>5075324</v>
      </c>
      <c r="F148" s="309">
        <v>32608</v>
      </c>
      <c r="G148" s="288">
        <f>6400000</f>
        <v>6400000</v>
      </c>
      <c r="H148" s="309">
        <v>5000000</v>
      </c>
      <c r="I148" s="309">
        <v>4000000</v>
      </c>
      <c r="J148" s="309"/>
      <c r="K148" s="309"/>
      <c r="L148" s="309"/>
      <c r="M148" s="309"/>
      <c r="N148" s="309"/>
      <c r="O148" s="310"/>
      <c r="P148" s="310"/>
      <c r="Q148" s="310"/>
      <c r="R148" s="310"/>
      <c r="S148" s="310"/>
      <c r="T148" s="310"/>
      <c r="U148" s="310"/>
      <c r="V148" s="311"/>
      <c r="W148" s="289">
        <f t="shared" si="24"/>
        <v>20507932</v>
      </c>
      <c r="X148" s="249"/>
    </row>
    <row r="149" spans="1:24" hidden="1" x14ac:dyDescent="0.2">
      <c r="A149" s="362" t="s">
        <v>332</v>
      </c>
      <c r="B149" s="363"/>
      <c r="C149" s="77">
        <v>10</v>
      </c>
      <c r="D149" s="86" t="s">
        <v>271</v>
      </c>
      <c r="E149" s="300"/>
      <c r="F149" s="301"/>
      <c r="G149" s="301">
        <v>150000</v>
      </c>
      <c r="H149" s="301">
        <v>150000</v>
      </c>
      <c r="I149" s="301">
        <v>150000</v>
      </c>
      <c r="J149" s="301">
        <v>150000</v>
      </c>
      <c r="K149" s="301">
        <v>150000</v>
      </c>
      <c r="L149" s="301">
        <v>150000</v>
      </c>
      <c r="M149" s="301">
        <v>150000</v>
      </c>
      <c r="N149" s="301">
        <v>150000</v>
      </c>
      <c r="O149" s="301">
        <v>150000</v>
      </c>
      <c r="P149" s="301">
        <v>150000</v>
      </c>
      <c r="Q149" s="302"/>
      <c r="R149" s="302"/>
      <c r="S149" s="302"/>
      <c r="T149" s="302"/>
      <c r="U149" s="302"/>
      <c r="V149" s="303"/>
      <c r="W149" s="304">
        <f t="shared" si="24"/>
        <v>1500000</v>
      </c>
      <c r="X149" s="249"/>
    </row>
    <row r="150" spans="1:24" ht="13.5" hidden="1" customHeight="1" thickBot="1" x14ac:dyDescent="0.25">
      <c r="A150" s="318" t="s">
        <v>329</v>
      </c>
      <c r="B150" s="319"/>
      <c r="C150" s="87">
        <v>41</v>
      </c>
      <c r="D150" s="83" t="s">
        <v>285</v>
      </c>
      <c r="E150" s="308"/>
      <c r="F150" s="309">
        <v>938000</v>
      </c>
      <c r="G150" s="288">
        <v>1000000</v>
      </c>
      <c r="H150" s="309">
        <v>1100000</v>
      </c>
      <c r="I150" s="309"/>
      <c r="J150" s="309"/>
      <c r="K150" s="309"/>
      <c r="L150" s="309"/>
      <c r="M150" s="309"/>
      <c r="N150" s="309"/>
      <c r="O150" s="310"/>
      <c r="P150" s="310"/>
      <c r="Q150" s="310"/>
      <c r="R150" s="310"/>
      <c r="S150" s="310"/>
      <c r="T150" s="310"/>
      <c r="U150" s="310"/>
      <c r="V150" s="311"/>
      <c r="W150" s="289">
        <f t="shared" si="24"/>
        <v>3038000</v>
      </c>
      <c r="X150" s="249"/>
    </row>
    <row r="151" spans="1:24" hidden="1" x14ac:dyDescent="0.2">
      <c r="A151" s="88"/>
      <c r="B151" s="88"/>
      <c r="C151" s="89"/>
      <c r="D151" s="85"/>
      <c r="E151" s="317"/>
      <c r="F151" s="280"/>
      <c r="G151" s="280"/>
      <c r="H151" s="280"/>
      <c r="I151" s="280"/>
      <c r="J151" s="280"/>
      <c r="K151" s="280"/>
      <c r="L151" s="280"/>
      <c r="M151" s="280"/>
      <c r="N151" s="280"/>
      <c r="O151" s="281"/>
      <c r="P151" s="281"/>
      <c r="Q151" s="281"/>
      <c r="R151" s="281"/>
      <c r="S151" s="281"/>
      <c r="T151" s="281"/>
      <c r="U151" s="281"/>
      <c r="V151" s="282"/>
      <c r="W151" s="287">
        <f t="shared" si="24"/>
        <v>0</v>
      </c>
      <c r="X151" s="249"/>
    </row>
    <row r="152" spans="1:24" ht="13.5" hidden="1" customHeight="1" thickBot="1" x14ac:dyDescent="0.25">
      <c r="A152" s="364" t="s">
        <v>333</v>
      </c>
      <c r="B152" s="365"/>
      <c r="C152" s="365"/>
      <c r="D152" s="366"/>
      <c r="E152" s="320">
        <f t="shared" ref="E152:T152" si="25">SUM(E53:E151)</f>
        <v>5075324</v>
      </c>
      <c r="F152" s="321">
        <f t="shared" si="25"/>
        <v>10970608</v>
      </c>
      <c r="G152" s="321">
        <f t="shared" si="25"/>
        <v>57785000</v>
      </c>
      <c r="H152" s="321">
        <f t="shared" si="25"/>
        <v>55563000</v>
      </c>
      <c r="I152" s="321">
        <f t="shared" si="25"/>
        <v>48885000</v>
      </c>
      <c r="J152" s="321">
        <f t="shared" si="25"/>
        <v>42998000</v>
      </c>
      <c r="K152" s="321">
        <f t="shared" si="25"/>
        <v>40631000</v>
      </c>
      <c r="L152" s="321">
        <f t="shared" si="25"/>
        <v>37586000</v>
      </c>
      <c r="M152" s="321">
        <f t="shared" si="25"/>
        <v>36063000</v>
      </c>
      <c r="N152" s="321">
        <f t="shared" si="25"/>
        <v>26076000</v>
      </c>
      <c r="O152" s="321">
        <f t="shared" si="25"/>
        <v>26779000</v>
      </c>
      <c r="P152" s="321">
        <f t="shared" si="25"/>
        <v>27513000</v>
      </c>
      <c r="Q152" s="321">
        <f t="shared" si="25"/>
        <v>0</v>
      </c>
      <c r="R152" s="321">
        <f t="shared" si="25"/>
        <v>0</v>
      </c>
      <c r="S152" s="321">
        <f t="shared" si="25"/>
        <v>0</v>
      </c>
      <c r="T152" s="321">
        <f t="shared" si="25"/>
        <v>0</v>
      </c>
      <c r="U152" s="322"/>
      <c r="V152" s="323">
        <f>SUM(V53:V151)</f>
        <v>0</v>
      </c>
      <c r="W152" s="324">
        <f>SUM(W53:W151)</f>
        <v>415924932</v>
      </c>
      <c r="X152" s="249"/>
    </row>
    <row r="153" spans="1:24" hidden="1" x14ac:dyDescent="0.2">
      <c r="A153" s="90"/>
      <c r="B153" s="90"/>
      <c r="C153" s="90"/>
      <c r="D153" s="91"/>
      <c r="E153" s="325"/>
      <c r="F153" s="92">
        <v>10</v>
      </c>
      <c r="G153" s="266">
        <f t="shared" ref="G153:T153" si="26">SUMIF($C$53:$C$150,"10",G$53:G$150)</f>
        <v>6518000</v>
      </c>
      <c r="H153" s="266">
        <f t="shared" si="26"/>
        <v>5545000</v>
      </c>
      <c r="I153" s="266">
        <f t="shared" si="26"/>
        <v>4976000</v>
      </c>
      <c r="J153" s="266">
        <f t="shared" si="26"/>
        <v>4531000</v>
      </c>
      <c r="K153" s="266">
        <f t="shared" si="26"/>
        <v>4100000</v>
      </c>
      <c r="L153" s="266">
        <f t="shared" si="26"/>
        <v>4148000</v>
      </c>
      <c r="M153" s="266">
        <f t="shared" si="26"/>
        <v>4057000</v>
      </c>
      <c r="N153" s="266">
        <f t="shared" si="26"/>
        <v>4103000</v>
      </c>
      <c r="O153" s="266">
        <f t="shared" si="26"/>
        <v>4147000</v>
      </c>
      <c r="P153" s="266">
        <f t="shared" si="26"/>
        <v>4200000</v>
      </c>
      <c r="Q153" s="266">
        <f t="shared" si="26"/>
        <v>0</v>
      </c>
      <c r="R153" s="266">
        <f t="shared" si="26"/>
        <v>0</v>
      </c>
      <c r="S153" s="266">
        <f t="shared" si="26"/>
        <v>0</v>
      </c>
      <c r="T153" s="266">
        <f t="shared" si="26"/>
        <v>0</v>
      </c>
      <c r="U153" s="266"/>
      <c r="V153" s="266">
        <f>SUMIF($C$53:$C$150,"10",V$53:V$150)</f>
        <v>0</v>
      </c>
      <c r="W153" s="325"/>
      <c r="X153" s="326">
        <f t="shared" ref="X153:X158" si="27">SUM(G153:V153)</f>
        <v>46325000</v>
      </c>
    </row>
    <row r="154" spans="1:24" hidden="1" x14ac:dyDescent="0.2">
      <c r="A154" s="90"/>
      <c r="B154" s="90"/>
      <c r="C154" s="90"/>
      <c r="D154" s="91"/>
      <c r="E154" s="325"/>
      <c r="F154" s="92">
        <v>37</v>
      </c>
      <c r="G154" s="266">
        <f t="shared" ref="G154:T154" si="28">SUMIF($C$53:$C$150,"37",G$53:G$150)</f>
        <v>14165000</v>
      </c>
      <c r="H154" s="266">
        <f t="shared" si="28"/>
        <v>13490000</v>
      </c>
      <c r="I154" s="266">
        <f t="shared" si="28"/>
        <v>13902000</v>
      </c>
      <c r="J154" s="266">
        <f t="shared" si="28"/>
        <v>13729000</v>
      </c>
      <c r="K154" s="266">
        <f t="shared" si="28"/>
        <v>12571000</v>
      </c>
      <c r="L154" s="266">
        <f t="shared" si="28"/>
        <v>13923000</v>
      </c>
      <c r="M154" s="266">
        <f t="shared" si="28"/>
        <v>13650000</v>
      </c>
      <c r="N154" s="266">
        <f t="shared" si="28"/>
        <v>13003000</v>
      </c>
      <c r="O154" s="266">
        <f t="shared" si="28"/>
        <v>13372000</v>
      </c>
      <c r="P154" s="266">
        <f t="shared" si="28"/>
        <v>13753000</v>
      </c>
      <c r="Q154" s="266">
        <f t="shared" si="28"/>
        <v>0</v>
      </c>
      <c r="R154" s="266">
        <f t="shared" si="28"/>
        <v>0</v>
      </c>
      <c r="S154" s="266">
        <f t="shared" si="28"/>
        <v>0</v>
      </c>
      <c r="T154" s="266">
        <f t="shared" si="28"/>
        <v>0</v>
      </c>
      <c r="U154" s="266"/>
      <c r="V154" s="266">
        <f>SUMIF($C$53:$C$150,"37",V$53:V$150)</f>
        <v>0</v>
      </c>
      <c r="W154" s="325"/>
      <c r="X154" s="326">
        <f t="shared" si="27"/>
        <v>135558000</v>
      </c>
    </row>
    <row r="155" spans="1:24" hidden="1" x14ac:dyDescent="0.2">
      <c r="A155" s="90"/>
      <c r="B155" s="90"/>
      <c r="C155" s="90"/>
      <c r="D155" s="91"/>
      <c r="E155" s="325"/>
      <c r="F155" s="92">
        <v>30</v>
      </c>
      <c r="G155" s="266">
        <f t="shared" ref="G155:T155" si="29">SUMIF($C$53:$C$150,"30",G$53:G$150)</f>
        <v>2640000</v>
      </c>
      <c r="H155" s="266">
        <f t="shared" si="29"/>
        <v>5300000</v>
      </c>
      <c r="I155" s="266">
        <f t="shared" si="29"/>
        <v>11921000</v>
      </c>
      <c r="J155" s="266">
        <f t="shared" si="29"/>
        <v>10631000</v>
      </c>
      <c r="K155" s="266">
        <f t="shared" si="29"/>
        <v>10062000</v>
      </c>
      <c r="L155" s="266">
        <f t="shared" si="29"/>
        <v>5695000</v>
      </c>
      <c r="M155" s="266">
        <f t="shared" si="29"/>
        <v>9666000</v>
      </c>
      <c r="N155" s="266">
        <f t="shared" si="29"/>
        <v>0</v>
      </c>
      <c r="O155" s="266">
        <f t="shared" si="29"/>
        <v>0</v>
      </c>
      <c r="P155" s="266">
        <f t="shared" si="29"/>
        <v>0</v>
      </c>
      <c r="Q155" s="266">
        <f t="shared" si="29"/>
        <v>0</v>
      </c>
      <c r="R155" s="266">
        <f t="shared" si="29"/>
        <v>0</v>
      </c>
      <c r="S155" s="266">
        <f t="shared" si="29"/>
        <v>0</v>
      </c>
      <c r="T155" s="266">
        <f t="shared" si="29"/>
        <v>0</v>
      </c>
      <c r="U155" s="266"/>
      <c r="V155" s="266">
        <f>SUMIF($C$53:$C$150,"30",V$53:V$150)</f>
        <v>0</v>
      </c>
      <c r="W155" s="325"/>
      <c r="X155" s="326">
        <f t="shared" si="27"/>
        <v>55915000</v>
      </c>
    </row>
    <row r="156" spans="1:24" hidden="1" x14ac:dyDescent="0.2">
      <c r="A156" s="90"/>
      <c r="B156" s="90"/>
      <c r="C156" s="90"/>
      <c r="D156" s="91"/>
      <c r="E156" s="325"/>
      <c r="F156" s="92">
        <v>41</v>
      </c>
      <c r="G156" s="266">
        <f t="shared" ref="G156:T156" si="30">SUMIF($C$53:$C$150,"41",G$53:G$150)</f>
        <v>21862000</v>
      </c>
      <c r="H156" s="266">
        <f t="shared" si="30"/>
        <v>18300000</v>
      </c>
      <c r="I156" s="266">
        <f t="shared" si="30"/>
        <v>4323000</v>
      </c>
      <c r="J156" s="266">
        <f t="shared" si="30"/>
        <v>100000</v>
      </c>
      <c r="K156" s="266">
        <f t="shared" si="30"/>
        <v>239000</v>
      </c>
      <c r="L156" s="266">
        <f t="shared" si="30"/>
        <v>0</v>
      </c>
      <c r="M156" s="266">
        <f t="shared" si="30"/>
        <v>0</v>
      </c>
      <c r="N156" s="266">
        <f t="shared" si="30"/>
        <v>0</v>
      </c>
      <c r="O156" s="266">
        <f t="shared" si="30"/>
        <v>0</v>
      </c>
      <c r="P156" s="266">
        <f t="shared" si="30"/>
        <v>0</v>
      </c>
      <c r="Q156" s="266">
        <f t="shared" si="30"/>
        <v>0</v>
      </c>
      <c r="R156" s="266">
        <f t="shared" si="30"/>
        <v>0</v>
      </c>
      <c r="S156" s="266">
        <f t="shared" si="30"/>
        <v>0</v>
      </c>
      <c r="T156" s="266">
        <f t="shared" si="30"/>
        <v>0</v>
      </c>
      <c r="U156" s="266"/>
      <c r="V156" s="266">
        <f>SUMIF($C$53:$C$150,"41",V$53:V$150)</f>
        <v>0</v>
      </c>
      <c r="W156" s="325"/>
      <c r="X156" s="326">
        <f t="shared" si="27"/>
        <v>44824000</v>
      </c>
    </row>
    <row r="157" spans="1:24" hidden="1" x14ac:dyDescent="0.2">
      <c r="A157" s="90"/>
      <c r="B157" s="90"/>
      <c r="C157" s="90"/>
      <c r="D157" s="91"/>
      <c r="E157" s="325"/>
      <c r="F157" s="92">
        <v>39</v>
      </c>
      <c r="G157" s="266">
        <f t="shared" ref="G157:T157" si="31">SUMIF($C$53:$C$150,"39",G$53:G$150)</f>
        <v>6100000</v>
      </c>
      <c r="H157" s="266">
        <f t="shared" si="31"/>
        <v>6200000</v>
      </c>
      <c r="I157" s="266">
        <f t="shared" si="31"/>
        <v>6800000</v>
      </c>
      <c r="J157" s="266">
        <f t="shared" si="31"/>
        <v>6800000</v>
      </c>
      <c r="K157" s="266">
        <f t="shared" si="31"/>
        <v>6200000</v>
      </c>
      <c r="L157" s="266">
        <f t="shared" si="31"/>
        <v>6100000</v>
      </c>
      <c r="M157" s="266">
        <f t="shared" si="31"/>
        <v>700000</v>
      </c>
      <c r="N157" s="266">
        <f t="shared" si="31"/>
        <v>700000</v>
      </c>
      <c r="O157" s="266">
        <f t="shared" si="31"/>
        <v>700000</v>
      </c>
      <c r="P157" s="266">
        <f t="shared" si="31"/>
        <v>700000</v>
      </c>
      <c r="Q157" s="266">
        <f t="shared" si="31"/>
        <v>0</v>
      </c>
      <c r="R157" s="266">
        <f t="shared" si="31"/>
        <v>0</v>
      </c>
      <c r="S157" s="266">
        <f t="shared" si="31"/>
        <v>0</v>
      </c>
      <c r="T157" s="266">
        <f t="shared" si="31"/>
        <v>0</v>
      </c>
      <c r="U157" s="266"/>
      <c r="V157" s="266">
        <f>SUMIF($C$53:$C$150,"39",V$53:V$150)</f>
        <v>0</v>
      </c>
      <c r="W157" s="325"/>
      <c r="X157" s="326">
        <f t="shared" si="27"/>
        <v>41000000</v>
      </c>
    </row>
    <row r="158" spans="1:24" hidden="1" x14ac:dyDescent="0.2">
      <c r="A158" s="90"/>
      <c r="B158" s="90"/>
      <c r="C158" s="90"/>
      <c r="D158" s="91"/>
      <c r="E158" s="325"/>
      <c r="F158" s="92">
        <v>99</v>
      </c>
      <c r="G158" s="266">
        <f t="shared" ref="G158:T158" si="32">SUMIF($C$53:$C$150,"99",G$53:G$150)</f>
        <v>6500000</v>
      </c>
      <c r="H158" s="266">
        <f t="shared" si="32"/>
        <v>6728000</v>
      </c>
      <c r="I158" s="266">
        <f t="shared" si="32"/>
        <v>6963000</v>
      </c>
      <c r="J158" s="266">
        <f t="shared" si="32"/>
        <v>7207000</v>
      </c>
      <c r="K158" s="266">
        <f t="shared" si="32"/>
        <v>7459000</v>
      </c>
      <c r="L158" s="266">
        <f t="shared" si="32"/>
        <v>7720000</v>
      </c>
      <c r="M158" s="266">
        <f t="shared" si="32"/>
        <v>7990000</v>
      </c>
      <c r="N158" s="266">
        <f t="shared" si="32"/>
        <v>8270000</v>
      </c>
      <c r="O158" s="266">
        <f t="shared" si="32"/>
        <v>8560000</v>
      </c>
      <c r="P158" s="266">
        <f t="shared" si="32"/>
        <v>8860000</v>
      </c>
      <c r="Q158" s="266">
        <f t="shared" si="32"/>
        <v>0</v>
      </c>
      <c r="R158" s="266">
        <f t="shared" si="32"/>
        <v>0</v>
      </c>
      <c r="S158" s="266">
        <f t="shared" si="32"/>
        <v>0</v>
      </c>
      <c r="T158" s="266">
        <f t="shared" si="32"/>
        <v>0</v>
      </c>
      <c r="U158" s="266"/>
      <c r="V158" s="266">
        <f>SUMIF($C$53:$C$150,"99",V$53:V$150)</f>
        <v>0</v>
      </c>
      <c r="W158" s="325"/>
      <c r="X158" s="326">
        <f t="shared" si="27"/>
        <v>76257000</v>
      </c>
    </row>
    <row r="159" spans="1:24" hidden="1" x14ac:dyDescent="0.2">
      <c r="A159" s="90"/>
      <c r="B159" s="90"/>
      <c r="C159" s="90"/>
      <c r="D159" s="91"/>
      <c r="E159" s="325"/>
      <c r="F159" s="325"/>
      <c r="G159" s="325"/>
      <c r="H159" s="325"/>
      <c r="I159" s="325"/>
      <c r="J159" s="325"/>
      <c r="K159" s="325"/>
      <c r="L159" s="325"/>
      <c r="M159" s="325"/>
      <c r="N159" s="325"/>
      <c r="O159" s="325"/>
      <c r="P159" s="325"/>
      <c r="Q159" s="325"/>
      <c r="R159" s="325"/>
      <c r="S159" s="325"/>
      <c r="T159" s="325"/>
      <c r="U159" s="325"/>
      <c r="V159" s="325"/>
      <c r="W159" s="325"/>
      <c r="X159" s="327">
        <f>SUM(X153:X158)</f>
        <v>399879000</v>
      </c>
    </row>
    <row r="160" spans="1:24" ht="13.15" customHeight="1" x14ac:dyDescent="0.2">
      <c r="A160" s="93"/>
      <c r="B160" s="94"/>
      <c r="C160" s="95"/>
      <c r="D160" s="94"/>
      <c r="E160" s="94"/>
      <c r="F160" s="94"/>
      <c r="G160" s="94"/>
      <c r="H160" s="94"/>
      <c r="I160" s="94"/>
      <c r="J160" s="249"/>
      <c r="K160" s="249"/>
      <c r="L160" s="249"/>
      <c r="M160" s="249"/>
      <c r="N160" s="249"/>
      <c r="O160" s="249"/>
      <c r="P160" s="249"/>
      <c r="Q160" s="249"/>
      <c r="R160" s="249"/>
      <c r="S160" s="249"/>
      <c r="T160" s="249"/>
      <c r="U160" s="249"/>
      <c r="V160" s="249"/>
      <c r="W160" s="241"/>
      <c r="X160" s="249"/>
    </row>
    <row r="162" spans="1:31" x14ac:dyDescent="0.2">
      <c r="V162" s="96"/>
      <c r="AC162" s="96"/>
      <c r="AE162" s="96"/>
    </row>
    <row r="166" spans="1:31" ht="14.25" customHeight="1" x14ac:dyDescent="0.2">
      <c r="A166" s="97"/>
    </row>
    <row r="167" spans="1:31" ht="14.25" customHeight="1" x14ac:dyDescent="0.2">
      <c r="A167" s="97"/>
    </row>
    <row r="168" spans="1:31" ht="14.25" customHeight="1" x14ac:dyDescent="0.2">
      <c r="A168" s="97"/>
    </row>
    <row r="169" spans="1:31" ht="14.25" customHeight="1" x14ac:dyDescent="0.2">
      <c r="A169" s="97"/>
    </row>
    <row r="170" spans="1:31" ht="14.25" customHeight="1" x14ac:dyDescent="0.2">
      <c r="A170" s="97"/>
    </row>
    <row r="171" spans="1:31" ht="14.25" customHeight="1" x14ac:dyDescent="0.2">
      <c r="A171" s="97"/>
    </row>
  </sheetData>
  <mergeCells count="47">
    <mergeCell ref="A78:B78"/>
    <mergeCell ref="A22:B22"/>
    <mergeCell ref="A30:B30"/>
    <mergeCell ref="A38:B38"/>
    <mergeCell ref="A46:C46"/>
    <mergeCell ref="A52:W52"/>
    <mergeCell ref="A53:B53"/>
    <mergeCell ref="A58:B58"/>
    <mergeCell ref="A63:B63"/>
    <mergeCell ref="A68:B68"/>
    <mergeCell ref="A73:B73"/>
    <mergeCell ref="A47:D47"/>
    <mergeCell ref="C48:C51"/>
    <mergeCell ref="A44:D44"/>
    <mergeCell ref="A37:D37"/>
    <mergeCell ref="A45:D45"/>
    <mergeCell ref="A138:B138"/>
    <mergeCell ref="A83:B83"/>
    <mergeCell ref="A88:B88"/>
    <mergeCell ref="A93:B93"/>
    <mergeCell ref="A98:B98"/>
    <mergeCell ref="A103:B103"/>
    <mergeCell ref="A108:B108"/>
    <mergeCell ref="A113:B113"/>
    <mergeCell ref="A118:B118"/>
    <mergeCell ref="A123:B123"/>
    <mergeCell ref="A128:B128"/>
    <mergeCell ref="A133:B133"/>
    <mergeCell ref="A143:B143"/>
    <mergeCell ref="A145:B145"/>
    <mergeCell ref="A147:B147"/>
    <mergeCell ref="A149:B149"/>
    <mergeCell ref="A152:D152"/>
    <mergeCell ref="A28:D28"/>
    <mergeCell ref="A36:D36"/>
    <mergeCell ref="A13:D13"/>
    <mergeCell ref="A21:D21"/>
    <mergeCell ref="A29:D29"/>
    <mergeCell ref="A14:B14"/>
    <mergeCell ref="A1:B1"/>
    <mergeCell ref="A2:B2"/>
    <mergeCell ref="E4:U4"/>
    <mergeCell ref="A12:D12"/>
    <mergeCell ref="A20:D20"/>
    <mergeCell ref="A4:B5"/>
    <mergeCell ref="D4:D5"/>
    <mergeCell ref="A6:B6"/>
  </mergeCells>
  <pageMargins left="0.25" right="0.25" top="0.75" bottom="0.75" header="0.3" footer="0.3"/>
  <pageSetup paperSize="3" scale="79" fitToHeight="0"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27"/>
  <sheetViews>
    <sheetView workbookViewId="0">
      <selection activeCell="B13" sqref="B13"/>
    </sheetView>
  </sheetViews>
  <sheetFormatPr defaultRowHeight="15" x14ac:dyDescent="0.25"/>
  <cols>
    <col min="1" max="1" width="22.85546875" style="248" customWidth="1"/>
    <col min="2" max="3" width="10.42578125" style="248" customWidth="1"/>
  </cols>
  <sheetData>
    <row r="1" spans="1:5" x14ac:dyDescent="0.25">
      <c r="A1" s="109" t="s">
        <v>13</v>
      </c>
      <c r="B1" s="109"/>
      <c r="C1" s="109"/>
      <c r="D1" s="109"/>
      <c r="E1" s="109"/>
    </row>
    <row r="3" spans="1:5" x14ac:dyDescent="0.25">
      <c r="A3" s="378" t="s">
        <v>334</v>
      </c>
      <c r="B3" s="379"/>
    </row>
    <row r="4" spans="1:5" x14ac:dyDescent="0.25">
      <c r="A4" s="147" t="s">
        <v>335</v>
      </c>
      <c r="B4" s="110">
        <v>3</v>
      </c>
      <c r="C4" s="248" t="s">
        <v>336</v>
      </c>
    </row>
    <row r="5" spans="1:5" x14ac:dyDescent="0.25">
      <c r="A5" s="147" t="s">
        <v>337</v>
      </c>
      <c r="B5" s="110">
        <v>3</v>
      </c>
      <c r="C5" s="248" t="s">
        <v>336</v>
      </c>
    </row>
    <row r="7" spans="1:5" x14ac:dyDescent="0.25">
      <c r="A7" s="378" t="s">
        <v>338</v>
      </c>
      <c r="B7" s="379"/>
      <c r="C7" s="116" t="s">
        <v>339</v>
      </c>
    </row>
    <row r="8" spans="1:5" x14ac:dyDescent="0.25">
      <c r="A8" s="147" t="s">
        <v>1</v>
      </c>
      <c r="B8" s="110">
        <v>0.9</v>
      </c>
      <c r="C8" s="117" t="s">
        <v>340</v>
      </c>
    </row>
    <row r="9" spans="1:5" x14ac:dyDescent="0.25">
      <c r="A9" s="147" t="s">
        <v>2</v>
      </c>
      <c r="B9" s="110">
        <v>0.9</v>
      </c>
      <c r="C9" s="117" t="s">
        <v>341</v>
      </c>
    </row>
    <row r="10" spans="1:5" x14ac:dyDescent="0.25">
      <c r="A10" s="147" t="s">
        <v>3</v>
      </c>
      <c r="B10" s="110">
        <v>0.9</v>
      </c>
      <c r="C10" s="117" t="s">
        <v>342</v>
      </c>
    </row>
    <row r="11" spans="1:5" x14ac:dyDescent="0.25">
      <c r="A11" s="147" t="s">
        <v>4</v>
      </c>
      <c r="B11" s="110">
        <v>0.9</v>
      </c>
      <c r="C11" s="117" t="s">
        <v>343</v>
      </c>
    </row>
    <row r="12" spans="1:5" x14ac:dyDescent="0.25">
      <c r="A12" s="147" t="s">
        <v>5</v>
      </c>
      <c r="B12" s="110">
        <v>0.9</v>
      </c>
      <c r="C12" s="248" t="s">
        <v>344</v>
      </c>
    </row>
    <row r="14" spans="1:5" x14ac:dyDescent="0.25">
      <c r="A14" s="123" t="s">
        <v>345</v>
      </c>
    </row>
    <row r="15" spans="1:5" x14ac:dyDescent="0.25">
      <c r="A15" s="328" t="s">
        <v>57</v>
      </c>
    </row>
    <row r="16" spans="1:5" x14ac:dyDescent="0.25">
      <c r="A16" s="328" t="s">
        <v>12</v>
      </c>
    </row>
    <row r="17" spans="1:3" x14ac:dyDescent="0.25">
      <c r="A17" s="328" t="s">
        <v>12</v>
      </c>
    </row>
    <row r="18" spans="1:3" x14ac:dyDescent="0.25">
      <c r="A18" s="328" t="s">
        <v>12</v>
      </c>
    </row>
    <row r="19" spans="1:3" x14ac:dyDescent="0.25">
      <c r="A19" s="328" t="s">
        <v>12</v>
      </c>
    </row>
    <row r="20" spans="1:3" x14ac:dyDescent="0.25">
      <c r="A20" s="328" t="s">
        <v>12</v>
      </c>
      <c r="B20" s="125"/>
      <c r="C20" s="125"/>
    </row>
    <row r="21" spans="1:3" ht="15.75" customHeight="1" x14ac:dyDescent="0.25">
      <c r="A21" s="328" t="s">
        <v>12</v>
      </c>
      <c r="B21" s="124"/>
      <c r="C21" s="124"/>
    </row>
    <row r="23" spans="1:3" x14ac:dyDescent="0.25">
      <c r="A23" s="380" t="s">
        <v>346</v>
      </c>
      <c r="B23" s="379"/>
      <c r="C23" t="s">
        <v>347</v>
      </c>
    </row>
    <row r="24" spans="1:3" x14ac:dyDescent="0.25">
      <c r="A24" s="132" t="s">
        <v>57</v>
      </c>
      <c r="B24" s="237" t="s">
        <v>348</v>
      </c>
      <c r="C24" t="s">
        <v>349</v>
      </c>
    </row>
    <row r="25" spans="1:3" x14ac:dyDescent="0.25">
      <c r="A25" s="132" t="s">
        <v>34</v>
      </c>
      <c r="B25" s="237" t="s">
        <v>350</v>
      </c>
      <c r="C25" t="s">
        <v>351</v>
      </c>
    </row>
    <row r="26" spans="1:3" x14ac:dyDescent="0.25">
      <c r="A26" s="132" t="s">
        <v>52</v>
      </c>
      <c r="B26" s="237" t="s">
        <v>352</v>
      </c>
      <c r="C26" t="s">
        <v>353</v>
      </c>
    </row>
    <row r="27" spans="1:3" x14ac:dyDescent="0.25">
      <c r="A27" s="132" t="s">
        <v>354</v>
      </c>
      <c r="B27" s="237" t="s">
        <v>355</v>
      </c>
      <c r="C27" t="s">
        <v>356</v>
      </c>
    </row>
  </sheetData>
  <mergeCells count="3">
    <mergeCell ref="A3:B3"/>
    <mergeCell ref="A7:B7"/>
    <mergeCell ref="A23:B2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K193"/>
  <sheetViews>
    <sheetView topLeftCell="A88" workbookViewId="0">
      <selection activeCell="A107" sqref="A107"/>
    </sheetView>
  </sheetViews>
  <sheetFormatPr defaultRowHeight="15" x14ac:dyDescent="0.25"/>
  <cols>
    <col min="1" max="1" width="27.28515625" style="245" customWidth="1"/>
    <col min="2" max="14" width="13.28515625" style="245" customWidth="1"/>
    <col min="16" max="16" width="24.42578125" style="245" customWidth="1"/>
    <col min="21" max="21" width="40.7109375" customWidth="1"/>
    <col min="22" max="22" width="63.7109375" customWidth="1"/>
  </cols>
  <sheetData>
    <row r="1" spans="1:37" ht="15.75" customHeight="1" x14ac:dyDescent="0.25">
      <c r="A1" s="161" t="s">
        <v>357</v>
      </c>
      <c r="G1" s="245" t="s">
        <v>680</v>
      </c>
      <c r="AK1" t="s">
        <v>358</v>
      </c>
    </row>
    <row r="2" spans="1:37" ht="15.75" customHeight="1" x14ac:dyDescent="0.25">
      <c r="A2" t="s">
        <v>359</v>
      </c>
      <c r="U2" s="162" t="s">
        <v>679</v>
      </c>
      <c r="AK2" t="str">
        <f>'Design HV &amp; WD'!A4</f>
        <v>SFP</v>
      </c>
    </row>
    <row r="3" spans="1:37" ht="15.75" customHeight="1" x14ac:dyDescent="0.25">
      <c r="A3" t="s">
        <v>360</v>
      </c>
      <c r="U3" s="339" t="s">
        <v>40</v>
      </c>
      <c r="V3" s="340" t="s">
        <v>463</v>
      </c>
      <c r="AK3" t="str">
        <f>'Design HV &amp; WD'!A5</f>
        <v>Veg 08</v>
      </c>
    </row>
    <row r="4" spans="1:37" ht="15.75" customHeight="1" x14ac:dyDescent="0.25">
      <c r="A4" t="s">
        <v>361</v>
      </c>
      <c r="U4" s="339" t="s">
        <v>198</v>
      </c>
      <c r="V4" s="340" t="s">
        <v>466</v>
      </c>
      <c r="AK4" t="str">
        <f>'Design HV &amp; WD'!A6</f>
        <v>Veg 11</v>
      </c>
    </row>
    <row r="5" spans="1:37" ht="15.75" customHeight="1" x14ac:dyDescent="0.25">
      <c r="A5" t="s">
        <v>362</v>
      </c>
      <c r="U5" s="339" t="s">
        <v>105</v>
      </c>
      <c r="V5" s="340" t="s">
        <v>469</v>
      </c>
      <c r="AK5" t="str">
        <f>'Design HV &amp; WD'!A7</f>
        <v>ENV</v>
      </c>
    </row>
    <row r="6" spans="1:37" ht="15.75" customHeight="1" x14ac:dyDescent="0.25">
      <c r="A6" t="s">
        <v>363</v>
      </c>
      <c r="U6" s="339" t="s">
        <v>31</v>
      </c>
      <c r="V6" s="340" t="s">
        <v>471</v>
      </c>
      <c r="AK6" t="str">
        <f>'Design HV &amp; WD'!A8</f>
        <v>SFL</v>
      </c>
    </row>
    <row r="7" spans="1:37" ht="15.75" customHeight="1" x14ac:dyDescent="0.25">
      <c r="A7" t="s">
        <v>364</v>
      </c>
      <c r="U7" s="339" t="s">
        <v>48</v>
      </c>
      <c r="V7" s="340" t="s">
        <v>464</v>
      </c>
      <c r="AK7" t="str">
        <f>'Design HV &amp; WD'!A9</f>
        <v>DWM_Jan</v>
      </c>
    </row>
    <row r="8" spans="1:37" ht="15.75" customHeight="1" x14ac:dyDescent="0.25">
      <c r="A8" t="s">
        <v>365</v>
      </c>
      <c r="U8" s="339" t="s">
        <v>42</v>
      </c>
      <c r="V8" s="340" t="s">
        <v>476</v>
      </c>
      <c r="AK8" t="str">
        <f>'Design HV &amp; WD'!A10</f>
        <v>DWM_Oct</v>
      </c>
    </row>
    <row r="9" spans="1:37" ht="15.75" customHeight="1" x14ac:dyDescent="0.25">
      <c r="A9" t="s">
        <v>366</v>
      </c>
      <c r="U9" s="339" t="s">
        <v>100</v>
      </c>
      <c r="V9" s="340" t="s">
        <v>478</v>
      </c>
      <c r="AK9" t="str">
        <f>'Design HV &amp; WD'!A11</f>
        <v>DWM_Dec</v>
      </c>
    </row>
    <row r="10" spans="1:37" ht="15.75" customHeight="1" x14ac:dyDescent="0.25">
      <c r="U10" s="339" t="s">
        <v>41</v>
      </c>
      <c r="V10" s="340" t="s">
        <v>481</v>
      </c>
      <c r="AK10" t="str">
        <f>'Design HV &amp; WD'!A12</f>
        <v>BWF</v>
      </c>
    </row>
    <row r="11" spans="1:37" ht="15.75" customHeight="1" x14ac:dyDescent="0.25">
      <c r="U11" s="339" t="s">
        <v>1</v>
      </c>
      <c r="V11" s="340" t="s">
        <v>482</v>
      </c>
      <c r="AK11" t="str">
        <f>'Design HV &amp; WD'!A13</f>
        <v>MWF</v>
      </c>
    </row>
    <row r="12" spans="1:37" ht="15.75" customHeight="1" x14ac:dyDescent="0.25">
      <c r="A12" s="162" t="s">
        <v>367</v>
      </c>
      <c r="B12" s="162" t="s">
        <v>368</v>
      </c>
      <c r="P12" s="162" t="s">
        <v>369</v>
      </c>
      <c r="U12" s="339" t="s">
        <v>2</v>
      </c>
      <c r="V12" s="340" t="s">
        <v>483</v>
      </c>
      <c r="AK12" t="str">
        <f>'Design HV &amp; WD'!A14</f>
        <v>SNPL_realistic</v>
      </c>
    </row>
    <row r="13" spans="1:37" ht="15.75" customHeight="1" x14ac:dyDescent="0.25">
      <c r="A13" t="s">
        <v>39</v>
      </c>
      <c r="B13" s="237" t="s">
        <v>34</v>
      </c>
      <c r="C13" s="237" t="s">
        <v>57</v>
      </c>
      <c r="D13" s="237" t="s">
        <v>198</v>
      </c>
      <c r="E13" s="237" t="s">
        <v>105</v>
      </c>
      <c r="F13" s="237" t="s">
        <v>48</v>
      </c>
      <c r="G13" s="237"/>
      <c r="H13" s="237"/>
      <c r="I13" s="237"/>
      <c r="J13" s="237"/>
      <c r="K13" s="237"/>
      <c r="L13" s="237"/>
      <c r="M13" s="237"/>
      <c r="N13" s="237"/>
      <c r="P13" t="s">
        <v>370</v>
      </c>
      <c r="Q13" t="s">
        <v>371</v>
      </c>
      <c r="U13" s="339" t="s">
        <v>484</v>
      </c>
      <c r="V13" s="340" t="s">
        <v>485</v>
      </c>
      <c r="AK13" t="str">
        <f>'Design HV &amp; WD'!A15</f>
        <v>SNPL_with gravel</v>
      </c>
    </row>
    <row r="14" spans="1:37" ht="15.75" customHeight="1" x14ac:dyDescent="0.25">
      <c r="A14" t="s">
        <v>43</v>
      </c>
      <c r="B14" s="237" t="s">
        <v>34</v>
      </c>
      <c r="C14" s="237" t="s">
        <v>57</v>
      </c>
      <c r="D14" s="237" t="s">
        <v>198</v>
      </c>
      <c r="E14" s="237" t="s">
        <v>105</v>
      </c>
      <c r="F14" s="237" t="s">
        <v>48</v>
      </c>
      <c r="G14" s="237"/>
      <c r="H14" s="237"/>
      <c r="I14" s="237"/>
      <c r="J14" s="237"/>
      <c r="K14" s="237"/>
      <c r="L14" s="237"/>
      <c r="M14" s="237"/>
      <c r="N14" s="237"/>
      <c r="U14" s="339" t="s">
        <v>486</v>
      </c>
      <c r="V14" s="340" t="s">
        <v>487</v>
      </c>
    </row>
    <row r="15" spans="1:37" ht="15.75" customHeight="1" x14ac:dyDescent="0.25">
      <c r="A15" t="s">
        <v>44</v>
      </c>
      <c r="B15" s="237" t="s">
        <v>34</v>
      </c>
      <c r="C15" s="237" t="s">
        <v>57</v>
      </c>
      <c r="D15" s="237" t="s">
        <v>198</v>
      </c>
      <c r="E15" s="237" t="s">
        <v>105</v>
      </c>
      <c r="F15" s="237" t="s">
        <v>48</v>
      </c>
      <c r="G15" s="237"/>
      <c r="H15" s="237"/>
      <c r="I15" s="237"/>
      <c r="J15" s="237"/>
      <c r="K15" s="237"/>
      <c r="L15" s="237"/>
      <c r="M15" s="237"/>
      <c r="N15" s="237"/>
      <c r="U15" s="339" t="s">
        <v>4</v>
      </c>
      <c r="V15" s="340" t="s">
        <v>488</v>
      </c>
    </row>
    <row r="16" spans="1:37" ht="15.75" customHeight="1" x14ac:dyDescent="0.25">
      <c r="A16" s="237" t="s">
        <v>45</v>
      </c>
      <c r="B16" s="237" t="s">
        <v>198</v>
      </c>
      <c r="C16" s="237" t="s">
        <v>105</v>
      </c>
      <c r="D16" s="237" t="s">
        <v>34</v>
      </c>
      <c r="E16" s="237" t="s">
        <v>48</v>
      </c>
      <c r="F16" s="237" t="s">
        <v>57</v>
      </c>
      <c r="G16" s="237" t="s">
        <v>52</v>
      </c>
      <c r="H16" s="237"/>
      <c r="I16" s="237"/>
      <c r="J16" s="237"/>
      <c r="K16" s="237"/>
      <c r="L16" s="237"/>
      <c r="M16" s="237"/>
      <c r="N16" s="237"/>
      <c r="P16" t="s">
        <v>372</v>
      </c>
      <c r="Q16" t="s">
        <v>373</v>
      </c>
      <c r="U16" s="339" t="s">
        <v>5</v>
      </c>
      <c r="V16" s="340" t="s">
        <v>5</v>
      </c>
      <c r="AK16" t="str">
        <f>'Design HV &amp; WD'!A16</f>
        <v>MSB</v>
      </c>
    </row>
    <row r="17" spans="1:37" ht="15.75" customHeight="1" x14ac:dyDescent="0.25">
      <c r="A17" s="237" t="s">
        <v>46</v>
      </c>
      <c r="B17" s="237" t="s">
        <v>198</v>
      </c>
      <c r="C17" s="237" t="s">
        <v>105</v>
      </c>
      <c r="D17" s="237"/>
      <c r="E17" s="237"/>
      <c r="F17" s="237"/>
      <c r="G17" s="237"/>
      <c r="H17" s="237"/>
      <c r="I17" s="237"/>
      <c r="J17" s="237"/>
      <c r="K17" s="237"/>
      <c r="L17" s="237"/>
      <c r="M17" s="237"/>
      <c r="N17" s="237"/>
      <c r="P17" t="s">
        <v>374</v>
      </c>
      <c r="Q17" t="s">
        <v>375</v>
      </c>
      <c r="U17" s="339" t="s">
        <v>55</v>
      </c>
      <c r="V17" s="340" t="s">
        <v>489</v>
      </c>
      <c r="AK17" t="str">
        <f>'Design HV &amp; WD'!A17</f>
        <v>Meadow</v>
      </c>
    </row>
    <row r="18" spans="1:37" ht="15.75" customHeight="1" x14ac:dyDescent="0.25">
      <c r="A18" s="237" t="s">
        <v>47</v>
      </c>
      <c r="B18" s="237" t="s">
        <v>198</v>
      </c>
      <c r="C18" s="237" t="s">
        <v>105</v>
      </c>
      <c r="D18" s="237"/>
      <c r="E18" s="237"/>
      <c r="F18" s="237"/>
      <c r="G18" s="237"/>
      <c r="H18" s="237"/>
      <c r="I18" s="237"/>
      <c r="J18" s="237"/>
      <c r="K18" s="237"/>
      <c r="L18" s="237"/>
      <c r="M18" s="237"/>
      <c r="N18" s="237"/>
      <c r="U18" s="339" t="s">
        <v>490</v>
      </c>
      <c r="V18" s="340" t="s">
        <v>491</v>
      </c>
      <c r="AK18" t="str">
        <f>'Design HV &amp; WD'!A18</f>
        <v>MWF and MSB</v>
      </c>
    </row>
    <row r="19" spans="1:37" ht="15.75" customHeight="1" x14ac:dyDescent="0.25">
      <c r="A19" s="237" t="s">
        <v>50</v>
      </c>
      <c r="B19" s="237" t="s">
        <v>198</v>
      </c>
      <c r="C19" s="237" t="s">
        <v>105</v>
      </c>
      <c r="D19" s="237"/>
      <c r="E19" s="237"/>
      <c r="F19" s="237"/>
      <c r="G19" s="237"/>
      <c r="H19" s="237"/>
      <c r="I19" s="237"/>
      <c r="J19" s="237"/>
      <c r="K19" s="237"/>
      <c r="L19" s="237"/>
      <c r="M19" s="237"/>
      <c r="N19" s="237"/>
      <c r="P19" t="s">
        <v>376</v>
      </c>
      <c r="Q19" t="s">
        <v>375</v>
      </c>
      <c r="U19" s="339" t="s">
        <v>492</v>
      </c>
      <c r="V19" s="340" t="s">
        <v>493</v>
      </c>
      <c r="AK19" t="str">
        <f>'Design HV &amp; WD'!A19</f>
        <v>MSB and SNPL</v>
      </c>
    </row>
    <row r="20" spans="1:37" ht="15.75" customHeight="1" x14ac:dyDescent="0.25">
      <c r="A20" s="237" t="s">
        <v>51</v>
      </c>
      <c r="B20" s="237" t="s">
        <v>198</v>
      </c>
      <c r="C20" s="237" t="s">
        <v>105</v>
      </c>
      <c r="D20" s="237"/>
      <c r="E20" s="237"/>
      <c r="F20" s="237"/>
      <c r="G20" s="237"/>
      <c r="H20" s="237"/>
      <c r="I20" s="237"/>
      <c r="J20" s="237"/>
      <c r="K20" s="237"/>
      <c r="L20" s="237"/>
      <c r="M20" s="237"/>
      <c r="N20" s="237"/>
      <c r="P20" t="s">
        <v>377</v>
      </c>
      <c r="Q20" t="s">
        <v>375</v>
      </c>
      <c r="U20" s="339" t="s">
        <v>494</v>
      </c>
      <c r="V20" s="340" t="s">
        <v>495</v>
      </c>
      <c r="AK20" t="str">
        <f>'Design HV &amp; WD'!A20</f>
        <v>MSB and SNPL_gravel</v>
      </c>
    </row>
    <row r="21" spans="1:37" ht="15.75" customHeight="1" x14ac:dyDescent="0.25">
      <c r="A21" s="237" t="s">
        <v>53</v>
      </c>
      <c r="B21" s="237" t="s">
        <v>198</v>
      </c>
      <c r="C21" s="237" t="s">
        <v>105</v>
      </c>
      <c r="D21" s="237"/>
      <c r="E21" s="237"/>
      <c r="F21" s="237"/>
      <c r="G21" s="237"/>
      <c r="H21" s="237"/>
      <c r="I21" s="237"/>
      <c r="J21" s="237"/>
      <c r="K21" s="237"/>
      <c r="L21" s="237"/>
      <c r="M21" s="237"/>
      <c r="N21" s="237"/>
      <c r="P21" t="s">
        <v>53</v>
      </c>
      <c r="Q21" t="s">
        <v>375</v>
      </c>
      <c r="U21" s="339" t="s">
        <v>496</v>
      </c>
      <c r="V21" s="340" t="s">
        <v>497</v>
      </c>
      <c r="AK21" t="str">
        <f>'Design HV &amp; WD'!A21</f>
        <v>MSB and SNPL_gravel_MWF</v>
      </c>
    </row>
    <row r="22" spans="1:37" ht="15.75" customHeight="1" x14ac:dyDescent="0.25">
      <c r="A22" t="s">
        <v>60</v>
      </c>
      <c r="B22" s="237" t="s">
        <v>34</v>
      </c>
      <c r="C22" s="237" t="s">
        <v>57</v>
      </c>
      <c r="D22" s="237" t="s">
        <v>48</v>
      </c>
      <c r="E22" s="237" t="s">
        <v>52</v>
      </c>
      <c r="F22" s="237"/>
      <c r="G22" s="237"/>
      <c r="H22" s="237"/>
      <c r="I22" s="237"/>
      <c r="J22" s="237"/>
      <c r="K22" s="237"/>
      <c r="L22" s="237"/>
      <c r="M22" s="237"/>
      <c r="N22" s="237"/>
      <c r="P22" t="s">
        <v>378</v>
      </c>
      <c r="Q22" t="s">
        <v>379</v>
      </c>
      <c r="U22" s="339" t="s">
        <v>498</v>
      </c>
      <c r="V22" s="340" t="s">
        <v>499</v>
      </c>
      <c r="AK22" t="str">
        <f>'Design HV &amp; WD'!A22</f>
        <v>MWF and SNPL</v>
      </c>
    </row>
    <row r="23" spans="1:37" ht="15.75" customHeight="1" x14ac:dyDescent="0.25">
      <c r="A23" t="s">
        <v>61</v>
      </c>
      <c r="B23" s="237" t="s">
        <v>34</v>
      </c>
      <c r="C23" s="237" t="s">
        <v>57</v>
      </c>
      <c r="D23" s="237" t="s">
        <v>48</v>
      </c>
      <c r="E23" s="237" t="s">
        <v>52</v>
      </c>
      <c r="F23" s="237"/>
      <c r="G23" s="237"/>
      <c r="H23" s="237"/>
      <c r="I23" s="237"/>
      <c r="J23" s="237"/>
      <c r="K23" s="237"/>
      <c r="L23" s="237"/>
      <c r="M23" s="237"/>
      <c r="N23" s="237"/>
      <c r="U23" s="339" t="s">
        <v>500</v>
      </c>
      <c r="V23" s="340" t="s">
        <v>476</v>
      </c>
    </row>
    <row r="24" spans="1:37" ht="15.75" customHeight="1" x14ac:dyDescent="0.25">
      <c r="A24" t="s">
        <v>62</v>
      </c>
      <c r="B24" s="237" t="s">
        <v>34</v>
      </c>
      <c r="C24" s="237" t="s">
        <v>57</v>
      </c>
      <c r="D24" s="237" t="s">
        <v>48</v>
      </c>
      <c r="E24" s="237" t="s">
        <v>52</v>
      </c>
      <c r="F24" s="237"/>
      <c r="G24" s="237"/>
      <c r="H24" s="237"/>
      <c r="I24" s="237"/>
      <c r="J24" s="237"/>
      <c r="K24" s="237"/>
      <c r="L24" s="237"/>
      <c r="M24" s="237"/>
      <c r="N24" s="237"/>
      <c r="U24" s="339" t="s">
        <v>79</v>
      </c>
      <c r="V24" s="340" t="s">
        <v>501</v>
      </c>
    </row>
    <row r="25" spans="1:37" ht="15.75" customHeight="1" x14ac:dyDescent="0.25">
      <c r="A25" t="s">
        <v>63</v>
      </c>
      <c r="B25" s="237" t="s">
        <v>34</v>
      </c>
      <c r="C25" s="237" t="s">
        <v>57</v>
      </c>
      <c r="D25" s="237" t="s">
        <v>48</v>
      </c>
      <c r="E25" s="237" t="s">
        <v>52</v>
      </c>
      <c r="F25" s="237"/>
      <c r="G25" s="237"/>
      <c r="H25" s="237"/>
      <c r="I25" s="237"/>
      <c r="J25" s="237"/>
      <c r="K25" s="237"/>
      <c r="L25" s="237"/>
      <c r="M25" s="237"/>
      <c r="N25" s="237"/>
      <c r="U25" s="339" t="s">
        <v>502</v>
      </c>
      <c r="V25" s="340" t="s">
        <v>478</v>
      </c>
    </row>
    <row r="26" spans="1:37" ht="15.75" customHeight="1" x14ac:dyDescent="0.25">
      <c r="A26" t="s">
        <v>64</v>
      </c>
      <c r="B26" s="237" t="s">
        <v>34</v>
      </c>
      <c r="C26" s="237" t="s">
        <v>57</v>
      </c>
      <c r="D26" s="237" t="s">
        <v>48</v>
      </c>
      <c r="E26" s="237" t="s">
        <v>52</v>
      </c>
      <c r="F26" s="237"/>
      <c r="G26" s="237"/>
      <c r="H26" s="237"/>
      <c r="I26" s="237"/>
      <c r="J26" s="237"/>
      <c r="K26" s="237"/>
      <c r="L26" s="237"/>
      <c r="M26" s="237"/>
      <c r="N26" s="237"/>
      <c r="U26" s="339" t="s">
        <v>97</v>
      </c>
      <c r="V26" s="340" t="s">
        <v>503</v>
      </c>
    </row>
    <row r="27" spans="1:37" ht="15.75" customHeight="1" x14ac:dyDescent="0.25">
      <c r="A27" t="s">
        <v>58</v>
      </c>
      <c r="B27" s="237" t="s">
        <v>34</v>
      </c>
      <c r="C27" s="237" t="s">
        <v>57</v>
      </c>
      <c r="D27" s="237"/>
      <c r="E27" s="237"/>
      <c r="F27" s="237"/>
      <c r="G27" s="237"/>
      <c r="H27" s="237"/>
      <c r="I27" s="237"/>
      <c r="J27" s="237"/>
      <c r="K27" s="237"/>
      <c r="L27" s="237"/>
      <c r="M27" s="237"/>
      <c r="N27" s="237"/>
      <c r="P27" t="s">
        <v>380</v>
      </c>
      <c r="Q27" t="s">
        <v>381</v>
      </c>
      <c r="U27" s="339" t="s">
        <v>34</v>
      </c>
      <c r="V27" s="340" t="s">
        <v>34</v>
      </c>
      <c r="AK27" t="str">
        <f>'Design HV &amp; WD'!A23</f>
        <v>MWF and SNPL_with gravel</v>
      </c>
    </row>
    <row r="28" spans="1:37" ht="15.75" customHeight="1" x14ac:dyDescent="0.25">
      <c r="A28" t="s">
        <v>59</v>
      </c>
      <c r="B28" s="237" t="s">
        <v>34</v>
      </c>
      <c r="C28" s="237" t="s">
        <v>57</v>
      </c>
      <c r="D28" s="237"/>
      <c r="E28" s="237"/>
      <c r="F28" s="237"/>
      <c r="G28" s="237"/>
      <c r="H28" s="237"/>
      <c r="I28" s="237"/>
      <c r="J28" s="237"/>
      <c r="K28" s="237"/>
      <c r="L28" s="237"/>
      <c r="M28" s="237"/>
      <c r="N28" s="237"/>
      <c r="P28" t="s">
        <v>382</v>
      </c>
      <c r="Q28" t="s">
        <v>381</v>
      </c>
      <c r="U28" s="339" t="s">
        <v>57</v>
      </c>
      <c r="V28" s="340" t="s">
        <v>57</v>
      </c>
      <c r="AK28" t="str">
        <f>'Design HV &amp; WD'!A24</f>
        <v>DWM_Dust Control</v>
      </c>
    </row>
    <row r="29" spans="1:37" ht="15.75" customHeight="1" x14ac:dyDescent="0.25">
      <c r="A29" t="s">
        <v>69</v>
      </c>
      <c r="B29" s="237" t="s">
        <v>198</v>
      </c>
      <c r="C29" s="237" t="s">
        <v>105</v>
      </c>
      <c r="D29" s="237"/>
      <c r="E29" s="237"/>
      <c r="F29" s="237"/>
      <c r="G29" s="237"/>
      <c r="H29" s="237"/>
      <c r="I29" s="237"/>
      <c r="J29" s="237"/>
      <c r="K29" s="237"/>
      <c r="L29" s="237"/>
      <c r="M29" s="237"/>
      <c r="N29" s="237"/>
      <c r="P29" t="s">
        <v>383</v>
      </c>
      <c r="Q29" t="s">
        <v>375</v>
      </c>
      <c r="U29" s="339" t="s">
        <v>354</v>
      </c>
      <c r="V29" s="340" t="s">
        <v>354</v>
      </c>
      <c r="AK29" t="str">
        <f>'Design HV &amp; WD'!A25</f>
        <v>DWM_Plovers</v>
      </c>
    </row>
    <row r="30" spans="1:37" ht="15.75" customHeight="1" x14ac:dyDescent="0.25">
      <c r="A30" t="s">
        <v>70</v>
      </c>
      <c r="B30" s="237" t="s">
        <v>198</v>
      </c>
      <c r="C30" s="237" t="s">
        <v>105</v>
      </c>
      <c r="D30" s="237"/>
      <c r="E30" s="237"/>
      <c r="F30" s="237"/>
      <c r="G30" s="237"/>
      <c r="H30" s="237"/>
      <c r="I30" s="237"/>
      <c r="J30" s="237"/>
      <c r="K30" s="237"/>
      <c r="L30" s="237"/>
      <c r="M30" s="237"/>
      <c r="N30" s="237"/>
      <c r="U30" s="339" t="s">
        <v>87</v>
      </c>
      <c r="V30" s="340" t="s">
        <v>87</v>
      </c>
    </row>
    <row r="31" spans="1:37" ht="15.75" customHeight="1" x14ac:dyDescent="0.25">
      <c r="A31" t="s">
        <v>71</v>
      </c>
      <c r="B31" s="237" t="s">
        <v>198</v>
      </c>
      <c r="C31" s="237" t="s">
        <v>105</v>
      </c>
      <c r="D31" s="237"/>
      <c r="E31" s="237"/>
      <c r="F31" s="237"/>
      <c r="G31" s="237"/>
      <c r="H31" s="237"/>
      <c r="I31" s="237"/>
      <c r="J31" s="237"/>
      <c r="K31" s="237"/>
      <c r="L31" s="237"/>
      <c r="M31" s="237"/>
      <c r="N31" s="237"/>
      <c r="U31" s="339" t="s">
        <v>52</v>
      </c>
      <c r="V31" s="340" t="s">
        <v>52</v>
      </c>
    </row>
    <row r="32" spans="1:37" ht="15.75" customHeight="1" x14ac:dyDescent="0.25">
      <c r="A32" t="s">
        <v>72</v>
      </c>
      <c r="B32" s="237" t="s">
        <v>198</v>
      </c>
      <c r="C32" s="237" t="s">
        <v>105</v>
      </c>
      <c r="D32" s="237"/>
      <c r="E32" s="237"/>
      <c r="F32" s="237"/>
      <c r="G32" s="237"/>
      <c r="H32" s="237"/>
      <c r="I32" s="237"/>
      <c r="J32" s="237"/>
      <c r="K32" s="237"/>
      <c r="L32" s="237"/>
      <c r="M32" s="237"/>
      <c r="N32" s="237"/>
      <c r="U32" s="339" t="s">
        <v>157</v>
      </c>
      <c r="V32" s="340" t="s">
        <v>157</v>
      </c>
    </row>
    <row r="33" spans="1:37" ht="15.75" customHeight="1" x14ac:dyDescent="0.25">
      <c r="A33" t="s">
        <v>73</v>
      </c>
      <c r="B33" s="237" t="s">
        <v>198</v>
      </c>
      <c r="C33" s="237" t="s">
        <v>105</v>
      </c>
      <c r="D33" s="237"/>
      <c r="E33" s="237"/>
      <c r="F33" s="237"/>
      <c r="G33" s="237"/>
      <c r="H33" s="237"/>
      <c r="I33" s="237"/>
      <c r="J33" s="237"/>
      <c r="K33" s="237"/>
      <c r="L33" s="237"/>
      <c r="M33" s="237"/>
      <c r="N33" s="237"/>
    </row>
    <row r="34" spans="1:37" ht="15.75" customHeight="1" x14ac:dyDescent="0.25">
      <c r="A34" t="s">
        <v>74</v>
      </c>
      <c r="B34" s="237" t="s">
        <v>198</v>
      </c>
      <c r="C34" s="237" t="s">
        <v>105</v>
      </c>
      <c r="D34" s="237"/>
      <c r="E34" s="237"/>
      <c r="F34" s="237"/>
      <c r="G34" s="237"/>
      <c r="H34" s="237"/>
      <c r="I34" s="237"/>
      <c r="J34" s="237"/>
      <c r="K34" s="237"/>
      <c r="L34" s="237"/>
      <c r="M34" s="237"/>
      <c r="N34" s="237"/>
    </row>
    <row r="35" spans="1:37" ht="15.75" customHeight="1" x14ac:dyDescent="0.25">
      <c r="A35" t="s">
        <v>75</v>
      </c>
      <c r="B35" s="237" t="s">
        <v>198</v>
      </c>
      <c r="C35" s="237" t="s">
        <v>105</v>
      </c>
      <c r="D35" s="237"/>
      <c r="E35" s="237"/>
      <c r="F35" s="237"/>
      <c r="G35" s="237"/>
      <c r="H35" s="237"/>
      <c r="I35" s="237"/>
      <c r="J35" s="237"/>
      <c r="K35" s="237"/>
      <c r="L35" s="237"/>
      <c r="M35" s="237"/>
      <c r="N35" s="237"/>
    </row>
    <row r="36" spans="1:37" ht="15.75" customHeight="1" x14ac:dyDescent="0.25">
      <c r="A36" t="s">
        <v>76</v>
      </c>
      <c r="B36" s="237" t="s">
        <v>198</v>
      </c>
      <c r="C36" s="237" t="s">
        <v>105</v>
      </c>
      <c r="D36" s="237"/>
      <c r="E36" s="237"/>
      <c r="F36" s="237"/>
      <c r="G36" s="237"/>
      <c r="H36" s="237"/>
      <c r="I36" s="237"/>
      <c r="J36" s="237"/>
      <c r="K36" s="237"/>
      <c r="L36" s="237"/>
      <c r="M36" s="237"/>
      <c r="N36" s="237"/>
    </row>
    <row r="37" spans="1:37" ht="15.75" customHeight="1" x14ac:dyDescent="0.25">
      <c r="A37" t="s">
        <v>77</v>
      </c>
      <c r="B37" s="237" t="s">
        <v>198</v>
      </c>
      <c r="C37" s="237" t="s">
        <v>105</v>
      </c>
      <c r="D37" s="237"/>
      <c r="E37" s="237"/>
      <c r="F37" s="237"/>
      <c r="G37" s="237"/>
      <c r="H37" s="237"/>
      <c r="I37" s="237"/>
      <c r="J37" s="237"/>
      <c r="K37" s="237"/>
      <c r="L37" s="237"/>
      <c r="M37" s="237"/>
      <c r="N37" s="237"/>
    </row>
    <row r="38" spans="1:37" ht="15.75" customHeight="1" x14ac:dyDescent="0.25">
      <c r="A38" s="237" t="s">
        <v>78</v>
      </c>
      <c r="B38" s="237" t="s">
        <v>48</v>
      </c>
      <c r="C38" s="237" t="s">
        <v>34</v>
      </c>
      <c r="D38" s="237" t="s">
        <v>57</v>
      </c>
      <c r="E38" s="237" t="s">
        <v>52</v>
      </c>
      <c r="F38" s="237" t="s">
        <v>198</v>
      </c>
      <c r="G38" s="237" t="s">
        <v>105</v>
      </c>
      <c r="H38" s="237"/>
      <c r="I38" s="237"/>
      <c r="J38" s="237"/>
      <c r="K38" s="237"/>
      <c r="L38" s="237"/>
      <c r="M38" s="237"/>
      <c r="N38" s="237"/>
      <c r="P38" t="s">
        <v>384</v>
      </c>
      <c r="Q38" t="s">
        <v>385</v>
      </c>
      <c r="AK38" t="str">
        <f>'Design HV &amp; WD'!A26</f>
        <v>DWM_Spring_only</v>
      </c>
    </row>
    <row r="39" spans="1:37" ht="15.75" customHeight="1" x14ac:dyDescent="0.25">
      <c r="A39" s="237" t="s">
        <v>80</v>
      </c>
      <c r="B39" s="237" t="s">
        <v>48</v>
      </c>
      <c r="C39" s="237" t="s">
        <v>34</v>
      </c>
      <c r="D39" s="237" t="s">
        <v>57</v>
      </c>
      <c r="E39" s="237" t="s">
        <v>52</v>
      </c>
      <c r="F39" s="237" t="s">
        <v>198</v>
      </c>
      <c r="G39" s="237" t="s">
        <v>105</v>
      </c>
      <c r="H39" s="237"/>
      <c r="I39" s="237"/>
      <c r="J39" s="237"/>
      <c r="K39" s="237"/>
      <c r="L39" s="237"/>
      <c r="M39" s="237"/>
      <c r="N39" s="237"/>
      <c r="AK39" t="str">
        <f>'Design HV &amp; WD'!A27</f>
        <v>SFLS</v>
      </c>
    </row>
    <row r="40" spans="1:37" ht="15.75" customHeight="1" x14ac:dyDescent="0.25">
      <c r="A40" t="s">
        <v>84</v>
      </c>
      <c r="B40" s="237" t="s">
        <v>198</v>
      </c>
      <c r="C40" s="237" t="s">
        <v>105</v>
      </c>
      <c r="D40" s="237" t="s">
        <v>34</v>
      </c>
      <c r="E40" s="237"/>
      <c r="F40" s="237"/>
      <c r="G40" s="237"/>
      <c r="H40" s="237"/>
      <c r="I40" s="237"/>
      <c r="J40" s="237"/>
      <c r="K40" s="237"/>
      <c r="L40" s="237"/>
      <c r="M40" s="237"/>
      <c r="N40" s="237"/>
      <c r="P40" t="s">
        <v>386</v>
      </c>
      <c r="Q40" t="s">
        <v>387</v>
      </c>
      <c r="AK40" t="str">
        <f>'Design HV &amp; WD'!A28</f>
        <v>Gravel</v>
      </c>
    </row>
    <row r="41" spans="1:37" ht="15.75" customHeight="1" x14ac:dyDescent="0.25">
      <c r="A41" t="s">
        <v>85</v>
      </c>
      <c r="B41" s="237" t="s">
        <v>198</v>
      </c>
      <c r="C41" s="237" t="s">
        <v>105</v>
      </c>
      <c r="D41" s="237" t="s">
        <v>34</v>
      </c>
      <c r="E41" s="237"/>
      <c r="F41" s="237"/>
      <c r="G41" s="237"/>
      <c r="H41" s="237"/>
      <c r="I41" s="237"/>
      <c r="J41" s="237"/>
      <c r="K41" s="237"/>
      <c r="L41" s="237"/>
      <c r="M41" s="237"/>
      <c r="N41" s="237"/>
    </row>
    <row r="42" spans="1:37" ht="15.75" customHeight="1" x14ac:dyDescent="0.25">
      <c r="A42" s="237" t="s">
        <v>96</v>
      </c>
      <c r="B42" s="237" t="s">
        <v>198</v>
      </c>
      <c r="C42" s="237" t="s">
        <v>105</v>
      </c>
      <c r="D42" s="237"/>
      <c r="E42" s="237"/>
      <c r="F42" s="237"/>
      <c r="G42" s="237"/>
      <c r="H42" s="237"/>
      <c r="I42" s="237"/>
      <c r="J42" s="237"/>
      <c r="K42" s="237"/>
      <c r="L42" s="237"/>
      <c r="M42" s="237"/>
      <c r="N42" s="237"/>
      <c r="P42" t="s">
        <v>96</v>
      </c>
      <c r="Q42" t="s">
        <v>388</v>
      </c>
      <c r="AK42" t="str">
        <f>'Design HV &amp; WD'!A29</f>
        <v>Tillage</v>
      </c>
    </row>
    <row r="43" spans="1:37" ht="15.75" customHeight="1" x14ac:dyDescent="0.25">
      <c r="A43" s="237" t="s">
        <v>113</v>
      </c>
      <c r="B43" s="237" t="s">
        <v>198</v>
      </c>
      <c r="C43" s="237" t="s">
        <v>105</v>
      </c>
      <c r="D43" s="237" t="s">
        <v>57</v>
      </c>
      <c r="E43" s="237"/>
      <c r="F43" s="237"/>
      <c r="G43" s="237"/>
      <c r="H43" s="237"/>
      <c r="I43" s="237"/>
      <c r="J43" s="237"/>
      <c r="K43" s="237"/>
      <c r="L43" s="237"/>
      <c r="M43" s="237"/>
      <c r="N43" s="237"/>
      <c r="P43" t="s">
        <v>113</v>
      </c>
      <c r="Q43" t="s">
        <v>375</v>
      </c>
      <c r="AK43" t="str">
        <f>'Design HV &amp; WD'!A30</f>
        <v>Till-Brine</v>
      </c>
    </row>
    <row r="44" spans="1:37" ht="15.75" customHeight="1" x14ac:dyDescent="0.25">
      <c r="A44" t="s">
        <v>114</v>
      </c>
      <c r="B44" s="237" t="s">
        <v>198</v>
      </c>
      <c r="C44" s="237" t="s">
        <v>105</v>
      </c>
      <c r="D44" s="237"/>
      <c r="E44" s="237"/>
      <c r="F44" s="237"/>
      <c r="G44" s="237"/>
      <c r="H44" s="237"/>
      <c r="I44" s="237"/>
      <c r="J44" s="237"/>
      <c r="K44" s="237"/>
      <c r="L44" s="237"/>
      <c r="M44" s="237"/>
      <c r="N44" s="237"/>
      <c r="P44" t="s">
        <v>389</v>
      </c>
      <c r="Q44" t="s">
        <v>375</v>
      </c>
      <c r="AK44" t="str">
        <f>'Design HV &amp; WD'!A31</f>
        <v>Sand Fences</v>
      </c>
    </row>
    <row r="45" spans="1:37" ht="15.75" customHeight="1" x14ac:dyDescent="0.25">
      <c r="A45" t="s">
        <v>115</v>
      </c>
      <c r="B45" s="237" t="s">
        <v>198</v>
      </c>
      <c r="C45" s="237" t="s">
        <v>105</v>
      </c>
      <c r="D45" s="237"/>
      <c r="E45" s="237"/>
      <c r="F45" s="237"/>
      <c r="G45" s="237"/>
      <c r="H45" s="237"/>
      <c r="I45" s="237"/>
      <c r="J45" s="237"/>
      <c r="K45" s="237"/>
      <c r="L45" s="237"/>
      <c r="M45" s="237"/>
      <c r="N45" s="237"/>
    </row>
    <row r="46" spans="1:37" ht="15.75" customHeight="1" x14ac:dyDescent="0.25">
      <c r="A46" t="s">
        <v>116</v>
      </c>
      <c r="B46" s="237" t="s">
        <v>198</v>
      </c>
      <c r="C46" s="237" t="s">
        <v>105</v>
      </c>
      <c r="D46" s="237"/>
      <c r="E46" s="237"/>
      <c r="F46" s="237"/>
      <c r="G46" s="237"/>
      <c r="H46" s="237"/>
      <c r="I46" s="237"/>
      <c r="J46" s="237"/>
      <c r="K46" s="237"/>
      <c r="L46" s="237"/>
      <c r="M46" s="237"/>
      <c r="N46" s="237"/>
    </row>
    <row r="47" spans="1:37" ht="15.75" customHeight="1" x14ac:dyDescent="0.25">
      <c r="A47" t="s">
        <v>117</v>
      </c>
      <c r="B47" s="237" t="s">
        <v>198</v>
      </c>
      <c r="C47" s="237" t="s">
        <v>105</v>
      </c>
      <c r="D47" s="237"/>
      <c r="E47" s="237"/>
      <c r="F47" s="237"/>
      <c r="G47" s="237"/>
      <c r="H47" s="237"/>
      <c r="I47" s="237"/>
      <c r="J47" s="237"/>
      <c r="K47" s="237"/>
      <c r="L47" s="237"/>
      <c r="M47" s="237"/>
      <c r="N47" s="237"/>
    </row>
    <row r="48" spans="1:37" ht="15.75" customHeight="1" x14ac:dyDescent="0.25">
      <c r="A48" t="s">
        <v>118</v>
      </c>
      <c r="B48" s="237" t="s">
        <v>198</v>
      </c>
      <c r="C48" s="237" t="s">
        <v>105</v>
      </c>
      <c r="D48" s="237"/>
      <c r="E48" s="237"/>
      <c r="F48" s="237"/>
      <c r="G48" s="237"/>
      <c r="H48" s="237"/>
      <c r="I48" s="237"/>
      <c r="J48" s="237"/>
      <c r="K48" s="237"/>
      <c r="L48" s="237"/>
      <c r="M48" s="237"/>
      <c r="N48" s="237"/>
    </row>
    <row r="49" spans="1:37" ht="15.75" customHeight="1" x14ac:dyDescent="0.25">
      <c r="A49" t="s">
        <v>119</v>
      </c>
      <c r="B49" s="237" t="s">
        <v>198</v>
      </c>
      <c r="C49" s="237" t="s">
        <v>105</v>
      </c>
      <c r="D49" s="237"/>
      <c r="E49" s="237"/>
      <c r="F49" s="237"/>
      <c r="G49" s="237"/>
      <c r="H49" s="237"/>
      <c r="I49" s="237"/>
      <c r="J49" s="237"/>
      <c r="K49" s="237"/>
      <c r="L49" s="237"/>
      <c r="M49" s="237"/>
      <c r="N49" s="237"/>
      <c r="P49" t="s">
        <v>390</v>
      </c>
      <c r="Q49" t="s">
        <v>375</v>
      </c>
      <c r="AK49" t="str">
        <f>'Design HV &amp; WD'!A32</f>
        <v>Brine</v>
      </c>
    </row>
    <row r="50" spans="1:37" ht="15.75" customHeight="1" x14ac:dyDescent="0.25">
      <c r="A50" s="237" t="s">
        <v>120</v>
      </c>
      <c r="B50" s="237" t="s">
        <v>198</v>
      </c>
      <c r="C50" s="237" t="s">
        <v>105</v>
      </c>
      <c r="D50" s="237"/>
      <c r="E50" s="237"/>
      <c r="F50" s="237"/>
      <c r="G50" s="237"/>
      <c r="H50" s="237"/>
      <c r="I50" s="237"/>
      <c r="J50" s="237"/>
      <c r="K50" s="237"/>
      <c r="L50" s="237"/>
      <c r="M50" s="237"/>
      <c r="N50" s="237"/>
      <c r="AK50" t="str">
        <f>'Design HV &amp; WD'!A33</f>
        <v>Breeding Waterfowl &amp; Meadow</v>
      </c>
    </row>
    <row r="51" spans="1:37" ht="15.75" customHeight="1" x14ac:dyDescent="0.25">
      <c r="A51" s="237" t="s">
        <v>121</v>
      </c>
      <c r="B51" s="237" t="s">
        <v>198</v>
      </c>
      <c r="C51" s="237" t="s">
        <v>105</v>
      </c>
      <c r="D51" s="237"/>
      <c r="E51" s="237"/>
      <c r="F51" s="237"/>
      <c r="G51" s="237"/>
      <c r="H51" s="237"/>
      <c r="I51" s="237"/>
      <c r="J51" s="237"/>
      <c r="K51" s="237"/>
      <c r="L51" s="237"/>
      <c r="M51" s="237"/>
      <c r="N51" s="237"/>
      <c r="AK51" t="str">
        <f>'Design HV &amp; WD'!A34</f>
        <v>None</v>
      </c>
    </row>
    <row r="52" spans="1:37" ht="15.75" customHeight="1" x14ac:dyDescent="0.25">
      <c r="A52" t="s">
        <v>124</v>
      </c>
      <c r="B52" s="237" t="s">
        <v>198</v>
      </c>
      <c r="C52" s="237" t="s">
        <v>105</v>
      </c>
      <c r="D52" s="237"/>
      <c r="E52" s="237"/>
      <c r="F52" s="237"/>
      <c r="G52" s="237"/>
      <c r="H52" s="237"/>
      <c r="I52" s="237"/>
      <c r="J52" s="237"/>
      <c r="K52" s="237"/>
      <c r="L52" s="237"/>
      <c r="M52" s="237"/>
      <c r="N52" s="237"/>
      <c r="P52" t="s">
        <v>391</v>
      </c>
      <c r="Q52" t="s">
        <v>388</v>
      </c>
    </row>
    <row r="53" spans="1:37" ht="15.75" customHeight="1" x14ac:dyDescent="0.25">
      <c r="A53" t="s">
        <v>125</v>
      </c>
      <c r="B53" s="237" t="s">
        <v>198</v>
      </c>
      <c r="C53" s="237" t="s">
        <v>105</v>
      </c>
      <c r="D53" s="237"/>
      <c r="E53" s="237"/>
      <c r="F53" s="237"/>
      <c r="G53" s="237"/>
      <c r="H53" s="237"/>
      <c r="I53" s="237"/>
      <c r="J53" s="237"/>
      <c r="K53" s="237"/>
      <c r="L53" s="237"/>
      <c r="M53" s="237"/>
      <c r="N53" s="237"/>
    </row>
    <row r="54" spans="1:37" ht="15.75" customHeight="1" x14ac:dyDescent="0.25">
      <c r="A54" t="s">
        <v>126</v>
      </c>
      <c r="B54" s="237" t="s">
        <v>198</v>
      </c>
      <c r="C54" s="237" t="s">
        <v>105</v>
      </c>
      <c r="D54" s="237"/>
      <c r="E54" s="237"/>
      <c r="F54" s="237"/>
      <c r="G54" s="237"/>
      <c r="H54" s="237"/>
      <c r="I54" s="237"/>
      <c r="J54" s="237"/>
      <c r="K54" s="237"/>
      <c r="L54" s="237"/>
      <c r="M54" s="237"/>
      <c r="N54" s="237"/>
    </row>
    <row r="55" spans="1:37" ht="15.75" customHeight="1" x14ac:dyDescent="0.25">
      <c r="A55" s="237" t="s">
        <v>128</v>
      </c>
      <c r="B55" s="237" t="s">
        <v>198</v>
      </c>
      <c r="C55" s="237" t="s">
        <v>105</v>
      </c>
      <c r="D55" s="237" t="s">
        <v>57</v>
      </c>
      <c r="E55" s="237"/>
      <c r="F55" s="237"/>
      <c r="G55" s="237"/>
      <c r="H55" s="237"/>
      <c r="I55" s="237"/>
      <c r="J55" s="237"/>
      <c r="K55" s="237"/>
      <c r="L55" s="237"/>
      <c r="M55" s="237"/>
      <c r="N55" s="237"/>
      <c r="P55" t="s">
        <v>128</v>
      </c>
      <c r="Q55" t="s">
        <v>392</v>
      </c>
    </row>
    <row r="56" spans="1:37" ht="15.75" customHeight="1" x14ac:dyDescent="0.25">
      <c r="A56" s="237" t="s">
        <v>129</v>
      </c>
      <c r="B56" s="237" t="s">
        <v>198</v>
      </c>
      <c r="C56" s="237" t="s">
        <v>105</v>
      </c>
      <c r="D56" s="237"/>
      <c r="E56" s="237"/>
      <c r="F56" s="237"/>
      <c r="G56" s="237"/>
      <c r="H56" s="237"/>
      <c r="I56" s="237"/>
      <c r="J56" s="237"/>
      <c r="K56" s="237"/>
      <c r="L56" s="237"/>
      <c r="M56" s="237"/>
      <c r="N56" s="237"/>
      <c r="P56" t="s">
        <v>129</v>
      </c>
      <c r="Q56" t="s">
        <v>375</v>
      </c>
    </row>
    <row r="57" spans="1:37" ht="15.75" customHeight="1" x14ac:dyDescent="0.25">
      <c r="A57" s="237" t="s">
        <v>130</v>
      </c>
      <c r="B57" s="237" t="s">
        <v>198</v>
      </c>
      <c r="C57" s="237" t="s">
        <v>105</v>
      </c>
      <c r="D57" s="237"/>
      <c r="E57" s="237"/>
      <c r="F57" s="237"/>
      <c r="G57" s="237"/>
      <c r="H57" s="237"/>
      <c r="I57" s="237"/>
      <c r="J57" s="237"/>
      <c r="K57" s="237"/>
      <c r="L57" s="237"/>
      <c r="M57" s="237"/>
      <c r="N57" s="237"/>
      <c r="P57" t="s">
        <v>393</v>
      </c>
      <c r="Q57" t="s">
        <v>375</v>
      </c>
    </row>
    <row r="58" spans="1:37" ht="15.75" customHeight="1" x14ac:dyDescent="0.25">
      <c r="A58" s="237" t="s">
        <v>131</v>
      </c>
      <c r="B58" s="237" t="s">
        <v>198</v>
      </c>
      <c r="C58" s="237" t="s">
        <v>105</v>
      </c>
      <c r="D58" s="237"/>
      <c r="E58" s="237"/>
      <c r="F58" s="237"/>
      <c r="G58" s="237"/>
      <c r="H58" s="237"/>
      <c r="I58" s="237"/>
      <c r="J58" s="237"/>
      <c r="K58" s="237"/>
      <c r="L58" s="237"/>
      <c r="M58" s="237"/>
      <c r="N58" s="237"/>
    </row>
    <row r="59" spans="1:37" ht="15.75" customHeight="1" x14ac:dyDescent="0.25">
      <c r="A59" t="s">
        <v>132</v>
      </c>
      <c r="B59" s="237" t="s">
        <v>57</v>
      </c>
      <c r="C59" s="237"/>
      <c r="D59" s="237"/>
      <c r="E59" s="237"/>
      <c r="F59" s="237"/>
      <c r="G59" s="237"/>
      <c r="H59" s="237"/>
      <c r="I59" s="237"/>
      <c r="J59" s="237"/>
      <c r="K59" s="237"/>
      <c r="L59" s="237"/>
      <c r="M59" s="237"/>
      <c r="N59" s="237"/>
      <c r="P59" t="s">
        <v>394</v>
      </c>
      <c r="Q59" t="s">
        <v>395</v>
      </c>
    </row>
    <row r="60" spans="1:37" ht="15.75" customHeight="1" x14ac:dyDescent="0.25">
      <c r="A60" t="s">
        <v>133</v>
      </c>
      <c r="B60" s="237" t="s">
        <v>57</v>
      </c>
      <c r="C60" s="237"/>
      <c r="D60" s="237"/>
      <c r="E60" s="237"/>
      <c r="F60" s="237"/>
      <c r="G60" s="237"/>
      <c r="H60" s="237"/>
      <c r="I60" s="237"/>
      <c r="J60" s="237"/>
      <c r="K60" s="237"/>
      <c r="L60" s="237"/>
      <c r="M60" s="237"/>
      <c r="N60" s="237"/>
    </row>
    <row r="61" spans="1:37" ht="15.75" customHeight="1" x14ac:dyDescent="0.25">
      <c r="A61" s="237" t="s">
        <v>134</v>
      </c>
      <c r="B61" s="237" t="s">
        <v>198</v>
      </c>
      <c r="C61" s="237" t="s">
        <v>105</v>
      </c>
      <c r="D61" s="237" t="s">
        <v>48</v>
      </c>
      <c r="E61" s="237" t="s">
        <v>57</v>
      </c>
      <c r="F61" s="237" t="s">
        <v>34</v>
      </c>
      <c r="G61" s="237" t="s">
        <v>97</v>
      </c>
      <c r="H61" s="237"/>
      <c r="I61" s="237"/>
      <c r="J61" s="237"/>
      <c r="K61" s="237"/>
      <c r="L61" s="237"/>
      <c r="M61" s="237"/>
      <c r="N61" s="237"/>
      <c r="P61" t="s">
        <v>396</v>
      </c>
      <c r="Q61" t="s">
        <v>397</v>
      </c>
    </row>
    <row r="62" spans="1:37" ht="15.75" customHeight="1" x14ac:dyDescent="0.25">
      <c r="A62" s="237" t="s">
        <v>135</v>
      </c>
      <c r="B62" s="237" t="s">
        <v>198</v>
      </c>
      <c r="C62" s="237" t="s">
        <v>105</v>
      </c>
      <c r="D62" s="237"/>
      <c r="E62" s="237"/>
      <c r="F62" s="237"/>
      <c r="G62" s="237"/>
      <c r="H62" s="237"/>
      <c r="I62" s="237"/>
      <c r="J62" s="237"/>
      <c r="K62" s="237"/>
      <c r="L62" s="237"/>
      <c r="M62" s="237"/>
      <c r="N62" s="237"/>
      <c r="P62" t="s">
        <v>398</v>
      </c>
      <c r="Q62" t="s">
        <v>375</v>
      </c>
    </row>
    <row r="63" spans="1:37" ht="15.75" customHeight="1" x14ac:dyDescent="0.25">
      <c r="A63" s="237" t="s">
        <v>136</v>
      </c>
      <c r="B63" s="237" t="s">
        <v>198</v>
      </c>
      <c r="C63" s="237" t="s">
        <v>105</v>
      </c>
      <c r="D63" s="237"/>
      <c r="E63" s="237"/>
      <c r="F63" s="237"/>
      <c r="G63" s="237"/>
      <c r="H63" s="237"/>
      <c r="I63" s="237"/>
      <c r="J63" s="237"/>
      <c r="K63" s="237"/>
      <c r="L63" s="237"/>
      <c r="M63" s="237"/>
      <c r="N63" s="237"/>
    </row>
    <row r="64" spans="1:37" ht="15.75" customHeight="1" x14ac:dyDescent="0.25">
      <c r="A64" t="s">
        <v>137</v>
      </c>
      <c r="B64" s="237" t="s">
        <v>57</v>
      </c>
      <c r="C64" s="237"/>
      <c r="D64" s="237"/>
      <c r="E64" s="237"/>
      <c r="F64" s="237"/>
      <c r="G64" s="237"/>
      <c r="H64" s="237"/>
      <c r="I64" s="237"/>
      <c r="J64" s="237"/>
      <c r="K64" s="237"/>
      <c r="L64" s="237"/>
      <c r="M64" s="237"/>
      <c r="N64" s="237"/>
      <c r="P64" t="s">
        <v>399</v>
      </c>
      <c r="Q64" t="s">
        <v>395</v>
      </c>
    </row>
    <row r="65" spans="1:17" ht="15.75" customHeight="1" x14ac:dyDescent="0.25">
      <c r="A65" t="s">
        <v>138</v>
      </c>
      <c r="B65" s="237" t="s">
        <v>57</v>
      </c>
      <c r="C65" s="237"/>
      <c r="D65" s="237"/>
      <c r="E65" s="237"/>
      <c r="F65" s="237"/>
      <c r="G65" s="237"/>
      <c r="H65" s="237"/>
      <c r="I65" s="237"/>
      <c r="J65" s="237"/>
      <c r="K65" s="237"/>
      <c r="L65" s="237"/>
      <c r="M65" s="237"/>
      <c r="N65" s="237"/>
    </row>
    <row r="66" spans="1:17" ht="15.75" customHeight="1" x14ac:dyDescent="0.25">
      <c r="A66" t="s">
        <v>139</v>
      </c>
      <c r="B66" s="237" t="s">
        <v>57</v>
      </c>
      <c r="C66" s="237"/>
      <c r="D66" s="237"/>
      <c r="E66" s="237"/>
      <c r="F66" s="237"/>
      <c r="G66" s="237"/>
      <c r="H66" s="237"/>
      <c r="I66" s="237"/>
      <c r="J66" s="237"/>
      <c r="K66" s="237"/>
      <c r="L66" s="237"/>
      <c r="M66" s="237"/>
      <c r="N66" s="237"/>
    </row>
    <row r="67" spans="1:17" ht="15.75" customHeight="1" x14ac:dyDescent="0.25">
      <c r="A67" t="s">
        <v>140</v>
      </c>
      <c r="B67" s="237" t="s">
        <v>57</v>
      </c>
      <c r="C67" s="237"/>
      <c r="D67" s="237"/>
      <c r="E67" s="237"/>
      <c r="F67" s="237"/>
      <c r="G67" s="237"/>
      <c r="H67" s="237"/>
      <c r="I67" s="237"/>
      <c r="J67" s="237"/>
      <c r="K67" s="237"/>
      <c r="L67" s="237"/>
      <c r="M67" s="237"/>
      <c r="N67" s="237"/>
    </row>
    <row r="68" spans="1:17" ht="15.75" customHeight="1" x14ac:dyDescent="0.25">
      <c r="A68" t="s">
        <v>141</v>
      </c>
      <c r="B68" s="237" t="s">
        <v>57</v>
      </c>
      <c r="C68" s="237"/>
      <c r="D68" s="237"/>
      <c r="E68" s="237"/>
      <c r="F68" s="237"/>
      <c r="G68" s="237"/>
      <c r="H68" s="237"/>
      <c r="I68" s="237"/>
      <c r="J68" s="237"/>
      <c r="K68" s="237"/>
      <c r="L68" s="237"/>
      <c r="M68" s="237"/>
      <c r="N68" s="237"/>
    </row>
    <row r="69" spans="1:17" ht="15.75" customHeight="1" x14ac:dyDescent="0.25">
      <c r="A69" t="s">
        <v>142</v>
      </c>
      <c r="B69" s="237" t="s">
        <v>57</v>
      </c>
      <c r="C69" s="237"/>
      <c r="D69" s="237"/>
      <c r="E69" s="237"/>
      <c r="F69" s="237"/>
      <c r="G69" s="237"/>
      <c r="H69" s="237"/>
      <c r="I69" s="237"/>
      <c r="J69" s="237"/>
      <c r="K69" s="237"/>
      <c r="L69" s="237"/>
      <c r="M69" s="237"/>
      <c r="N69" s="237"/>
    </row>
    <row r="70" spans="1:17" ht="15.75" customHeight="1" x14ac:dyDescent="0.25">
      <c r="A70" t="s">
        <v>143</v>
      </c>
      <c r="B70" s="237" t="s">
        <v>57</v>
      </c>
      <c r="C70" s="237"/>
      <c r="D70" s="237"/>
      <c r="E70" s="237"/>
      <c r="F70" s="237"/>
      <c r="G70" s="237"/>
      <c r="H70" s="237"/>
      <c r="I70" s="237"/>
      <c r="J70" s="237"/>
      <c r="K70" s="237"/>
      <c r="L70" s="237"/>
      <c r="M70" s="237"/>
      <c r="N70" s="237"/>
    </row>
    <row r="71" spans="1:17" ht="15.75" customHeight="1" x14ac:dyDescent="0.25">
      <c r="A71" t="s">
        <v>144</v>
      </c>
      <c r="B71" s="237" t="s">
        <v>57</v>
      </c>
      <c r="C71" s="237"/>
      <c r="D71" s="237"/>
      <c r="E71" s="237"/>
      <c r="F71" s="237"/>
      <c r="G71" s="237"/>
      <c r="H71" s="237"/>
      <c r="I71" s="237"/>
      <c r="J71" s="237"/>
      <c r="K71" s="237"/>
      <c r="L71" s="237"/>
      <c r="M71" s="237"/>
      <c r="N71" s="237"/>
    </row>
    <row r="72" spans="1:17" ht="15.75" customHeight="1" x14ac:dyDescent="0.25">
      <c r="A72" t="s">
        <v>145</v>
      </c>
      <c r="B72" s="237" t="s">
        <v>57</v>
      </c>
      <c r="C72" s="237"/>
      <c r="D72" s="237"/>
      <c r="E72" s="237"/>
      <c r="F72" s="237"/>
      <c r="G72" s="237"/>
      <c r="H72" s="237"/>
      <c r="I72" s="237"/>
      <c r="J72" s="237"/>
      <c r="K72" s="237"/>
      <c r="L72" s="237"/>
      <c r="M72" s="237"/>
      <c r="N72" s="237"/>
    </row>
    <row r="73" spans="1:17" ht="15.75" customHeight="1" x14ac:dyDescent="0.25">
      <c r="A73" t="s">
        <v>146</v>
      </c>
      <c r="B73" s="237" t="s">
        <v>57</v>
      </c>
      <c r="C73" s="237"/>
      <c r="D73" s="237"/>
      <c r="E73" s="237"/>
      <c r="F73" s="237"/>
      <c r="G73" s="237"/>
      <c r="H73" s="237"/>
      <c r="I73" s="237"/>
      <c r="J73" s="237"/>
      <c r="K73" s="237"/>
      <c r="L73" s="237"/>
      <c r="M73" s="237"/>
      <c r="N73" s="237"/>
      <c r="P73" t="s">
        <v>400</v>
      </c>
      <c r="Q73" t="s">
        <v>395</v>
      </c>
    </row>
    <row r="74" spans="1:17" ht="15.75" customHeight="1" x14ac:dyDescent="0.25">
      <c r="A74" t="s">
        <v>147</v>
      </c>
      <c r="B74" s="237" t="s">
        <v>57</v>
      </c>
      <c r="C74" s="237"/>
      <c r="D74" s="237"/>
      <c r="E74" s="237"/>
      <c r="F74" s="237"/>
      <c r="G74" s="237"/>
      <c r="H74" s="237"/>
      <c r="I74" s="237"/>
      <c r="J74" s="237"/>
      <c r="K74" s="237"/>
      <c r="L74" s="237"/>
      <c r="M74" s="237"/>
      <c r="N74" s="237"/>
    </row>
    <row r="75" spans="1:17" ht="15.75" customHeight="1" x14ac:dyDescent="0.25">
      <c r="A75" t="s">
        <v>148</v>
      </c>
      <c r="B75" s="237" t="s">
        <v>57</v>
      </c>
      <c r="C75" s="237"/>
      <c r="D75" s="237"/>
      <c r="E75" s="237"/>
      <c r="F75" s="237"/>
      <c r="G75" s="237"/>
      <c r="H75" s="237"/>
      <c r="I75" s="237"/>
      <c r="J75" s="237"/>
      <c r="K75" s="237"/>
      <c r="L75" s="237"/>
      <c r="M75" s="237"/>
      <c r="N75" s="237"/>
    </row>
    <row r="76" spans="1:17" ht="15.75" customHeight="1" x14ac:dyDescent="0.25">
      <c r="A76" t="s">
        <v>149</v>
      </c>
      <c r="B76" s="237" t="s">
        <v>57</v>
      </c>
      <c r="C76" s="237"/>
      <c r="D76" s="237"/>
      <c r="E76" s="237"/>
      <c r="F76" s="237"/>
      <c r="G76" s="237"/>
      <c r="H76" s="237"/>
      <c r="I76" s="237"/>
      <c r="J76" s="237"/>
      <c r="K76" s="237"/>
      <c r="L76" s="237"/>
      <c r="M76" s="237"/>
      <c r="N76" s="237"/>
    </row>
    <row r="77" spans="1:17" ht="15.75" customHeight="1" x14ac:dyDescent="0.25">
      <c r="A77" s="237" t="s">
        <v>150</v>
      </c>
      <c r="B77" s="237" t="s">
        <v>57</v>
      </c>
      <c r="C77" s="237"/>
      <c r="D77" s="237"/>
      <c r="E77" s="237"/>
      <c r="F77" s="237"/>
      <c r="G77" s="237"/>
      <c r="H77" s="237"/>
      <c r="I77" s="237"/>
      <c r="J77" s="237"/>
      <c r="K77" s="237"/>
      <c r="L77" s="237"/>
      <c r="M77" s="237"/>
      <c r="N77" s="237"/>
      <c r="P77" t="s">
        <v>150</v>
      </c>
      <c r="Q77" t="s">
        <v>395</v>
      </c>
    </row>
    <row r="78" spans="1:17" ht="15.75" customHeight="1" x14ac:dyDescent="0.25">
      <c r="A78" t="s">
        <v>151</v>
      </c>
      <c r="B78" s="237" t="s">
        <v>57</v>
      </c>
      <c r="C78" s="237"/>
      <c r="D78" s="237"/>
      <c r="E78" s="237"/>
      <c r="F78" s="237"/>
      <c r="G78" s="237"/>
      <c r="H78" s="237"/>
      <c r="I78" s="237"/>
      <c r="J78" s="237"/>
      <c r="K78" s="237"/>
      <c r="L78" s="237"/>
      <c r="M78" s="237"/>
      <c r="N78" s="237"/>
      <c r="P78" t="s">
        <v>401</v>
      </c>
      <c r="Q78" t="s">
        <v>395</v>
      </c>
    </row>
    <row r="79" spans="1:17" ht="15.75" customHeight="1" x14ac:dyDescent="0.25">
      <c r="A79" t="s">
        <v>152</v>
      </c>
      <c r="B79" s="237" t="s">
        <v>57</v>
      </c>
      <c r="C79" s="237"/>
      <c r="D79" s="237"/>
      <c r="E79" s="237"/>
      <c r="F79" s="237"/>
      <c r="G79" s="237"/>
      <c r="H79" s="237"/>
      <c r="I79" s="237"/>
      <c r="J79" s="237"/>
      <c r="K79" s="237"/>
      <c r="L79" s="237"/>
      <c r="M79" s="237"/>
      <c r="N79" s="237"/>
    </row>
    <row r="80" spans="1:17" ht="15.75" customHeight="1" x14ac:dyDescent="0.25">
      <c r="A80" s="237" t="s">
        <v>153</v>
      </c>
      <c r="B80" s="237" t="s">
        <v>57</v>
      </c>
      <c r="C80" s="237" t="s">
        <v>198</v>
      </c>
      <c r="D80" s="237" t="s">
        <v>105</v>
      </c>
      <c r="E80" s="237"/>
      <c r="F80" s="237"/>
      <c r="G80" s="237"/>
      <c r="H80" s="237"/>
      <c r="I80" s="237"/>
      <c r="J80" s="237"/>
      <c r="K80" s="237"/>
      <c r="L80" s="237"/>
      <c r="M80" s="237"/>
      <c r="N80" s="237"/>
      <c r="P80" t="s">
        <v>153</v>
      </c>
      <c r="Q80" t="s">
        <v>402</v>
      </c>
    </row>
    <row r="81" spans="1:17" ht="15.75" customHeight="1" x14ac:dyDescent="0.25">
      <c r="A81" t="s">
        <v>154</v>
      </c>
      <c r="B81" s="237" t="s">
        <v>57</v>
      </c>
      <c r="C81" s="237" t="s">
        <v>198</v>
      </c>
      <c r="D81" s="237" t="s">
        <v>105</v>
      </c>
      <c r="E81" s="237"/>
      <c r="F81" s="237"/>
      <c r="G81" s="237"/>
      <c r="H81" s="237"/>
      <c r="I81" s="237"/>
      <c r="J81" s="237"/>
      <c r="K81" s="237"/>
      <c r="L81" s="237"/>
      <c r="M81" s="237"/>
      <c r="N81" s="237"/>
      <c r="P81" t="s">
        <v>403</v>
      </c>
      <c r="Q81" t="s">
        <v>404</v>
      </c>
    </row>
    <row r="82" spans="1:17" ht="15.75" customHeight="1" x14ac:dyDescent="0.25">
      <c r="A82" t="s">
        <v>155</v>
      </c>
      <c r="B82" s="237" t="s">
        <v>57</v>
      </c>
      <c r="C82" s="237"/>
      <c r="D82" s="237"/>
      <c r="E82" s="237"/>
      <c r="F82" s="237"/>
      <c r="G82" s="237"/>
      <c r="H82" s="237"/>
      <c r="I82" s="237"/>
      <c r="J82" s="237"/>
      <c r="K82" s="237"/>
      <c r="L82" s="237"/>
      <c r="M82" s="237"/>
      <c r="N82" s="237"/>
    </row>
    <row r="83" spans="1:17" ht="15.75" customHeight="1" x14ac:dyDescent="0.25">
      <c r="A83" t="s">
        <v>156</v>
      </c>
      <c r="B83" s="237" t="s">
        <v>57</v>
      </c>
      <c r="C83" s="237"/>
      <c r="D83" s="237"/>
      <c r="E83" s="237"/>
      <c r="F83" s="237"/>
      <c r="G83" s="237"/>
      <c r="H83" s="237"/>
      <c r="I83" s="237"/>
      <c r="J83" s="237"/>
      <c r="K83" s="237"/>
      <c r="L83" s="237"/>
      <c r="M83" s="237"/>
      <c r="N83" s="237"/>
      <c r="P83" t="s">
        <v>405</v>
      </c>
      <c r="Q83" t="s">
        <v>395</v>
      </c>
    </row>
    <row r="84" spans="1:17" ht="15.75" customHeight="1" x14ac:dyDescent="0.25">
      <c r="A84" t="s">
        <v>158</v>
      </c>
      <c r="B84" s="237" t="s">
        <v>57</v>
      </c>
      <c r="C84" s="237"/>
      <c r="D84" s="237"/>
      <c r="E84" s="237"/>
      <c r="F84" s="237"/>
      <c r="G84" s="237"/>
      <c r="H84" s="237"/>
      <c r="I84" s="237"/>
      <c r="J84" s="237"/>
      <c r="K84" s="237"/>
      <c r="L84" s="237"/>
      <c r="M84" s="237"/>
      <c r="N84" s="237"/>
    </row>
    <row r="85" spans="1:17" ht="15.75" customHeight="1" x14ac:dyDescent="0.25">
      <c r="A85" t="s">
        <v>159</v>
      </c>
      <c r="B85" s="237" t="s">
        <v>57</v>
      </c>
      <c r="C85" s="237"/>
      <c r="D85" s="237"/>
      <c r="E85" s="237"/>
      <c r="F85" s="237"/>
      <c r="G85" s="237"/>
      <c r="H85" s="237"/>
      <c r="I85" s="237"/>
      <c r="J85" s="237"/>
      <c r="K85" s="237"/>
      <c r="L85" s="237"/>
      <c r="M85" s="237"/>
      <c r="N85" s="237"/>
    </row>
    <row r="86" spans="1:17" ht="15.75" customHeight="1" x14ac:dyDescent="0.25">
      <c r="A86" s="237" t="s">
        <v>160</v>
      </c>
      <c r="B86" s="237" t="s">
        <v>57</v>
      </c>
      <c r="C86" s="237"/>
      <c r="D86" s="237"/>
      <c r="E86" s="237"/>
      <c r="F86" s="237"/>
      <c r="G86" s="237"/>
      <c r="H86" s="237"/>
      <c r="I86" s="237"/>
      <c r="J86" s="237"/>
      <c r="K86" s="237"/>
      <c r="L86" s="237"/>
      <c r="M86" s="237"/>
      <c r="N86" s="237"/>
      <c r="P86" t="s">
        <v>160</v>
      </c>
      <c r="Q86" t="s">
        <v>395</v>
      </c>
    </row>
    <row r="87" spans="1:17" ht="15.75" customHeight="1" x14ac:dyDescent="0.25">
      <c r="A87" s="237" t="s">
        <v>161</v>
      </c>
      <c r="B87" s="237" t="s">
        <v>57</v>
      </c>
      <c r="C87" s="237"/>
      <c r="D87" s="237"/>
      <c r="E87" s="237"/>
      <c r="F87" s="237"/>
      <c r="G87" s="237"/>
      <c r="H87" s="237"/>
      <c r="I87" s="237"/>
      <c r="J87" s="237"/>
      <c r="K87" s="237"/>
      <c r="L87" s="237"/>
      <c r="M87" s="237"/>
      <c r="N87" s="237"/>
      <c r="P87" t="s">
        <v>161</v>
      </c>
      <c r="Q87" t="s">
        <v>395</v>
      </c>
    </row>
    <row r="88" spans="1:17" ht="15.75" customHeight="1" x14ac:dyDescent="0.25">
      <c r="A88" t="s">
        <v>168</v>
      </c>
      <c r="B88" s="237" t="s">
        <v>57</v>
      </c>
      <c r="C88" s="237"/>
      <c r="D88" s="237"/>
      <c r="E88" s="237"/>
      <c r="F88" s="237"/>
      <c r="G88" s="237"/>
      <c r="H88" s="237"/>
      <c r="I88" s="237"/>
      <c r="J88" s="237"/>
      <c r="K88" s="237"/>
      <c r="L88" s="237"/>
      <c r="M88" s="237"/>
      <c r="N88" s="237"/>
      <c r="P88" t="s">
        <v>406</v>
      </c>
      <c r="Q88" t="s">
        <v>395</v>
      </c>
    </row>
    <row r="89" spans="1:17" ht="15.75" customHeight="1" x14ac:dyDescent="0.25">
      <c r="A89" t="s">
        <v>169</v>
      </c>
      <c r="B89" s="237" t="s">
        <v>57</v>
      </c>
      <c r="C89" s="237"/>
      <c r="D89" s="237"/>
      <c r="E89" s="237"/>
      <c r="F89" s="237"/>
      <c r="G89" s="237"/>
      <c r="H89" s="237"/>
      <c r="I89" s="237"/>
      <c r="J89" s="237"/>
      <c r="K89" s="237"/>
      <c r="L89" s="237"/>
      <c r="M89" s="237"/>
      <c r="N89" s="237"/>
    </row>
    <row r="90" spans="1:17" ht="15.75" customHeight="1" x14ac:dyDescent="0.25">
      <c r="A90" t="s">
        <v>170</v>
      </c>
      <c r="B90" s="237" t="s">
        <v>57</v>
      </c>
      <c r="C90" s="237"/>
      <c r="D90" s="237"/>
      <c r="E90" s="237"/>
      <c r="F90" s="237"/>
      <c r="G90" s="237"/>
      <c r="H90" s="237"/>
      <c r="I90" s="237"/>
      <c r="J90" s="237"/>
      <c r="K90" s="237"/>
      <c r="L90" s="237"/>
      <c r="M90" s="237"/>
      <c r="N90" s="237"/>
      <c r="P90" t="s">
        <v>407</v>
      </c>
      <c r="Q90" t="s">
        <v>395</v>
      </c>
    </row>
    <row r="91" spans="1:17" ht="15.75" customHeight="1" x14ac:dyDescent="0.25">
      <c r="A91" t="s">
        <v>171</v>
      </c>
      <c r="B91" s="237" t="s">
        <v>57</v>
      </c>
      <c r="C91" s="237"/>
      <c r="D91" s="237"/>
      <c r="E91" s="237"/>
      <c r="F91" s="237"/>
      <c r="G91" s="237"/>
      <c r="H91" s="237"/>
      <c r="I91" s="237"/>
      <c r="J91" s="237"/>
      <c r="K91" s="237"/>
      <c r="L91" s="237"/>
      <c r="M91" s="237"/>
      <c r="N91" s="237"/>
    </row>
    <row r="92" spans="1:17" ht="15.75" customHeight="1" x14ac:dyDescent="0.25">
      <c r="A92" s="237" t="s">
        <v>172</v>
      </c>
      <c r="B92" s="237" t="s">
        <v>57</v>
      </c>
      <c r="C92" s="237" t="s">
        <v>198</v>
      </c>
      <c r="D92" s="237" t="s">
        <v>105</v>
      </c>
      <c r="E92" s="237"/>
      <c r="F92" s="237"/>
      <c r="G92" s="237"/>
      <c r="H92" s="237"/>
      <c r="I92" s="237"/>
      <c r="J92" s="237"/>
      <c r="K92" s="237"/>
      <c r="L92" s="237"/>
      <c r="M92" s="237"/>
      <c r="N92" s="237"/>
      <c r="P92" t="s">
        <v>408</v>
      </c>
      <c r="Q92" t="s">
        <v>409</v>
      </c>
    </row>
    <row r="93" spans="1:17" ht="15.75" customHeight="1" x14ac:dyDescent="0.25">
      <c r="A93" t="s">
        <v>173</v>
      </c>
      <c r="B93" s="237" t="s">
        <v>57</v>
      </c>
      <c r="C93" s="237" t="s">
        <v>198</v>
      </c>
      <c r="D93" s="237" t="s">
        <v>105</v>
      </c>
      <c r="E93" s="237"/>
      <c r="F93" s="237"/>
      <c r="G93" s="237"/>
      <c r="H93" s="237"/>
      <c r="I93" s="237"/>
      <c r="J93" s="237"/>
      <c r="K93" s="237"/>
      <c r="L93" s="237"/>
      <c r="M93" s="237"/>
      <c r="N93" s="237"/>
      <c r="P93" t="s">
        <v>410</v>
      </c>
      <c r="Q93" t="s">
        <v>402</v>
      </c>
    </row>
    <row r="94" spans="1:17" ht="15.75" customHeight="1" x14ac:dyDescent="0.25">
      <c r="A94" t="s">
        <v>174</v>
      </c>
      <c r="B94" s="237" t="s">
        <v>57</v>
      </c>
      <c r="C94" s="237" t="s">
        <v>198</v>
      </c>
      <c r="D94" s="237" t="s">
        <v>105</v>
      </c>
      <c r="E94" s="237"/>
      <c r="F94" s="237"/>
      <c r="G94" s="237"/>
      <c r="H94" s="237"/>
      <c r="I94" s="237"/>
      <c r="J94" s="237"/>
      <c r="K94" s="237"/>
      <c r="L94" s="237"/>
      <c r="M94" s="237"/>
      <c r="N94" s="237"/>
    </row>
    <row r="95" spans="1:17" ht="15.75" customHeight="1" x14ac:dyDescent="0.25">
      <c r="A95" s="237" t="s">
        <v>176</v>
      </c>
      <c r="B95" s="237" t="s">
        <v>57</v>
      </c>
      <c r="C95" s="237" t="s">
        <v>198</v>
      </c>
      <c r="D95" s="237" t="s">
        <v>105</v>
      </c>
      <c r="E95" s="237"/>
      <c r="F95" s="237"/>
      <c r="G95" s="237"/>
      <c r="H95" s="237"/>
      <c r="I95" s="237"/>
      <c r="J95" s="237"/>
      <c r="K95" s="237"/>
      <c r="L95" s="237"/>
      <c r="M95" s="237"/>
      <c r="N95" s="237"/>
      <c r="P95" t="s">
        <v>411</v>
      </c>
      <c r="Q95" t="s">
        <v>402</v>
      </c>
    </row>
    <row r="96" spans="1:17" ht="15.75" customHeight="1" x14ac:dyDescent="0.25">
      <c r="A96" s="237" t="s">
        <v>175</v>
      </c>
      <c r="B96" s="237" t="s">
        <v>57</v>
      </c>
      <c r="C96" s="237" t="s">
        <v>198</v>
      </c>
      <c r="D96" s="237" t="s">
        <v>105</v>
      </c>
      <c r="E96" s="237"/>
      <c r="F96" s="237"/>
      <c r="G96" s="237"/>
      <c r="H96" s="237"/>
      <c r="I96" s="237"/>
      <c r="J96" s="237"/>
      <c r="K96" s="237"/>
      <c r="L96" s="237"/>
      <c r="M96" s="237"/>
      <c r="N96" s="237"/>
    </row>
    <row r="97" spans="1:17" ht="15.75" customHeight="1" x14ac:dyDescent="0.25">
      <c r="A97" s="237" t="s">
        <v>177</v>
      </c>
      <c r="B97" s="237" t="s">
        <v>57</v>
      </c>
      <c r="C97" s="237" t="s">
        <v>198</v>
      </c>
      <c r="D97" s="237" t="s">
        <v>105</v>
      </c>
      <c r="E97" s="237"/>
      <c r="F97" s="237"/>
      <c r="G97" s="237"/>
      <c r="H97" s="237"/>
      <c r="I97" s="237"/>
      <c r="J97" s="237"/>
      <c r="K97" s="237"/>
      <c r="L97" s="237"/>
      <c r="M97" s="237"/>
      <c r="N97" s="237"/>
    </row>
    <row r="98" spans="1:17" ht="15.75" customHeight="1" x14ac:dyDescent="0.25">
      <c r="A98" t="s">
        <v>180</v>
      </c>
      <c r="B98" s="237" t="s">
        <v>198</v>
      </c>
      <c r="C98" s="237" t="s">
        <v>105</v>
      </c>
      <c r="D98" s="237" t="s">
        <v>48</v>
      </c>
      <c r="E98" s="237" t="s">
        <v>57</v>
      </c>
      <c r="F98" s="237"/>
      <c r="G98" s="237"/>
      <c r="H98" s="237"/>
      <c r="I98" s="237"/>
      <c r="J98" s="237"/>
      <c r="K98" s="237"/>
      <c r="L98" s="237"/>
      <c r="M98" s="237"/>
      <c r="N98" s="237"/>
      <c r="P98" t="s">
        <v>412</v>
      </c>
      <c r="Q98" t="s">
        <v>413</v>
      </c>
    </row>
    <row r="99" spans="1:17" ht="15.75" customHeight="1" x14ac:dyDescent="0.25">
      <c r="A99" t="s">
        <v>181</v>
      </c>
      <c r="B99" s="237" t="s">
        <v>198</v>
      </c>
      <c r="C99" s="237" t="s">
        <v>105</v>
      </c>
      <c r="D99" s="237" t="s">
        <v>48</v>
      </c>
      <c r="E99" s="237" t="s">
        <v>57</v>
      </c>
      <c r="F99" s="237"/>
      <c r="G99" s="237"/>
      <c r="H99" s="237"/>
      <c r="I99" s="237"/>
      <c r="J99" s="237"/>
      <c r="K99" s="237"/>
      <c r="L99" s="237"/>
      <c r="M99" s="237"/>
      <c r="N99" s="237"/>
    </row>
    <row r="100" spans="1:17" ht="15.75" customHeight="1" x14ac:dyDescent="0.25">
      <c r="A100" t="s">
        <v>182</v>
      </c>
      <c r="B100" s="237" t="s">
        <v>198</v>
      </c>
      <c r="C100" s="237" t="s">
        <v>105</v>
      </c>
      <c r="D100" s="237" t="s">
        <v>48</v>
      </c>
      <c r="E100" s="237" t="s">
        <v>57</v>
      </c>
      <c r="F100" s="237"/>
      <c r="G100" s="237"/>
      <c r="H100" s="237"/>
      <c r="I100" s="237"/>
      <c r="J100" s="237"/>
      <c r="K100" s="237"/>
      <c r="L100" s="237"/>
      <c r="M100" s="237"/>
      <c r="N100" s="237"/>
    </row>
    <row r="101" spans="1:17" ht="15.75" customHeight="1" x14ac:dyDescent="0.25">
      <c r="A101" s="237" t="s">
        <v>685</v>
      </c>
      <c r="B101" s="237" t="s">
        <v>198</v>
      </c>
      <c r="C101" s="237" t="s">
        <v>105</v>
      </c>
      <c r="D101" s="237" t="s">
        <v>48</v>
      </c>
      <c r="E101" s="237" t="s">
        <v>57</v>
      </c>
      <c r="F101" s="237"/>
      <c r="G101" s="237"/>
      <c r="H101" s="237"/>
      <c r="I101" s="237"/>
      <c r="J101" s="237"/>
      <c r="K101" s="237"/>
      <c r="L101" s="237"/>
      <c r="M101" s="237"/>
      <c r="N101" s="237"/>
      <c r="P101" t="s">
        <v>414</v>
      </c>
      <c r="Q101" t="s">
        <v>415</v>
      </c>
    </row>
    <row r="102" spans="1:17" s="245" customFormat="1" ht="15.75" customHeight="1" x14ac:dyDescent="0.25">
      <c r="A102" s="237" t="s">
        <v>686</v>
      </c>
      <c r="B102" s="237" t="s">
        <v>198</v>
      </c>
      <c r="C102" s="237" t="s">
        <v>105</v>
      </c>
      <c r="D102" s="237" t="s">
        <v>48</v>
      </c>
      <c r="E102" s="237" t="s">
        <v>57</v>
      </c>
      <c r="F102" s="237"/>
      <c r="G102" s="237"/>
      <c r="H102" s="237"/>
      <c r="I102" s="237"/>
      <c r="J102" s="237"/>
      <c r="K102" s="237"/>
      <c r="L102" s="237"/>
      <c r="M102" s="237"/>
      <c r="N102" s="237"/>
    </row>
    <row r="103" spans="1:17" ht="15.75" customHeight="1" x14ac:dyDescent="0.25">
      <c r="A103" s="237" t="s">
        <v>184</v>
      </c>
      <c r="B103" s="237" t="s">
        <v>198</v>
      </c>
      <c r="C103" s="237" t="s">
        <v>105</v>
      </c>
      <c r="D103" s="237" t="s">
        <v>48</v>
      </c>
      <c r="E103" s="237" t="s">
        <v>57</v>
      </c>
      <c r="F103" s="237" t="s">
        <v>34</v>
      </c>
      <c r="G103" s="237"/>
      <c r="H103" s="237"/>
      <c r="I103" s="237"/>
      <c r="J103" s="237"/>
      <c r="K103" s="237"/>
      <c r="L103" s="237"/>
      <c r="M103" s="237"/>
      <c r="N103" s="237"/>
      <c r="P103" t="s">
        <v>416</v>
      </c>
      <c r="Q103" t="s">
        <v>417</v>
      </c>
    </row>
    <row r="104" spans="1:17" ht="15.75" customHeight="1" x14ac:dyDescent="0.25">
      <c r="A104" s="237" t="s">
        <v>185</v>
      </c>
      <c r="B104" s="237" t="s">
        <v>198</v>
      </c>
      <c r="C104" s="237" t="s">
        <v>105</v>
      </c>
      <c r="D104" s="237" t="s">
        <v>48</v>
      </c>
      <c r="E104" s="237" t="s">
        <v>57</v>
      </c>
      <c r="F104" s="237" t="s">
        <v>34</v>
      </c>
      <c r="G104" s="237"/>
      <c r="H104" s="237"/>
      <c r="I104" s="237"/>
      <c r="J104" s="237"/>
      <c r="K104" s="237"/>
      <c r="L104" s="237"/>
      <c r="M104" s="237"/>
      <c r="N104" s="237"/>
      <c r="P104" t="s">
        <v>418</v>
      </c>
      <c r="Q104" t="s">
        <v>417</v>
      </c>
    </row>
    <row r="105" spans="1:17" ht="15.75" customHeight="1" x14ac:dyDescent="0.25">
      <c r="A105" s="237" t="s">
        <v>687</v>
      </c>
      <c r="B105" s="237" t="s">
        <v>198</v>
      </c>
      <c r="C105" s="237" t="s">
        <v>105</v>
      </c>
      <c r="D105" s="237" t="s">
        <v>48</v>
      </c>
      <c r="E105" s="237" t="s">
        <v>57</v>
      </c>
      <c r="F105" s="237"/>
      <c r="G105" s="237"/>
      <c r="H105" s="237"/>
      <c r="I105" s="237"/>
      <c r="J105" s="237"/>
      <c r="K105" s="237"/>
      <c r="L105" s="237"/>
      <c r="M105" s="237"/>
      <c r="N105" s="237"/>
      <c r="P105" t="s">
        <v>419</v>
      </c>
      <c r="Q105" t="s">
        <v>415</v>
      </c>
    </row>
    <row r="106" spans="1:17" s="245" customFormat="1" ht="15.75" customHeight="1" x14ac:dyDescent="0.25">
      <c r="A106" s="237" t="s">
        <v>688</v>
      </c>
      <c r="B106" s="237" t="s">
        <v>198</v>
      </c>
      <c r="C106" s="237" t="s">
        <v>105</v>
      </c>
      <c r="D106" s="237" t="s">
        <v>48</v>
      </c>
      <c r="E106" s="237" t="s">
        <v>57</v>
      </c>
      <c r="F106" s="237"/>
      <c r="G106" s="237"/>
      <c r="H106" s="237"/>
      <c r="I106" s="237"/>
      <c r="J106" s="237"/>
      <c r="K106" s="237"/>
      <c r="L106" s="237"/>
      <c r="M106" s="237"/>
      <c r="N106" s="237"/>
    </row>
    <row r="107" spans="1:17" ht="15.75" customHeight="1" x14ac:dyDescent="0.25">
      <c r="A107" s="237" t="s">
        <v>190</v>
      </c>
      <c r="B107" s="237" t="s">
        <v>34</v>
      </c>
      <c r="C107" s="237" t="s">
        <v>57</v>
      </c>
      <c r="D107" s="237" t="s">
        <v>198</v>
      </c>
      <c r="E107" s="237" t="s">
        <v>105</v>
      </c>
      <c r="F107" s="237" t="s">
        <v>52</v>
      </c>
      <c r="G107" s="237"/>
      <c r="H107" s="237"/>
      <c r="I107" s="237"/>
      <c r="J107" s="237"/>
      <c r="K107" s="237"/>
      <c r="L107" s="237"/>
      <c r="M107" s="237"/>
      <c r="N107" s="237"/>
      <c r="P107" t="s">
        <v>420</v>
      </c>
      <c r="Q107" t="s">
        <v>421</v>
      </c>
    </row>
    <row r="108" spans="1:17" ht="15.75" customHeight="1" x14ac:dyDescent="0.25">
      <c r="A108" s="237" t="s">
        <v>192</v>
      </c>
      <c r="B108" s="237" t="s">
        <v>34</v>
      </c>
      <c r="C108" s="237" t="s">
        <v>57</v>
      </c>
      <c r="D108" s="237" t="s">
        <v>198</v>
      </c>
      <c r="E108" s="237" t="s">
        <v>105</v>
      </c>
      <c r="F108" s="237" t="s">
        <v>52</v>
      </c>
      <c r="G108" s="237"/>
      <c r="H108" s="237"/>
      <c r="I108" s="237"/>
      <c r="J108" s="237"/>
      <c r="K108" s="237"/>
      <c r="L108" s="237"/>
      <c r="M108" s="237"/>
      <c r="N108" s="237"/>
      <c r="P108" t="s">
        <v>192</v>
      </c>
      <c r="Q108" t="s">
        <v>421</v>
      </c>
    </row>
    <row r="109" spans="1:17" ht="15.75" customHeight="1" x14ac:dyDescent="0.25">
      <c r="A109" s="237" t="s">
        <v>193</v>
      </c>
      <c r="B109" s="237" t="s">
        <v>34</v>
      </c>
      <c r="C109" s="237" t="s">
        <v>57</v>
      </c>
      <c r="D109" s="237" t="s">
        <v>198</v>
      </c>
      <c r="E109" s="237" t="s">
        <v>105</v>
      </c>
      <c r="F109" s="237" t="s">
        <v>52</v>
      </c>
      <c r="G109" s="237"/>
      <c r="H109" s="237"/>
      <c r="I109" s="237"/>
      <c r="J109" s="237"/>
      <c r="K109" s="237"/>
      <c r="L109" s="237"/>
      <c r="M109" s="237"/>
      <c r="N109" s="237"/>
      <c r="P109" t="s">
        <v>193</v>
      </c>
      <c r="Q109" t="s">
        <v>421</v>
      </c>
    </row>
    <row r="110" spans="1:17" ht="15.75" customHeight="1" x14ac:dyDescent="0.25">
      <c r="A110" s="237" t="s">
        <v>194</v>
      </c>
      <c r="B110" s="237" t="s">
        <v>34</v>
      </c>
      <c r="C110" s="237" t="s">
        <v>57</v>
      </c>
      <c r="D110" s="237" t="s">
        <v>198</v>
      </c>
      <c r="E110" s="237" t="s">
        <v>105</v>
      </c>
      <c r="F110" s="237" t="s">
        <v>52</v>
      </c>
      <c r="G110" s="237"/>
      <c r="H110" s="237"/>
      <c r="I110" s="237"/>
      <c r="J110" s="237"/>
      <c r="K110" s="237"/>
      <c r="L110" s="237"/>
      <c r="M110" s="237"/>
      <c r="N110" s="237"/>
      <c r="P110" t="s">
        <v>194</v>
      </c>
      <c r="Q110" t="s">
        <v>421</v>
      </c>
    </row>
    <row r="111" spans="1:17" ht="15.75" customHeight="1" x14ac:dyDescent="0.25">
      <c r="A111" s="237" t="s">
        <v>195</v>
      </c>
      <c r="B111" s="237" t="s">
        <v>34</v>
      </c>
      <c r="C111" s="237" t="s">
        <v>57</v>
      </c>
      <c r="D111" s="237" t="s">
        <v>198</v>
      </c>
      <c r="E111" s="237" t="s">
        <v>105</v>
      </c>
      <c r="F111" s="237" t="s">
        <v>52</v>
      </c>
      <c r="G111" s="237"/>
      <c r="H111" s="237"/>
      <c r="I111" s="237"/>
      <c r="J111" s="237"/>
      <c r="K111" s="237"/>
      <c r="L111" s="237"/>
      <c r="M111" s="237"/>
      <c r="N111" s="237"/>
      <c r="P111" t="s">
        <v>195</v>
      </c>
      <c r="Q111" t="s">
        <v>421</v>
      </c>
    </row>
    <row r="112" spans="1:17" ht="15.75" customHeight="1" x14ac:dyDescent="0.25">
      <c r="A112" s="237" t="s">
        <v>196</v>
      </c>
      <c r="B112" s="237" t="s">
        <v>34</v>
      </c>
      <c r="C112" s="237" t="s">
        <v>57</v>
      </c>
      <c r="D112" s="237" t="s">
        <v>52</v>
      </c>
      <c r="E112" s="237"/>
      <c r="F112" s="237"/>
      <c r="G112" s="237"/>
      <c r="H112" s="237"/>
      <c r="I112" s="237"/>
      <c r="J112" s="237"/>
      <c r="K112" s="237"/>
      <c r="L112" s="237"/>
      <c r="M112" s="237"/>
      <c r="N112" s="237"/>
      <c r="P112" t="s">
        <v>422</v>
      </c>
      <c r="Q112" t="s">
        <v>423</v>
      </c>
    </row>
    <row r="113" spans="1:17" ht="15.75" customHeight="1" x14ac:dyDescent="0.25">
      <c r="A113" s="237" t="s">
        <v>197</v>
      </c>
      <c r="B113" s="237" t="s">
        <v>34</v>
      </c>
      <c r="C113" s="237" t="s">
        <v>57</v>
      </c>
      <c r="D113" s="237" t="s">
        <v>52</v>
      </c>
      <c r="E113" s="237" t="s">
        <v>40</v>
      </c>
      <c r="F113" s="237" t="s">
        <v>97</v>
      </c>
      <c r="G113" s="237" t="s">
        <v>52</v>
      </c>
      <c r="H113" s="237" t="s">
        <v>198</v>
      </c>
      <c r="I113" s="237" t="s">
        <v>105</v>
      </c>
      <c r="J113" s="237"/>
      <c r="K113" s="237"/>
      <c r="L113" s="237"/>
      <c r="M113" s="237"/>
      <c r="N113" s="237"/>
      <c r="P113" t="s">
        <v>424</v>
      </c>
      <c r="Q113" t="s">
        <v>425</v>
      </c>
    </row>
    <row r="114" spans="1:17" ht="15.75" customHeight="1" x14ac:dyDescent="0.25">
      <c r="A114" s="237" t="s">
        <v>199</v>
      </c>
      <c r="B114" s="237" t="s">
        <v>198</v>
      </c>
      <c r="C114" s="237" t="s">
        <v>105</v>
      </c>
      <c r="D114" s="237"/>
      <c r="E114" s="237"/>
      <c r="F114" s="237"/>
      <c r="G114" s="237"/>
      <c r="H114" s="237"/>
      <c r="I114" s="237"/>
      <c r="J114" s="237"/>
      <c r="K114" s="237"/>
      <c r="L114" s="237"/>
      <c r="M114" s="237"/>
      <c r="N114" s="237"/>
      <c r="P114" t="s">
        <v>426</v>
      </c>
      <c r="Q114" t="s">
        <v>388</v>
      </c>
    </row>
    <row r="115" spans="1:17" ht="15.75" customHeight="1" x14ac:dyDescent="0.25">
      <c r="A115" s="237" t="s">
        <v>200</v>
      </c>
      <c r="B115" s="237" t="s">
        <v>198</v>
      </c>
      <c r="C115" s="237" t="s">
        <v>105</v>
      </c>
      <c r="D115" s="237" t="s">
        <v>57</v>
      </c>
      <c r="E115" s="237"/>
      <c r="F115" s="237"/>
      <c r="G115" s="237"/>
      <c r="H115" s="237"/>
      <c r="I115" s="237"/>
      <c r="J115" s="237"/>
      <c r="K115" s="237"/>
      <c r="L115" s="237"/>
      <c r="M115" s="237"/>
      <c r="N115" s="237"/>
      <c r="P115" t="s">
        <v>427</v>
      </c>
      <c r="Q115" t="s">
        <v>428</v>
      </c>
    </row>
    <row r="116" spans="1:17" ht="15.75" customHeight="1" x14ac:dyDescent="0.25">
      <c r="A116" s="237" t="s">
        <v>201</v>
      </c>
      <c r="B116" s="237" t="s">
        <v>198</v>
      </c>
      <c r="C116" s="237" t="s">
        <v>105</v>
      </c>
      <c r="D116" s="237" t="s">
        <v>57</v>
      </c>
      <c r="E116" s="237"/>
      <c r="F116" s="237"/>
      <c r="G116" s="237"/>
      <c r="H116" s="237"/>
      <c r="I116" s="237"/>
      <c r="J116" s="237"/>
      <c r="K116" s="237"/>
      <c r="L116" s="237"/>
      <c r="M116" s="237"/>
      <c r="N116" s="237"/>
    </row>
    <row r="117" spans="1:17" ht="15.75" customHeight="1" x14ac:dyDescent="0.25">
      <c r="A117" s="237" t="s">
        <v>202</v>
      </c>
      <c r="B117" s="237" t="s">
        <v>34</v>
      </c>
      <c r="C117" s="237" t="s">
        <v>57</v>
      </c>
      <c r="D117" s="237" t="s">
        <v>198</v>
      </c>
      <c r="E117" s="237" t="s">
        <v>105</v>
      </c>
      <c r="F117" s="237"/>
      <c r="G117" s="237"/>
      <c r="H117" s="237"/>
      <c r="I117" s="237"/>
      <c r="J117" s="237"/>
      <c r="K117" s="237"/>
      <c r="L117" s="237"/>
      <c r="M117" s="237"/>
      <c r="N117" s="237"/>
      <c r="P117" t="s">
        <v>429</v>
      </c>
      <c r="Q117" t="s">
        <v>430</v>
      </c>
    </row>
    <row r="118" spans="1:17" ht="15.75" customHeight="1" x14ac:dyDescent="0.25">
      <c r="A118" s="237" t="s">
        <v>203</v>
      </c>
      <c r="B118" s="237" t="s">
        <v>34</v>
      </c>
      <c r="C118" s="237" t="s">
        <v>57</v>
      </c>
      <c r="D118" s="237" t="s">
        <v>198</v>
      </c>
      <c r="E118" s="237" t="s">
        <v>105</v>
      </c>
      <c r="F118" s="237"/>
      <c r="G118" s="237"/>
      <c r="H118" s="237"/>
      <c r="I118" s="237"/>
      <c r="J118" s="237"/>
      <c r="K118" s="237"/>
      <c r="L118" s="237"/>
      <c r="M118" s="237"/>
      <c r="N118" s="237"/>
      <c r="P118" t="s">
        <v>431</v>
      </c>
      <c r="Q118" t="s">
        <v>430</v>
      </c>
    </row>
    <row r="119" spans="1:17" ht="15.75" customHeight="1" x14ac:dyDescent="0.25">
      <c r="A119" s="237" t="s">
        <v>204</v>
      </c>
      <c r="B119" s="237" t="s">
        <v>198</v>
      </c>
      <c r="C119" s="237" t="s">
        <v>105</v>
      </c>
      <c r="D119" s="237"/>
      <c r="E119" s="237"/>
      <c r="F119" s="237"/>
      <c r="G119" s="237"/>
      <c r="H119" s="237"/>
      <c r="I119" s="237"/>
      <c r="J119" s="237"/>
      <c r="K119" s="237"/>
      <c r="L119" s="237"/>
      <c r="M119" s="237"/>
      <c r="N119" s="237"/>
      <c r="P119" t="s">
        <v>204</v>
      </c>
      <c r="Q119" t="s">
        <v>388</v>
      </c>
    </row>
    <row r="120" spans="1:17" ht="15.75" customHeight="1" x14ac:dyDescent="0.25">
      <c r="A120" s="237" t="s">
        <v>260</v>
      </c>
      <c r="B120" s="237" t="s">
        <v>198</v>
      </c>
      <c r="C120" s="237" t="s">
        <v>105</v>
      </c>
      <c r="D120" s="237"/>
      <c r="E120" s="237"/>
      <c r="F120" s="237"/>
      <c r="G120" s="237"/>
      <c r="H120" s="237"/>
      <c r="I120" s="237"/>
      <c r="J120" s="237"/>
      <c r="K120" s="237"/>
      <c r="L120" s="237"/>
      <c r="M120" s="237"/>
      <c r="N120" s="237"/>
      <c r="P120" t="s">
        <v>260</v>
      </c>
      <c r="Q120" t="s">
        <v>375</v>
      </c>
    </row>
    <row r="121" spans="1:17" ht="15.75" customHeight="1" x14ac:dyDescent="0.25">
      <c r="A121" s="237" t="s">
        <v>261</v>
      </c>
      <c r="B121" s="237" t="s">
        <v>34</v>
      </c>
      <c r="C121" s="237" t="s">
        <v>57</v>
      </c>
      <c r="D121" s="237" t="s">
        <v>198</v>
      </c>
      <c r="E121" s="237" t="s">
        <v>105</v>
      </c>
      <c r="F121" s="237"/>
      <c r="G121" s="237"/>
      <c r="H121" s="237"/>
      <c r="I121" s="237"/>
      <c r="J121" s="237"/>
      <c r="K121" s="237"/>
      <c r="L121" s="237"/>
      <c r="M121" s="237"/>
      <c r="N121" s="237"/>
      <c r="P121" t="s">
        <v>261</v>
      </c>
      <c r="Q121" t="s">
        <v>432</v>
      </c>
    </row>
    <row r="122" spans="1:17" ht="15.75" customHeight="1" x14ac:dyDescent="0.25">
      <c r="A122" s="237"/>
      <c r="B122" s="237"/>
      <c r="C122" s="237"/>
      <c r="D122" s="237"/>
      <c r="E122" s="237"/>
      <c r="F122" s="237"/>
      <c r="G122" s="237"/>
      <c r="H122" s="237"/>
      <c r="I122" s="237"/>
      <c r="J122" s="237"/>
      <c r="K122" s="237"/>
      <c r="L122" s="237"/>
      <c r="M122" s="237"/>
      <c r="N122" s="237"/>
    </row>
    <row r="123" spans="1:17" ht="15.75" customHeight="1" x14ac:dyDescent="0.25">
      <c r="A123" s="237"/>
      <c r="B123" s="237"/>
      <c r="C123" s="237"/>
      <c r="D123" s="237"/>
      <c r="E123" s="237"/>
      <c r="F123" s="237"/>
      <c r="G123" s="237"/>
      <c r="H123" s="237"/>
      <c r="I123" s="237"/>
      <c r="J123" s="237"/>
      <c r="K123" s="237"/>
      <c r="L123" s="237"/>
      <c r="M123" s="237"/>
      <c r="N123" s="237"/>
    </row>
    <row r="124" spans="1:17" ht="15.75" customHeight="1" x14ac:dyDescent="0.25">
      <c r="A124" s="237"/>
      <c r="B124" s="237"/>
      <c r="C124" s="237"/>
      <c r="D124" s="237"/>
      <c r="E124" s="237"/>
      <c r="F124" s="237"/>
      <c r="G124" s="237"/>
      <c r="H124" s="237"/>
      <c r="I124" s="237"/>
      <c r="J124" s="237"/>
      <c r="K124" s="237"/>
      <c r="L124" s="237"/>
      <c r="M124" s="237"/>
      <c r="N124" s="237"/>
    </row>
    <row r="125" spans="1:17" ht="15.75" customHeight="1" x14ac:dyDescent="0.25">
      <c r="A125" s="237"/>
      <c r="B125" s="237"/>
      <c r="C125" s="237"/>
      <c r="D125" s="237"/>
      <c r="E125" s="237"/>
      <c r="F125" s="237"/>
      <c r="G125" s="237"/>
      <c r="H125" s="237"/>
      <c r="I125" s="237"/>
      <c r="J125" s="237"/>
      <c r="K125" s="237"/>
      <c r="L125" s="237"/>
      <c r="M125" s="237"/>
      <c r="N125" s="237"/>
    </row>
    <row r="126" spans="1:17" ht="15.75" customHeight="1" x14ac:dyDescent="0.25">
      <c r="A126" s="237"/>
      <c r="B126" s="237"/>
      <c r="C126" s="237"/>
      <c r="D126" s="237"/>
      <c r="E126" s="237"/>
      <c r="F126" s="237"/>
      <c r="G126" s="237"/>
      <c r="H126" s="237"/>
      <c r="I126" s="237"/>
      <c r="J126" s="237"/>
      <c r="K126" s="237"/>
      <c r="L126" s="237"/>
      <c r="M126" s="237"/>
      <c r="N126" s="237"/>
    </row>
    <row r="127" spans="1:17" ht="15.75" customHeight="1" x14ac:dyDescent="0.25">
      <c r="A127" s="237"/>
      <c r="B127" s="237"/>
      <c r="C127" s="237"/>
      <c r="D127" s="237"/>
      <c r="E127" s="237"/>
      <c r="F127" s="237"/>
      <c r="G127" s="237"/>
      <c r="H127" s="237"/>
      <c r="I127" s="237"/>
      <c r="J127" s="237"/>
      <c r="K127" s="237"/>
      <c r="L127" s="237"/>
      <c r="M127" s="237"/>
      <c r="N127" s="237"/>
    </row>
    <row r="128" spans="1:17" ht="15.75" customHeight="1" x14ac:dyDescent="0.25">
      <c r="A128" s="237"/>
      <c r="B128" s="237"/>
      <c r="C128" s="237"/>
      <c r="D128" s="237"/>
      <c r="E128" s="237"/>
      <c r="F128" s="237"/>
      <c r="G128" s="237"/>
      <c r="H128" s="237"/>
      <c r="I128" s="237"/>
      <c r="J128" s="237"/>
      <c r="K128" s="237"/>
      <c r="L128" s="237"/>
      <c r="M128" s="237"/>
      <c r="N128" s="237"/>
    </row>
    <row r="129" spans="1:16" ht="15.75" customHeight="1" x14ac:dyDescent="0.25"/>
    <row r="130" spans="1:16" ht="15.75" customHeight="1" x14ac:dyDescent="0.25">
      <c r="A130" s="162" t="s">
        <v>433</v>
      </c>
      <c r="B130" s="162" t="s">
        <v>434</v>
      </c>
    </row>
    <row r="131" spans="1:16" ht="15.75" customHeight="1" x14ac:dyDescent="0.25">
      <c r="A131" s="237" t="s">
        <v>33</v>
      </c>
      <c r="B131" s="237">
        <v>1</v>
      </c>
      <c r="C131" s="237">
        <v>2</v>
      </c>
      <c r="D131" s="237">
        <v>3</v>
      </c>
      <c r="E131" s="237"/>
      <c r="F131" s="237"/>
    </row>
    <row r="132" spans="1:16" ht="15.75" customHeight="1" x14ac:dyDescent="0.25">
      <c r="A132" s="237" t="s">
        <v>45</v>
      </c>
      <c r="B132" s="237">
        <v>1</v>
      </c>
      <c r="C132" s="237">
        <v>2</v>
      </c>
      <c r="D132" s="237">
        <v>3</v>
      </c>
      <c r="E132" s="237"/>
      <c r="F132" s="237"/>
      <c r="P132" t="s">
        <v>435</v>
      </c>
    </row>
    <row r="133" spans="1:16" ht="15.75" customHeight="1" x14ac:dyDescent="0.25">
      <c r="A133" s="237" t="s">
        <v>49</v>
      </c>
      <c r="B133" s="237">
        <v>1</v>
      </c>
      <c r="C133" s="237">
        <v>2</v>
      </c>
      <c r="D133" s="237">
        <v>3</v>
      </c>
      <c r="E133" s="237"/>
      <c r="F133" s="237"/>
      <c r="P133" t="s">
        <v>436</v>
      </c>
    </row>
    <row r="134" spans="1:16" ht="15.75" customHeight="1" x14ac:dyDescent="0.25">
      <c r="A134" s="237" t="s">
        <v>56</v>
      </c>
      <c r="B134" s="237">
        <v>1</v>
      </c>
      <c r="C134" s="237">
        <v>2</v>
      </c>
      <c r="D134" s="237">
        <v>3</v>
      </c>
      <c r="E134" s="237"/>
      <c r="F134" s="237"/>
    </row>
    <row r="135" spans="1:16" ht="15.75" customHeight="1" x14ac:dyDescent="0.25">
      <c r="A135" s="237" t="s">
        <v>68</v>
      </c>
      <c r="B135" s="237">
        <v>1</v>
      </c>
      <c r="C135" s="237">
        <v>2</v>
      </c>
      <c r="D135" s="237">
        <v>3</v>
      </c>
      <c r="E135" s="237"/>
      <c r="F135" s="237"/>
    </row>
    <row r="136" spans="1:16" ht="15.75" customHeight="1" x14ac:dyDescent="0.25">
      <c r="A136" t="s">
        <v>84</v>
      </c>
      <c r="B136" s="237">
        <v>3</v>
      </c>
      <c r="C136" s="237">
        <v>4</v>
      </c>
      <c r="D136" s="237">
        <v>5</v>
      </c>
      <c r="F136" s="237"/>
      <c r="P136" t="s">
        <v>437</v>
      </c>
    </row>
    <row r="137" spans="1:16" ht="15.75" customHeight="1" x14ac:dyDescent="0.25">
      <c r="A137" t="s">
        <v>85</v>
      </c>
      <c r="B137" s="237">
        <v>2</v>
      </c>
      <c r="C137" s="237">
        <v>3</v>
      </c>
      <c r="D137" s="237">
        <v>4</v>
      </c>
      <c r="E137" s="237">
        <v>5</v>
      </c>
      <c r="F137" s="237"/>
    </row>
    <row r="138" spans="1:16" ht="15.75" customHeight="1" x14ac:dyDescent="0.25">
      <c r="A138" t="s">
        <v>88</v>
      </c>
      <c r="B138" s="237">
        <v>3</v>
      </c>
      <c r="C138" s="237">
        <v>4</v>
      </c>
      <c r="D138" s="237">
        <v>5</v>
      </c>
      <c r="E138" s="237"/>
      <c r="F138" s="237"/>
    </row>
    <row r="139" spans="1:16" ht="15.75" customHeight="1" x14ac:dyDescent="0.25">
      <c r="A139" t="s">
        <v>89</v>
      </c>
      <c r="B139" s="237">
        <v>3</v>
      </c>
      <c r="C139" s="237">
        <v>4</v>
      </c>
      <c r="D139" s="237">
        <v>5</v>
      </c>
      <c r="E139" s="237"/>
      <c r="F139" s="237"/>
    </row>
    <row r="140" spans="1:16" ht="15.75" customHeight="1" x14ac:dyDescent="0.25">
      <c r="A140" t="s">
        <v>90</v>
      </c>
      <c r="B140" s="237">
        <v>3</v>
      </c>
      <c r="C140" s="237">
        <v>4</v>
      </c>
      <c r="D140" s="237">
        <v>5</v>
      </c>
      <c r="E140" s="237"/>
      <c r="F140" s="237"/>
    </row>
    <row r="141" spans="1:16" ht="15.75" customHeight="1" x14ac:dyDescent="0.25">
      <c r="A141" t="s">
        <v>91</v>
      </c>
      <c r="B141" s="237">
        <v>3</v>
      </c>
      <c r="C141" s="237">
        <v>4</v>
      </c>
      <c r="D141" s="237">
        <v>5</v>
      </c>
      <c r="E141" s="237"/>
      <c r="F141" s="237"/>
    </row>
    <row r="142" spans="1:16" ht="15.75" customHeight="1" x14ac:dyDescent="0.25">
      <c r="A142" t="s">
        <v>92</v>
      </c>
      <c r="B142" s="237">
        <v>3</v>
      </c>
      <c r="C142" s="237">
        <v>4</v>
      </c>
      <c r="D142" s="237">
        <v>5</v>
      </c>
      <c r="E142" s="237"/>
      <c r="F142" s="237"/>
    </row>
    <row r="143" spans="1:16" ht="15.75" customHeight="1" x14ac:dyDescent="0.25">
      <c r="A143" t="s">
        <v>93</v>
      </c>
      <c r="B143" s="237">
        <v>1</v>
      </c>
      <c r="C143" s="237">
        <v>2</v>
      </c>
      <c r="D143" s="237">
        <v>3</v>
      </c>
      <c r="E143" s="237"/>
      <c r="F143" s="237"/>
    </row>
    <row r="144" spans="1:16" ht="15.75" customHeight="1" x14ac:dyDescent="0.25">
      <c r="A144" t="s">
        <v>94</v>
      </c>
      <c r="B144" s="237">
        <v>1</v>
      </c>
      <c r="C144" s="237">
        <v>2</v>
      </c>
      <c r="D144" s="237">
        <v>3</v>
      </c>
      <c r="E144" s="237"/>
      <c r="F144" s="237"/>
    </row>
    <row r="145" spans="1:6" ht="15.75" customHeight="1" x14ac:dyDescent="0.25">
      <c r="A145" t="s">
        <v>95</v>
      </c>
      <c r="B145" s="237">
        <v>1</v>
      </c>
      <c r="C145" s="237">
        <v>2</v>
      </c>
      <c r="D145" s="237">
        <v>3</v>
      </c>
      <c r="E145" s="237"/>
      <c r="F145" s="237"/>
    </row>
    <row r="146" spans="1:6" ht="15.75" customHeight="1" x14ac:dyDescent="0.25">
      <c r="A146" s="237" t="s">
        <v>96</v>
      </c>
      <c r="B146" s="237">
        <v>1</v>
      </c>
      <c r="C146" s="237">
        <v>2</v>
      </c>
      <c r="D146" s="237">
        <v>3</v>
      </c>
      <c r="E146" s="237"/>
      <c r="F146" s="237"/>
    </row>
    <row r="147" spans="1:6" ht="15.75" customHeight="1" x14ac:dyDescent="0.25">
      <c r="A147" s="237" t="s">
        <v>98</v>
      </c>
      <c r="B147" s="237">
        <v>1</v>
      </c>
      <c r="C147" s="237">
        <v>2</v>
      </c>
      <c r="D147" s="237">
        <v>3</v>
      </c>
      <c r="E147" s="237"/>
      <c r="F147" s="237"/>
    </row>
    <row r="148" spans="1:6" ht="15.75" customHeight="1" x14ac:dyDescent="0.25">
      <c r="A148" s="237" t="s">
        <v>102</v>
      </c>
      <c r="B148" s="237">
        <v>1</v>
      </c>
      <c r="C148" s="237">
        <v>2</v>
      </c>
      <c r="D148" s="237">
        <v>3</v>
      </c>
      <c r="E148" s="237"/>
      <c r="F148" s="237"/>
    </row>
    <row r="149" spans="1:6" ht="15.75" customHeight="1" x14ac:dyDescent="0.25">
      <c r="A149" s="237" t="s">
        <v>103</v>
      </c>
      <c r="B149" s="237">
        <v>1</v>
      </c>
      <c r="C149" s="237">
        <v>2</v>
      </c>
      <c r="D149" s="237">
        <v>3</v>
      </c>
      <c r="E149" s="237"/>
      <c r="F149" s="237"/>
    </row>
    <row r="150" spans="1:6" ht="15.75" customHeight="1" x14ac:dyDescent="0.25">
      <c r="A150" s="237" t="s">
        <v>104</v>
      </c>
      <c r="B150" s="237">
        <v>1</v>
      </c>
      <c r="C150" s="237">
        <v>2</v>
      </c>
      <c r="D150" s="237">
        <v>3</v>
      </c>
      <c r="E150" s="237"/>
      <c r="F150" s="237"/>
    </row>
    <row r="151" spans="1:6" ht="15.75" customHeight="1" x14ac:dyDescent="0.25">
      <c r="A151" s="237" t="s">
        <v>106</v>
      </c>
      <c r="B151" s="237">
        <v>1</v>
      </c>
      <c r="C151" s="237">
        <v>2</v>
      </c>
      <c r="D151" s="237">
        <v>3</v>
      </c>
      <c r="E151" s="237"/>
      <c r="F151" s="237"/>
    </row>
    <row r="152" spans="1:6" ht="15.75" customHeight="1" x14ac:dyDescent="0.25">
      <c r="A152" s="237" t="s">
        <v>109</v>
      </c>
      <c r="B152" s="237">
        <v>1</v>
      </c>
      <c r="C152" s="237">
        <v>2</v>
      </c>
      <c r="D152" s="237">
        <v>3</v>
      </c>
      <c r="E152" s="237"/>
      <c r="F152" s="237"/>
    </row>
    <row r="153" spans="1:6" ht="15.75" customHeight="1" x14ac:dyDescent="0.25">
      <c r="A153" t="s">
        <v>137</v>
      </c>
      <c r="B153" s="237">
        <v>1</v>
      </c>
      <c r="C153" s="237">
        <v>2</v>
      </c>
      <c r="D153" s="237">
        <v>3</v>
      </c>
      <c r="E153" s="237"/>
      <c r="F153" s="237"/>
    </row>
    <row r="154" spans="1:6" ht="15.75" customHeight="1" x14ac:dyDescent="0.25">
      <c r="A154" t="s">
        <v>138</v>
      </c>
      <c r="B154" s="237">
        <v>1</v>
      </c>
      <c r="C154" s="237">
        <v>2</v>
      </c>
      <c r="D154" s="237">
        <v>3</v>
      </c>
      <c r="E154" s="237"/>
      <c r="F154" s="237"/>
    </row>
    <row r="155" spans="1:6" ht="15.75" customHeight="1" x14ac:dyDescent="0.25">
      <c r="A155" t="s">
        <v>139</v>
      </c>
      <c r="B155" s="237">
        <v>1</v>
      </c>
      <c r="C155" s="237">
        <v>2</v>
      </c>
      <c r="D155" s="237">
        <v>3</v>
      </c>
      <c r="E155" s="237"/>
      <c r="F155" s="237"/>
    </row>
    <row r="156" spans="1:6" ht="15.75" customHeight="1" x14ac:dyDescent="0.25">
      <c r="A156" t="s">
        <v>140</v>
      </c>
      <c r="B156" s="237">
        <v>1</v>
      </c>
      <c r="C156" s="237">
        <v>2</v>
      </c>
      <c r="D156" s="237">
        <v>3</v>
      </c>
      <c r="E156" s="237"/>
      <c r="F156" s="237"/>
    </row>
    <row r="157" spans="1:6" ht="15.75" customHeight="1" x14ac:dyDescent="0.25">
      <c r="A157" t="s">
        <v>141</v>
      </c>
      <c r="B157" s="237">
        <v>1</v>
      </c>
      <c r="C157" s="237">
        <v>2</v>
      </c>
      <c r="D157" s="237">
        <v>3</v>
      </c>
      <c r="E157" s="237"/>
      <c r="F157" s="237"/>
    </row>
    <row r="158" spans="1:6" ht="15.75" customHeight="1" x14ac:dyDescent="0.25">
      <c r="A158" t="s">
        <v>142</v>
      </c>
      <c r="B158" s="237">
        <v>1</v>
      </c>
      <c r="C158" s="237">
        <v>2</v>
      </c>
      <c r="D158" s="237">
        <v>3</v>
      </c>
      <c r="E158" s="237"/>
      <c r="F158" s="237"/>
    </row>
    <row r="159" spans="1:6" ht="15.75" customHeight="1" x14ac:dyDescent="0.25">
      <c r="A159" t="s">
        <v>143</v>
      </c>
      <c r="B159" s="237">
        <v>1</v>
      </c>
      <c r="C159" s="237">
        <v>2</v>
      </c>
      <c r="D159" s="237">
        <v>3</v>
      </c>
      <c r="E159" s="237"/>
      <c r="F159" s="237"/>
    </row>
    <row r="160" spans="1:6" ht="15.75" customHeight="1" x14ac:dyDescent="0.25">
      <c r="A160" t="s">
        <v>144</v>
      </c>
      <c r="B160" s="237">
        <v>1</v>
      </c>
      <c r="C160" s="237">
        <v>2</v>
      </c>
      <c r="D160" s="237">
        <v>3</v>
      </c>
      <c r="E160" s="237"/>
      <c r="F160" s="237"/>
    </row>
    <row r="161" spans="1:6" ht="15.75" customHeight="1" x14ac:dyDescent="0.25">
      <c r="A161" t="s">
        <v>145</v>
      </c>
      <c r="B161" s="237">
        <v>1</v>
      </c>
      <c r="C161" s="237">
        <v>2</v>
      </c>
      <c r="D161" s="237">
        <v>3</v>
      </c>
      <c r="E161" s="237"/>
      <c r="F161" s="237"/>
    </row>
    <row r="162" spans="1:6" ht="15.75" customHeight="1" x14ac:dyDescent="0.25">
      <c r="A162" t="s">
        <v>146</v>
      </c>
      <c r="B162" s="237">
        <v>1</v>
      </c>
      <c r="C162" s="237">
        <v>2</v>
      </c>
      <c r="D162" s="237">
        <v>3</v>
      </c>
      <c r="E162" s="237"/>
      <c r="F162" s="237"/>
    </row>
    <row r="163" spans="1:6" ht="15.75" customHeight="1" x14ac:dyDescent="0.25">
      <c r="A163" t="s">
        <v>147</v>
      </c>
      <c r="B163" s="237">
        <v>1</v>
      </c>
      <c r="C163" s="237">
        <v>2</v>
      </c>
      <c r="D163" s="237">
        <v>3</v>
      </c>
      <c r="E163" s="237"/>
      <c r="F163" s="237"/>
    </row>
    <row r="164" spans="1:6" ht="15.75" customHeight="1" x14ac:dyDescent="0.25">
      <c r="A164" t="s">
        <v>148</v>
      </c>
      <c r="B164" s="237">
        <v>1</v>
      </c>
      <c r="C164" s="237">
        <v>2</v>
      </c>
      <c r="D164" s="237">
        <v>3</v>
      </c>
      <c r="E164" s="237"/>
      <c r="F164" s="237"/>
    </row>
    <row r="165" spans="1:6" ht="15.75" customHeight="1" x14ac:dyDescent="0.25">
      <c r="A165" t="s">
        <v>149</v>
      </c>
      <c r="B165" s="237">
        <v>1</v>
      </c>
      <c r="C165" s="237">
        <v>2</v>
      </c>
      <c r="D165" s="237">
        <v>3</v>
      </c>
      <c r="E165" s="237"/>
      <c r="F165" s="237"/>
    </row>
    <row r="166" spans="1:6" ht="15.75" customHeight="1" x14ac:dyDescent="0.25">
      <c r="A166" t="s">
        <v>156</v>
      </c>
      <c r="B166" s="237">
        <v>1</v>
      </c>
      <c r="C166" s="237">
        <v>2</v>
      </c>
      <c r="D166" s="237">
        <v>3</v>
      </c>
      <c r="E166" s="237"/>
      <c r="F166" s="237"/>
    </row>
    <row r="167" spans="1:6" ht="15.75" customHeight="1" x14ac:dyDescent="0.25">
      <c r="A167" t="s">
        <v>158</v>
      </c>
      <c r="B167" s="237">
        <v>1</v>
      </c>
      <c r="C167" s="237">
        <v>2</v>
      </c>
      <c r="D167" s="237">
        <v>3</v>
      </c>
      <c r="E167" s="237"/>
      <c r="F167" s="237"/>
    </row>
    <row r="168" spans="1:6" ht="15.75" customHeight="1" x14ac:dyDescent="0.25">
      <c r="A168" t="s">
        <v>159</v>
      </c>
      <c r="B168" s="237">
        <v>1</v>
      </c>
      <c r="C168" s="237">
        <v>2</v>
      </c>
      <c r="D168" s="237">
        <v>3</v>
      </c>
      <c r="E168" s="237"/>
      <c r="F168" s="237"/>
    </row>
    <row r="169" spans="1:6" ht="15.75" customHeight="1" x14ac:dyDescent="0.25">
      <c r="A169" t="s">
        <v>162</v>
      </c>
      <c r="B169" s="237">
        <v>1</v>
      </c>
      <c r="C169" s="237">
        <v>2</v>
      </c>
      <c r="D169" s="237">
        <v>3</v>
      </c>
      <c r="E169" s="237"/>
      <c r="F169" s="237"/>
    </row>
    <row r="170" spans="1:6" ht="15.75" customHeight="1" x14ac:dyDescent="0.25">
      <c r="A170" t="s">
        <v>163</v>
      </c>
      <c r="B170" s="237">
        <v>1</v>
      </c>
      <c r="C170" s="237">
        <v>2</v>
      </c>
      <c r="D170" s="237">
        <v>3</v>
      </c>
      <c r="E170" s="237"/>
      <c r="F170" s="237"/>
    </row>
    <row r="171" spans="1:6" ht="15.75" customHeight="1" x14ac:dyDescent="0.25">
      <c r="A171" s="237" t="s">
        <v>164</v>
      </c>
      <c r="B171" s="237">
        <v>1</v>
      </c>
      <c r="C171" s="237">
        <v>2</v>
      </c>
      <c r="D171" s="237">
        <v>3</v>
      </c>
      <c r="E171" s="237"/>
      <c r="F171" s="237"/>
    </row>
    <row r="172" spans="1:6" ht="15.75" customHeight="1" x14ac:dyDescent="0.25">
      <c r="A172" s="237" t="s">
        <v>167</v>
      </c>
      <c r="B172" s="237">
        <v>1</v>
      </c>
      <c r="C172" s="237">
        <v>2</v>
      </c>
      <c r="D172" s="237">
        <v>3</v>
      </c>
      <c r="E172" s="237"/>
      <c r="F172" s="237"/>
    </row>
    <row r="173" spans="1:6" ht="15.75" customHeight="1" x14ac:dyDescent="0.25">
      <c r="A173" t="s">
        <v>168</v>
      </c>
      <c r="B173" s="237">
        <v>1</v>
      </c>
      <c r="C173" s="237">
        <v>2</v>
      </c>
      <c r="D173" s="237">
        <v>3</v>
      </c>
      <c r="E173" s="237"/>
      <c r="F173" s="237"/>
    </row>
    <row r="174" spans="1:6" ht="15.75" customHeight="1" x14ac:dyDescent="0.25">
      <c r="A174" t="s">
        <v>169</v>
      </c>
      <c r="B174" s="237">
        <v>1</v>
      </c>
      <c r="C174" s="237">
        <v>2</v>
      </c>
      <c r="D174" s="237">
        <v>3</v>
      </c>
      <c r="E174" s="237"/>
      <c r="F174" s="237"/>
    </row>
    <row r="175" spans="1:6" ht="15.75" customHeight="1" x14ac:dyDescent="0.25">
      <c r="A175" t="s">
        <v>170</v>
      </c>
      <c r="B175" s="237">
        <v>1</v>
      </c>
      <c r="C175" s="237">
        <v>2</v>
      </c>
      <c r="D175" s="237">
        <v>3</v>
      </c>
      <c r="E175" s="237"/>
      <c r="F175" s="237"/>
    </row>
    <row r="176" spans="1:6" ht="15.75" customHeight="1" x14ac:dyDescent="0.25">
      <c r="A176" t="s">
        <v>171</v>
      </c>
      <c r="B176" s="237">
        <v>1</v>
      </c>
      <c r="C176" s="237">
        <v>2</v>
      </c>
      <c r="D176" s="237">
        <v>3</v>
      </c>
      <c r="E176" s="237"/>
      <c r="F176" s="237"/>
    </row>
    <row r="177" spans="1:6" ht="15.75" customHeight="1" x14ac:dyDescent="0.25">
      <c r="A177" s="237" t="s">
        <v>177</v>
      </c>
      <c r="B177" s="237">
        <v>1</v>
      </c>
      <c r="C177" s="237">
        <v>2</v>
      </c>
      <c r="D177" s="237">
        <v>3</v>
      </c>
      <c r="E177" s="237"/>
      <c r="F177" s="237"/>
    </row>
    <row r="178" spans="1:6" ht="15.75" customHeight="1" x14ac:dyDescent="0.25">
      <c r="A178" s="237" t="s">
        <v>179</v>
      </c>
      <c r="B178" s="237">
        <v>1</v>
      </c>
      <c r="C178" s="237">
        <v>2</v>
      </c>
      <c r="D178" s="237">
        <v>3</v>
      </c>
      <c r="E178" s="237"/>
      <c r="F178" s="237"/>
    </row>
    <row r="179" spans="1:6" ht="15.75" customHeight="1" x14ac:dyDescent="0.25">
      <c r="A179" t="s">
        <v>180</v>
      </c>
      <c r="B179" s="237">
        <v>1</v>
      </c>
      <c r="C179" s="237">
        <v>2</v>
      </c>
      <c r="D179" s="237"/>
      <c r="E179" s="237"/>
      <c r="F179" s="237"/>
    </row>
    <row r="180" spans="1:6" ht="15.75" customHeight="1" x14ac:dyDescent="0.25">
      <c r="A180" t="s">
        <v>181</v>
      </c>
      <c r="B180" s="237">
        <v>1</v>
      </c>
      <c r="C180" s="237">
        <v>2</v>
      </c>
      <c r="D180" s="237"/>
      <c r="E180" s="237"/>
      <c r="F180" s="237"/>
    </row>
    <row r="181" spans="1:6" ht="15.75" customHeight="1" x14ac:dyDescent="0.25">
      <c r="A181" t="s">
        <v>182</v>
      </c>
      <c r="B181" s="237">
        <v>1</v>
      </c>
      <c r="C181" s="237">
        <v>2</v>
      </c>
      <c r="D181" s="237"/>
      <c r="E181" s="237"/>
      <c r="F181" s="237"/>
    </row>
    <row r="182" spans="1:6" ht="15.75" customHeight="1" x14ac:dyDescent="0.25">
      <c r="A182" s="237" t="s">
        <v>685</v>
      </c>
      <c r="B182" s="237">
        <v>1</v>
      </c>
      <c r="C182" s="237">
        <v>2</v>
      </c>
      <c r="D182" s="237"/>
      <c r="E182" s="237"/>
      <c r="F182" s="237"/>
    </row>
    <row r="183" spans="1:6" s="245" customFormat="1" ht="15.75" customHeight="1" x14ac:dyDescent="0.25">
      <c r="A183" s="237" t="s">
        <v>686</v>
      </c>
      <c r="B183" s="237">
        <v>1</v>
      </c>
      <c r="C183" s="237">
        <v>2</v>
      </c>
      <c r="D183" s="237"/>
      <c r="E183" s="237"/>
      <c r="F183" s="237"/>
    </row>
    <row r="184" spans="1:6" ht="15.75" customHeight="1" x14ac:dyDescent="0.25">
      <c r="A184" s="237" t="s">
        <v>185</v>
      </c>
      <c r="B184" s="237">
        <v>1</v>
      </c>
      <c r="C184" s="237">
        <v>2</v>
      </c>
      <c r="D184" s="237"/>
      <c r="E184" s="237"/>
      <c r="F184" s="237"/>
    </row>
    <row r="185" spans="1:6" ht="15.75" customHeight="1" x14ac:dyDescent="0.25">
      <c r="A185" s="237" t="s">
        <v>687</v>
      </c>
      <c r="B185" s="237">
        <v>1</v>
      </c>
      <c r="C185" s="237">
        <v>2</v>
      </c>
      <c r="D185" s="237"/>
      <c r="E185" s="237"/>
      <c r="F185" s="237"/>
    </row>
    <row r="186" spans="1:6" ht="15.75" customHeight="1" x14ac:dyDescent="0.25">
      <c r="A186" s="237" t="s">
        <v>688</v>
      </c>
      <c r="B186" s="237">
        <v>1</v>
      </c>
      <c r="C186" s="237">
        <v>2</v>
      </c>
      <c r="D186" s="237"/>
      <c r="E186" s="237"/>
      <c r="F186" s="237"/>
    </row>
    <row r="187" spans="1:6" ht="15.75" customHeight="1" x14ac:dyDescent="0.25">
      <c r="A187" s="237"/>
      <c r="B187" s="237"/>
      <c r="C187" s="237"/>
      <c r="D187" s="237"/>
      <c r="E187" s="237"/>
      <c r="F187" s="237"/>
    </row>
    <row r="188" spans="1:6" ht="15.75" customHeight="1" x14ac:dyDescent="0.25">
      <c r="A188" s="237"/>
      <c r="B188" s="237"/>
      <c r="C188" s="237"/>
      <c r="D188" s="237"/>
      <c r="E188" s="237"/>
      <c r="F188" s="237"/>
    </row>
    <row r="189" spans="1:6" ht="15.75" customHeight="1" x14ac:dyDescent="0.25">
      <c r="A189" s="237"/>
      <c r="B189" s="237"/>
      <c r="C189" s="237"/>
      <c r="D189" s="237"/>
      <c r="E189" s="237"/>
      <c r="F189" s="237"/>
    </row>
    <row r="190" spans="1:6" ht="15.75" customHeight="1" x14ac:dyDescent="0.25">
      <c r="A190" s="237"/>
      <c r="B190" s="237"/>
      <c r="C190" s="237"/>
      <c r="D190" s="237"/>
      <c r="E190" s="237"/>
      <c r="F190" s="237"/>
    </row>
    <row r="191" spans="1:6" ht="15.75" customHeight="1" x14ac:dyDescent="0.25">
      <c r="A191" s="237"/>
      <c r="B191" s="237"/>
      <c r="C191" s="237"/>
      <c r="D191" s="237"/>
      <c r="E191" s="237"/>
      <c r="F191" s="237"/>
    </row>
    <row r="192" spans="1:6" ht="15.75" customHeight="1" x14ac:dyDescent="0.25">
      <c r="A192" s="237"/>
      <c r="B192" s="237"/>
      <c r="C192" s="237"/>
      <c r="D192" s="237"/>
      <c r="E192" s="237"/>
      <c r="F192" s="237"/>
    </row>
    <row r="193" spans="1:6" ht="15.75" customHeight="1" x14ac:dyDescent="0.25">
      <c r="A193" s="237"/>
      <c r="B193" s="237"/>
      <c r="C193" s="237"/>
      <c r="D193" s="237"/>
      <c r="E193" s="237"/>
      <c r="F193" s="237"/>
    </row>
  </sheetData>
  <conditionalFormatting sqref="P77:Q77 P81:Q92 P104:Q104 P107:Q108 P110:Q111 P113:Q113 P115:Q121 P95:Q102 P13:Q72 A131:F135 F136 A136:D136 A137:F193 A13:N128">
    <cfRule type="expression" dxfId="0" priority="3">
      <formula>MOD(ROW(), 2)=1</formula>
    </cfRule>
  </conditionalFormatting>
  <dataValidations count="3">
    <dataValidation type="list" showInputMessage="1" showErrorMessage="1" sqref="D13:N21 H22:N26 D22:E26 D27:N128 C13:C128 B16:B128">
      <formula1>$AK$2:$AK$56</formula1>
    </dataValidation>
    <dataValidation type="list" showInputMessage="1" showErrorMessage="1" sqref="B13:B15">
      <formula1>$AK$2:$AK$51</formula1>
    </dataValidation>
    <dataValidation type="list" showInputMessage="1" showErrorMessage="1" sqref="B136:D136 B131:F135 F136 B137:F193">
      <formula1>"1, 2, 3, 4, 5"</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H335"/>
  <sheetViews>
    <sheetView tabSelected="1" topLeftCell="A250" workbookViewId="0">
      <selection activeCell="C275" sqref="C275"/>
    </sheetView>
  </sheetViews>
  <sheetFormatPr defaultRowHeight="15" x14ac:dyDescent="0.25"/>
  <cols>
    <col min="1" max="1" width="17.28515625" style="245" customWidth="1"/>
    <col min="2" max="2" width="19.7109375" style="245" customWidth="1"/>
    <col min="3" max="3" width="9.140625" style="245" customWidth="1"/>
    <col min="4" max="16384" width="9.140625" style="245"/>
  </cols>
  <sheetData>
    <row r="1" spans="1:15" ht="26.25" customHeight="1" x14ac:dyDescent="0.25">
      <c r="A1" s="238" t="s">
        <v>22</v>
      </c>
      <c r="B1" s="238" t="s">
        <v>438</v>
      </c>
      <c r="C1" s="238" t="s">
        <v>28</v>
      </c>
      <c r="D1" s="239" t="s">
        <v>439</v>
      </c>
      <c r="E1" s="240" t="s">
        <v>440</v>
      </c>
      <c r="F1" s="240" t="s">
        <v>441</v>
      </c>
      <c r="G1" s="240" t="s">
        <v>442</v>
      </c>
      <c r="H1" s="240" t="s">
        <v>443</v>
      </c>
      <c r="I1" s="241" t="s">
        <v>444</v>
      </c>
      <c r="J1" s="381" t="s">
        <v>445</v>
      </c>
      <c r="K1" s="382"/>
      <c r="L1" s="382"/>
      <c r="M1" s="382"/>
      <c r="N1" s="382"/>
      <c r="O1" s="382"/>
    </row>
    <row r="2" spans="1:15" x14ac:dyDescent="0.25">
      <c r="A2" s="248" t="s">
        <v>30</v>
      </c>
      <c r="B2" s="248" t="s">
        <v>31</v>
      </c>
      <c r="C2" s="248" t="s">
        <v>446</v>
      </c>
      <c r="D2" s="248">
        <v>0.1619548872180451</v>
      </c>
      <c r="E2" s="248">
        <v>6.4285714285714293E-2</v>
      </c>
      <c r="F2" s="248">
        <v>0</v>
      </c>
      <c r="G2" s="248">
        <v>6.7593984962406012E-2</v>
      </c>
      <c r="H2" s="248">
        <v>9.0225563909774437E-4</v>
      </c>
      <c r="I2" s="242" t="e">
        <f>NA()</f>
        <v>#N/A</v>
      </c>
      <c r="J2" s="382"/>
      <c r="K2" s="382"/>
      <c r="L2" s="382"/>
      <c r="M2" s="382"/>
      <c r="N2" s="382"/>
      <c r="O2" s="382"/>
    </row>
    <row r="3" spans="1:15" x14ac:dyDescent="0.25">
      <c r="A3" s="248" t="s">
        <v>32</v>
      </c>
      <c r="B3" s="248" t="s">
        <v>31</v>
      </c>
      <c r="C3" s="248" t="s">
        <v>446</v>
      </c>
      <c r="D3" s="248">
        <v>0.24035532994923861</v>
      </c>
      <c r="E3" s="248">
        <v>5.5076142131979693E-2</v>
      </c>
      <c r="F3" s="248">
        <v>0</v>
      </c>
      <c r="G3" s="248">
        <v>5.5025380710659898E-2</v>
      </c>
      <c r="H3" s="248">
        <v>3.1472081218274109E-3</v>
      </c>
      <c r="I3" s="242" t="e">
        <f>NA()</f>
        <v>#N/A</v>
      </c>
      <c r="J3" s="382"/>
      <c r="K3" s="382"/>
      <c r="L3" s="382"/>
      <c r="M3" s="382"/>
      <c r="N3" s="382"/>
      <c r="O3" s="382"/>
    </row>
    <row r="4" spans="1:15" x14ac:dyDescent="0.25">
      <c r="A4" s="248" t="s">
        <v>33</v>
      </c>
      <c r="B4" s="248" t="s">
        <v>34</v>
      </c>
      <c r="C4" s="248" t="s">
        <v>446</v>
      </c>
      <c r="D4" s="248">
        <v>0</v>
      </c>
      <c r="E4" s="248">
        <v>2.0819112627986351E-2</v>
      </c>
      <c r="F4" s="248">
        <v>0</v>
      </c>
      <c r="G4" s="248">
        <v>5.3014789533560862E-2</v>
      </c>
      <c r="H4" s="248">
        <v>0</v>
      </c>
      <c r="I4" s="242" t="e">
        <f>NA()</f>
        <v>#N/A</v>
      </c>
      <c r="J4" s="382"/>
      <c r="K4" s="382"/>
      <c r="L4" s="382"/>
      <c r="M4" s="382"/>
      <c r="N4" s="382"/>
      <c r="O4" s="382"/>
    </row>
    <row r="5" spans="1:15" x14ac:dyDescent="0.25">
      <c r="A5" t="s">
        <v>37</v>
      </c>
      <c r="B5" s="248" t="s">
        <v>34</v>
      </c>
      <c r="C5" s="248" t="s">
        <v>446</v>
      </c>
      <c r="D5" s="248">
        <v>0</v>
      </c>
      <c r="E5" s="248">
        <v>2.083301076101262E-2</v>
      </c>
      <c r="F5" s="248">
        <v>0</v>
      </c>
      <c r="G5" s="248">
        <v>5.3030889525431599E-2</v>
      </c>
      <c r="H5" s="248">
        <v>0</v>
      </c>
      <c r="I5" s="242" t="e">
        <f>NA()</f>
        <v>#N/A</v>
      </c>
      <c r="J5" s="382"/>
      <c r="K5" s="382"/>
      <c r="L5" s="382"/>
      <c r="M5" s="382"/>
      <c r="N5" s="382"/>
      <c r="O5" s="382"/>
    </row>
    <row r="6" spans="1:15" x14ac:dyDescent="0.25">
      <c r="A6" t="s">
        <v>38</v>
      </c>
      <c r="B6" s="248" t="s">
        <v>34</v>
      </c>
      <c r="C6" s="248" t="s">
        <v>446</v>
      </c>
      <c r="D6" s="248">
        <v>0</v>
      </c>
      <c r="E6" s="248">
        <v>2.083301076101262E-2</v>
      </c>
      <c r="F6" s="248">
        <v>0</v>
      </c>
      <c r="G6" s="248">
        <v>5.3030889525431599E-2</v>
      </c>
      <c r="H6" s="248">
        <v>0</v>
      </c>
      <c r="I6" s="242" t="e">
        <f>NA()</f>
        <v>#N/A</v>
      </c>
      <c r="J6" s="382"/>
      <c r="K6" s="382"/>
      <c r="L6" s="382"/>
      <c r="M6" s="382"/>
      <c r="N6" s="382"/>
      <c r="O6" s="382"/>
    </row>
    <row r="7" spans="1:15" x14ac:dyDescent="0.25">
      <c r="A7" t="s">
        <v>39</v>
      </c>
      <c r="B7" s="248" t="s">
        <v>40</v>
      </c>
      <c r="C7" s="248" t="s">
        <v>446</v>
      </c>
      <c r="D7" s="248">
        <v>0</v>
      </c>
      <c r="E7" s="248">
        <v>0.36048225050234428</v>
      </c>
      <c r="F7" s="248">
        <v>0.28613529805760213</v>
      </c>
      <c r="G7" s="248">
        <v>0.57885688769814692</v>
      </c>
      <c r="H7" s="248">
        <v>0</v>
      </c>
      <c r="I7" s="242" t="e">
        <f>NA()</f>
        <v>#N/A</v>
      </c>
      <c r="J7" s="382"/>
      <c r="K7" s="382"/>
      <c r="L7" s="382"/>
      <c r="M7" s="382"/>
      <c r="N7" s="382"/>
      <c r="O7" s="382"/>
    </row>
    <row r="8" spans="1:15" x14ac:dyDescent="0.25">
      <c r="A8" t="s">
        <v>43</v>
      </c>
      <c r="B8" s="248" t="s">
        <v>40</v>
      </c>
      <c r="C8" s="248" t="s">
        <v>446</v>
      </c>
      <c r="D8" s="248">
        <v>0</v>
      </c>
      <c r="E8" s="248">
        <v>0.36048225050234428</v>
      </c>
      <c r="F8" s="248">
        <v>0.28613529805760213</v>
      </c>
      <c r="G8" s="248">
        <v>0.57885688769814692</v>
      </c>
      <c r="H8" s="248">
        <v>0</v>
      </c>
      <c r="I8" s="242" t="e">
        <f>NA()</f>
        <v>#N/A</v>
      </c>
      <c r="J8" s="382"/>
      <c r="K8" s="382"/>
      <c r="L8" s="382"/>
      <c r="M8" s="382"/>
      <c r="N8" s="382"/>
      <c r="O8" s="382"/>
    </row>
    <row r="9" spans="1:15" x14ac:dyDescent="0.25">
      <c r="A9" t="s">
        <v>44</v>
      </c>
      <c r="B9" s="248" t="s">
        <v>40</v>
      </c>
      <c r="C9" s="248" t="s">
        <v>446</v>
      </c>
      <c r="D9" s="248">
        <v>0</v>
      </c>
      <c r="E9" s="248">
        <v>0.36048225050234428</v>
      </c>
      <c r="F9" s="248">
        <v>0.28613529805760213</v>
      </c>
      <c r="G9" s="248">
        <v>0.57885688769814692</v>
      </c>
      <c r="H9" s="248">
        <v>0</v>
      </c>
      <c r="I9" s="242" t="e">
        <f>NA()</f>
        <v>#N/A</v>
      </c>
      <c r="J9" s="382"/>
      <c r="K9" s="382"/>
      <c r="L9" s="382"/>
      <c r="M9" s="382"/>
      <c r="N9" s="382"/>
      <c r="O9" s="382"/>
    </row>
    <row r="10" spans="1:15" x14ac:dyDescent="0.25">
      <c r="A10" s="248" t="s">
        <v>45</v>
      </c>
      <c r="B10" s="248" t="s">
        <v>36</v>
      </c>
      <c r="C10" s="248" t="s">
        <v>446</v>
      </c>
      <c r="D10" s="248">
        <v>0</v>
      </c>
      <c r="E10" s="248">
        <v>4.4066834146605831E-2</v>
      </c>
      <c r="F10" s="248">
        <v>3.8467181188749838E-2</v>
      </c>
      <c r="G10" s="248">
        <v>0.28558230085065539</v>
      </c>
      <c r="H10" s="248">
        <v>6.0865793020173798E-3</v>
      </c>
      <c r="I10" s="242" t="e">
        <f>NA()</f>
        <v>#N/A</v>
      </c>
      <c r="J10" s="382"/>
      <c r="K10" s="382"/>
      <c r="L10" s="382"/>
      <c r="M10" s="382"/>
      <c r="N10" s="382"/>
      <c r="O10" s="382"/>
    </row>
    <row r="11" spans="1:15" x14ac:dyDescent="0.25">
      <c r="A11" s="248" t="s">
        <v>46</v>
      </c>
      <c r="B11" s="248" t="s">
        <v>40</v>
      </c>
      <c r="C11" s="248" t="s">
        <v>446</v>
      </c>
      <c r="D11" s="248">
        <v>0</v>
      </c>
      <c r="E11" s="248">
        <v>0.29089552238805971</v>
      </c>
      <c r="F11" s="248">
        <v>0.35</v>
      </c>
      <c r="G11" s="248">
        <v>0.61412935323383089</v>
      </c>
      <c r="H11" s="248">
        <v>0</v>
      </c>
      <c r="I11" s="242" t="e">
        <f>NA()</f>
        <v>#N/A</v>
      </c>
      <c r="J11" s="382"/>
      <c r="K11" s="382"/>
      <c r="L11" s="382"/>
      <c r="M11" s="382"/>
      <c r="N11" s="382"/>
      <c r="O11" s="382"/>
    </row>
    <row r="12" spans="1:15" x14ac:dyDescent="0.25">
      <c r="A12" s="248" t="s">
        <v>47</v>
      </c>
      <c r="B12" s="248" t="s">
        <v>48</v>
      </c>
      <c r="C12" s="248" t="s">
        <v>446</v>
      </c>
      <c r="D12" s="248">
        <v>0</v>
      </c>
      <c r="E12" s="248">
        <v>0.44058739255014318</v>
      </c>
      <c r="F12" s="248">
        <v>0.2229083094555874</v>
      </c>
      <c r="G12" s="248">
        <v>0.64273638968481372</v>
      </c>
      <c r="H12" s="248">
        <v>2.865329512893983E-5</v>
      </c>
      <c r="I12" s="242" t="e">
        <f>NA()</f>
        <v>#N/A</v>
      </c>
      <c r="J12" s="382"/>
      <c r="K12" s="382"/>
      <c r="L12" s="382"/>
      <c r="M12" s="382"/>
      <c r="N12" s="382"/>
      <c r="O12" s="382"/>
    </row>
    <row r="13" spans="1:15" x14ac:dyDescent="0.25">
      <c r="A13" s="248" t="s">
        <v>49</v>
      </c>
      <c r="B13" s="248" t="s">
        <v>36</v>
      </c>
      <c r="C13" s="248" t="s">
        <v>446</v>
      </c>
      <c r="D13" s="248">
        <v>0</v>
      </c>
      <c r="E13" s="248">
        <v>2.0950183244904299E-3</v>
      </c>
      <c r="F13" s="248">
        <v>0</v>
      </c>
      <c r="G13" s="248">
        <v>3.8884809810617829E-2</v>
      </c>
      <c r="H13" s="248">
        <v>0</v>
      </c>
      <c r="I13" s="242" t="e">
        <f>NA()</f>
        <v>#N/A</v>
      </c>
    </row>
    <row r="14" spans="1:15" x14ac:dyDescent="0.25">
      <c r="A14" s="248" t="s">
        <v>50</v>
      </c>
      <c r="B14" s="248" t="s">
        <v>40</v>
      </c>
      <c r="C14" s="248" t="s">
        <v>446</v>
      </c>
      <c r="D14" s="248">
        <v>0</v>
      </c>
      <c r="E14" s="248">
        <v>7.7840269966254219E-2</v>
      </c>
      <c r="F14" s="248">
        <v>0.24808773903262091</v>
      </c>
      <c r="G14" s="248">
        <v>0.48498312710911129</v>
      </c>
      <c r="H14" s="248">
        <v>0</v>
      </c>
      <c r="I14" s="242" t="e">
        <f>NA()</f>
        <v>#N/A</v>
      </c>
    </row>
    <row r="15" spans="1:15" x14ac:dyDescent="0.25">
      <c r="A15" s="248" t="s">
        <v>51</v>
      </c>
      <c r="B15" s="248" t="s">
        <v>52</v>
      </c>
      <c r="C15" s="248" t="s">
        <v>446</v>
      </c>
      <c r="D15" s="248">
        <v>0</v>
      </c>
      <c r="E15" s="248">
        <v>0</v>
      </c>
      <c r="F15" s="248">
        <v>0</v>
      </c>
      <c r="G15" s="248">
        <v>4.8735408560311277E-2</v>
      </c>
      <c r="H15" s="248">
        <v>0</v>
      </c>
      <c r="I15" s="242" t="e">
        <f>NA()</f>
        <v>#N/A</v>
      </c>
    </row>
    <row r="16" spans="1:15" x14ac:dyDescent="0.25">
      <c r="A16" s="248" t="s">
        <v>53</v>
      </c>
      <c r="B16" s="248" t="s">
        <v>40</v>
      </c>
      <c r="C16" s="248" t="s">
        <v>446</v>
      </c>
      <c r="D16" s="248">
        <v>0</v>
      </c>
      <c r="E16" s="248">
        <v>0.14385150812064959</v>
      </c>
      <c r="F16" s="248">
        <v>0.2077494199535963</v>
      </c>
      <c r="G16" s="248">
        <v>0.64846867749419956</v>
      </c>
      <c r="H16" s="248">
        <v>0</v>
      </c>
      <c r="I16" s="242" t="e">
        <f>NA()</f>
        <v>#N/A</v>
      </c>
    </row>
    <row r="17" spans="1:9" x14ac:dyDescent="0.25">
      <c r="A17" s="248" t="s">
        <v>54</v>
      </c>
      <c r="B17" s="248" t="s">
        <v>40</v>
      </c>
      <c r="C17" s="248" t="s">
        <v>446</v>
      </c>
      <c r="D17" s="248">
        <v>0</v>
      </c>
      <c r="E17" s="248">
        <v>0.27020997375328082</v>
      </c>
      <c r="F17" s="248">
        <v>0.1098425196850394</v>
      </c>
      <c r="G17" s="248">
        <v>0.62145669291338579</v>
      </c>
      <c r="H17" s="248">
        <v>0</v>
      </c>
      <c r="I17" s="242" t="e">
        <f>NA()</f>
        <v>#N/A</v>
      </c>
    </row>
    <row r="18" spans="1:9" x14ac:dyDescent="0.25">
      <c r="A18" s="248" t="s">
        <v>56</v>
      </c>
      <c r="B18" s="248" t="s">
        <v>36</v>
      </c>
      <c r="C18" s="248" t="s">
        <v>446</v>
      </c>
      <c r="D18" s="248">
        <v>0</v>
      </c>
      <c r="E18" s="248">
        <v>2.039870190078813E-3</v>
      </c>
      <c r="F18" s="248">
        <v>0</v>
      </c>
      <c r="G18" s="248">
        <v>2.5915623551228562E-2</v>
      </c>
      <c r="H18" s="248">
        <v>0</v>
      </c>
      <c r="I18" s="242" t="e">
        <f>NA()</f>
        <v>#N/A</v>
      </c>
    </row>
    <row r="19" spans="1:9" x14ac:dyDescent="0.25">
      <c r="A19" t="s">
        <v>60</v>
      </c>
      <c r="B19" s="248" t="s">
        <v>48</v>
      </c>
      <c r="C19" s="248" t="s">
        <v>446</v>
      </c>
      <c r="D19" s="248">
        <v>0</v>
      </c>
      <c r="E19" s="248">
        <v>4.3914680050188204E-3</v>
      </c>
      <c r="F19" s="248">
        <v>4.6800501882057713E-2</v>
      </c>
      <c r="G19" s="248">
        <v>0.16461731493099119</v>
      </c>
      <c r="H19" s="248">
        <v>4.0150564617314928E-3</v>
      </c>
      <c r="I19" s="242" t="e">
        <f>NA()</f>
        <v>#N/A</v>
      </c>
    </row>
    <row r="20" spans="1:9" x14ac:dyDescent="0.25">
      <c r="A20" t="s">
        <v>61</v>
      </c>
      <c r="B20" s="248" t="s">
        <v>48</v>
      </c>
      <c r="C20" s="248" t="s">
        <v>446</v>
      </c>
      <c r="D20" s="248">
        <v>0</v>
      </c>
      <c r="E20" s="248">
        <v>4.3914680050188204E-3</v>
      </c>
      <c r="F20" s="248">
        <v>4.6800501882057713E-2</v>
      </c>
      <c r="G20" s="248">
        <v>0.16461731493099119</v>
      </c>
      <c r="H20" s="248">
        <v>4.0150564617314928E-3</v>
      </c>
      <c r="I20" s="242" t="e">
        <f>NA()</f>
        <v>#N/A</v>
      </c>
    </row>
    <row r="21" spans="1:9" x14ac:dyDescent="0.25">
      <c r="A21" t="s">
        <v>62</v>
      </c>
      <c r="B21" s="248" t="s">
        <v>48</v>
      </c>
      <c r="C21" s="248" t="s">
        <v>446</v>
      </c>
      <c r="D21" s="248">
        <v>0</v>
      </c>
      <c r="E21" s="248">
        <v>4.3914680050188204E-3</v>
      </c>
      <c r="F21" s="248">
        <v>4.6800501882057713E-2</v>
      </c>
      <c r="G21" s="248">
        <v>0.16461731493099119</v>
      </c>
      <c r="H21" s="248">
        <v>4.0150564617314928E-3</v>
      </c>
      <c r="I21" s="242" t="e">
        <f>NA()</f>
        <v>#N/A</v>
      </c>
    </row>
    <row r="22" spans="1:9" x14ac:dyDescent="0.25">
      <c r="A22" t="s">
        <v>63</v>
      </c>
      <c r="B22" s="248" t="s">
        <v>48</v>
      </c>
      <c r="C22" s="248" t="s">
        <v>446</v>
      </c>
      <c r="D22" s="248">
        <v>0</v>
      </c>
      <c r="E22" s="248">
        <v>4.3914680050188204E-3</v>
      </c>
      <c r="F22" s="248">
        <v>4.6800501882057713E-2</v>
      </c>
      <c r="G22" s="248">
        <v>0.16461731493099119</v>
      </c>
      <c r="H22" s="248">
        <v>4.0150564617314928E-3</v>
      </c>
      <c r="I22" s="242" t="e">
        <f>NA()</f>
        <v>#N/A</v>
      </c>
    </row>
    <row r="23" spans="1:9" x14ac:dyDescent="0.25">
      <c r="A23" t="s">
        <v>64</v>
      </c>
      <c r="B23" s="248" t="s">
        <v>48</v>
      </c>
      <c r="C23" s="248" t="s">
        <v>446</v>
      </c>
      <c r="D23" s="248">
        <v>0</v>
      </c>
      <c r="E23" s="248">
        <v>4.3914680050188204E-3</v>
      </c>
      <c r="F23" s="248">
        <v>4.6800501882057713E-2</v>
      </c>
      <c r="G23" s="248">
        <v>0.16461731493099119</v>
      </c>
      <c r="H23" s="248">
        <v>4.0150564617314928E-3</v>
      </c>
      <c r="I23" s="242" t="e">
        <f>NA()</f>
        <v>#N/A</v>
      </c>
    </row>
    <row r="24" spans="1:9" x14ac:dyDescent="0.25">
      <c r="A24" t="s">
        <v>58</v>
      </c>
      <c r="B24" s="248" t="s">
        <v>48</v>
      </c>
      <c r="C24" s="248" t="s">
        <v>446</v>
      </c>
      <c r="D24" s="248">
        <v>0</v>
      </c>
      <c r="E24" s="248">
        <v>0.4997652030993191</v>
      </c>
      <c r="F24" s="248">
        <v>0.19420051655318149</v>
      </c>
      <c r="G24" s="248">
        <v>0.47774125381544968</v>
      </c>
      <c r="H24" s="248">
        <v>1.3101667057994841E-2</v>
      </c>
      <c r="I24" s="242" t="e">
        <f>NA()</f>
        <v>#N/A</v>
      </c>
    </row>
    <row r="25" spans="1:9" x14ac:dyDescent="0.25">
      <c r="A25" t="s">
        <v>59</v>
      </c>
      <c r="B25" s="248" t="s">
        <v>48</v>
      </c>
      <c r="C25" s="248" t="s">
        <v>446</v>
      </c>
      <c r="D25" s="248">
        <v>0</v>
      </c>
      <c r="E25" s="248">
        <v>0.48439849624060161</v>
      </c>
      <c r="F25" s="248">
        <v>0.19429824561403511</v>
      </c>
      <c r="G25" s="248">
        <v>0.44918546365914791</v>
      </c>
      <c r="H25" s="248">
        <v>1.7481203007518799E-2</v>
      </c>
      <c r="I25" s="242" t="e">
        <f>NA()</f>
        <v>#N/A</v>
      </c>
    </row>
    <row r="26" spans="1:9" x14ac:dyDescent="0.25">
      <c r="A26" s="248" t="s">
        <v>447</v>
      </c>
      <c r="B26" s="248" t="s">
        <v>40</v>
      </c>
      <c r="C26" s="248" t="s">
        <v>446</v>
      </c>
      <c r="D26" s="248">
        <v>0</v>
      </c>
      <c r="E26" s="248">
        <v>0.5209459459459459</v>
      </c>
      <c r="F26" s="248">
        <v>0.2445151033386328</v>
      </c>
      <c r="G26" s="248">
        <v>0.54181240063593006</v>
      </c>
      <c r="H26" s="248">
        <v>0</v>
      </c>
      <c r="I26" s="242" t="e">
        <f>NA()</f>
        <v>#N/A</v>
      </c>
    </row>
    <row r="27" spans="1:9" x14ac:dyDescent="0.25">
      <c r="A27" s="248" t="s">
        <v>448</v>
      </c>
      <c r="B27" s="248" t="s">
        <v>48</v>
      </c>
      <c r="C27" s="248" t="s">
        <v>446</v>
      </c>
      <c r="D27" s="248">
        <v>0</v>
      </c>
      <c r="E27" s="248">
        <v>0.40781592403214018</v>
      </c>
      <c r="F27" s="248">
        <v>0.29853907962016069</v>
      </c>
      <c r="G27" s="248">
        <v>0.58802045288531768</v>
      </c>
      <c r="H27" s="248">
        <v>0</v>
      </c>
      <c r="I27" s="242" t="e">
        <f>NA()</f>
        <v>#N/A</v>
      </c>
    </row>
    <row r="28" spans="1:9" x14ac:dyDescent="0.25">
      <c r="A28" t="s">
        <v>66</v>
      </c>
      <c r="B28" s="248" t="s">
        <v>40</v>
      </c>
      <c r="C28" s="248" t="s">
        <v>446</v>
      </c>
      <c r="D28" s="248">
        <v>0</v>
      </c>
      <c r="E28" s="248">
        <v>0.1647274393037105</v>
      </c>
      <c r="F28" s="248">
        <v>0.1176591846083371</v>
      </c>
      <c r="G28" s="248">
        <v>0.54647274393037104</v>
      </c>
      <c r="H28" s="248">
        <v>0</v>
      </c>
      <c r="I28" s="242" t="e">
        <f>NA()</f>
        <v>#N/A</v>
      </c>
    </row>
    <row r="29" spans="1:9" x14ac:dyDescent="0.25">
      <c r="A29" t="s">
        <v>67</v>
      </c>
      <c r="B29" s="248" t="s">
        <v>40</v>
      </c>
      <c r="C29" s="248" t="s">
        <v>446</v>
      </c>
      <c r="D29" s="248">
        <v>0</v>
      </c>
      <c r="E29" s="248">
        <v>0.1647274393037105</v>
      </c>
      <c r="F29" s="248">
        <v>0.1176591846083371</v>
      </c>
      <c r="G29" s="248">
        <v>0.54647274393037104</v>
      </c>
      <c r="H29" s="248">
        <v>0</v>
      </c>
      <c r="I29" s="242" t="e">
        <f>NA()</f>
        <v>#N/A</v>
      </c>
    </row>
    <row r="30" spans="1:9" x14ac:dyDescent="0.25">
      <c r="A30" s="248" t="s">
        <v>68</v>
      </c>
      <c r="B30" s="248" t="s">
        <v>36</v>
      </c>
      <c r="C30" s="248" t="s">
        <v>446</v>
      </c>
      <c r="D30" s="248">
        <v>0</v>
      </c>
      <c r="E30" s="248">
        <v>2.102078453719498E-3</v>
      </c>
      <c r="F30" s="248">
        <v>0</v>
      </c>
      <c r="G30" s="248">
        <v>3.8888451393810697E-2</v>
      </c>
      <c r="H30" s="248">
        <v>0</v>
      </c>
      <c r="I30" s="242" t="e">
        <f>NA()</f>
        <v>#N/A</v>
      </c>
    </row>
    <row r="31" spans="1:9" x14ac:dyDescent="0.25">
      <c r="A31" t="s">
        <v>69</v>
      </c>
      <c r="B31" s="248" t="s">
        <v>40</v>
      </c>
      <c r="C31" s="248" t="s">
        <v>446</v>
      </c>
      <c r="D31" s="248">
        <v>0</v>
      </c>
      <c r="E31" s="248">
        <v>0.1745311778290993</v>
      </c>
      <c r="F31" s="248">
        <v>8.5533487297921484E-2</v>
      </c>
      <c r="G31" s="248">
        <v>0.4999168591224018</v>
      </c>
      <c r="H31" s="248">
        <v>0</v>
      </c>
      <c r="I31" s="242" t="e">
        <f>NA()</f>
        <v>#N/A</v>
      </c>
    </row>
    <row r="32" spans="1:9" x14ac:dyDescent="0.25">
      <c r="A32" t="s">
        <v>70</v>
      </c>
      <c r="B32" s="248" t="s">
        <v>40</v>
      </c>
      <c r="C32" s="248" t="s">
        <v>446</v>
      </c>
      <c r="D32" s="248">
        <v>0</v>
      </c>
      <c r="E32" s="248">
        <v>0.1745311778290993</v>
      </c>
      <c r="F32" s="248">
        <v>8.5533487297921484E-2</v>
      </c>
      <c r="G32" s="248">
        <v>0.4999168591224018</v>
      </c>
      <c r="H32" s="248">
        <v>0</v>
      </c>
      <c r="I32" s="242" t="e">
        <f>NA()</f>
        <v>#N/A</v>
      </c>
    </row>
    <row r="33" spans="1:9" x14ac:dyDescent="0.25">
      <c r="A33" t="s">
        <v>71</v>
      </c>
      <c r="B33" s="248" t="s">
        <v>40</v>
      </c>
      <c r="C33" s="248" t="s">
        <v>446</v>
      </c>
      <c r="D33" s="248">
        <v>0</v>
      </c>
      <c r="E33" s="248">
        <v>0.1745311778290993</v>
      </c>
      <c r="F33" s="248">
        <v>8.5533487297921484E-2</v>
      </c>
      <c r="G33" s="248">
        <v>0.4999168591224018</v>
      </c>
      <c r="H33" s="248">
        <v>0</v>
      </c>
      <c r="I33" s="242" t="e">
        <f>NA()</f>
        <v>#N/A</v>
      </c>
    </row>
    <row r="34" spans="1:9" x14ac:dyDescent="0.25">
      <c r="A34" t="s">
        <v>72</v>
      </c>
      <c r="B34" s="248" t="s">
        <v>40</v>
      </c>
      <c r="C34" s="248" t="s">
        <v>446</v>
      </c>
      <c r="D34" s="248">
        <v>0</v>
      </c>
      <c r="E34" s="248">
        <v>0.1745311778290993</v>
      </c>
      <c r="F34" s="248">
        <v>8.5533487297921484E-2</v>
      </c>
      <c r="G34" s="248">
        <v>0.4999168591224018</v>
      </c>
      <c r="H34" s="248">
        <v>0</v>
      </c>
      <c r="I34" s="242" t="e">
        <f>NA()</f>
        <v>#N/A</v>
      </c>
    </row>
    <row r="35" spans="1:9" x14ac:dyDescent="0.25">
      <c r="A35" t="s">
        <v>73</v>
      </c>
      <c r="B35" s="248" t="s">
        <v>40</v>
      </c>
      <c r="C35" s="248" t="s">
        <v>446</v>
      </c>
      <c r="D35" s="248">
        <v>0</v>
      </c>
      <c r="E35" s="248">
        <v>0.1745311778290993</v>
      </c>
      <c r="F35" s="248">
        <v>8.5533487297921484E-2</v>
      </c>
      <c r="G35" s="248">
        <v>0.4999168591224018</v>
      </c>
      <c r="H35" s="248">
        <v>0</v>
      </c>
      <c r="I35" s="242" t="e">
        <f>NA()</f>
        <v>#N/A</v>
      </c>
    </row>
    <row r="36" spans="1:9" x14ac:dyDescent="0.25">
      <c r="A36" t="s">
        <v>74</v>
      </c>
      <c r="B36" s="248" t="s">
        <v>40</v>
      </c>
      <c r="C36" s="248" t="s">
        <v>446</v>
      </c>
      <c r="D36" s="248">
        <v>0</v>
      </c>
      <c r="E36" s="248">
        <v>0.1745311778290993</v>
      </c>
      <c r="F36" s="248">
        <v>8.5533487297921484E-2</v>
      </c>
      <c r="G36" s="248">
        <v>0.4999168591224018</v>
      </c>
      <c r="H36" s="248">
        <v>0</v>
      </c>
      <c r="I36" s="242" t="e">
        <f>NA()</f>
        <v>#N/A</v>
      </c>
    </row>
    <row r="37" spans="1:9" x14ac:dyDescent="0.25">
      <c r="A37" t="s">
        <v>75</v>
      </c>
      <c r="B37" s="248" t="s">
        <v>40</v>
      </c>
      <c r="C37" s="248" t="s">
        <v>446</v>
      </c>
      <c r="D37" s="248">
        <v>0</v>
      </c>
      <c r="E37" s="248">
        <v>0.1745311778290993</v>
      </c>
      <c r="F37" s="248">
        <v>8.5533487297921484E-2</v>
      </c>
      <c r="G37" s="248">
        <v>0.4999168591224018</v>
      </c>
      <c r="H37" s="248">
        <v>0</v>
      </c>
      <c r="I37" s="242" t="e">
        <f>NA()</f>
        <v>#N/A</v>
      </c>
    </row>
    <row r="38" spans="1:9" x14ac:dyDescent="0.25">
      <c r="A38" t="s">
        <v>76</v>
      </c>
      <c r="B38" s="248" t="s">
        <v>40</v>
      </c>
      <c r="C38" s="248" t="s">
        <v>446</v>
      </c>
      <c r="D38" s="248">
        <v>0</v>
      </c>
      <c r="E38" s="248">
        <v>0.1745311778290993</v>
      </c>
      <c r="F38" s="248">
        <v>8.5533487297921484E-2</v>
      </c>
      <c r="G38" s="248">
        <v>0.4999168591224018</v>
      </c>
      <c r="H38" s="248">
        <v>0</v>
      </c>
      <c r="I38" s="242" t="e">
        <f>NA()</f>
        <v>#N/A</v>
      </c>
    </row>
    <row r="39" spans="1:9" x14ac:dyDescent="0.25">
      <c r="A39" t="s">
        <v>77</v>
      </c>
      <c r="B39" s="248" t="s">
        <v>40</v>
      </c>
      <c r="C39" s="248" t="s">
        <v>446</v>
      </c>
      <c r="D39" s="248">
        <v>0</v>
      </c>
      <c r="E39" s="248">
        <v>0.1745311778290993</v>
      </c>
      <c r="F39" s="248">
        <v>8.5533487297921484E-2</v>
      </c>
      <c r="G39" s="248">
        <v>0.4999168591224018</v>
      </c>
      <c r="H39" s="248">
        <v>0</v>
      </c>
      <c r="I39" s="242" t="e">
        <f>NA()</f>
        <v>#N/A</v>
      </c>
    </row>
    <row r="40" spans="1:9" x14ac:dyDescent="0.25">
      <c r="A40" s="248" t="s">
        <v>78</v>
      </c>
      <c r="B40" s="248" t="s">
        <v>40</v>
      </c>
      <c r="C40" s="248" t="s">
        <v>446</v>
      </c>
      <c r="D40" s="248">
        <v>0</v>
      </c>
      <c r="E40" s="248">
        <v>0.41572819240313041</v>
      </c>
      <c r="F40" s="248">
        <v>0.1913914869249857</v>
      </c>
      <c r="G40" s="248">
        <v>0.53254437869822491</v>
      </c>
      <c r="H40" s="248">
        <v>1.3361328497804931E-4</v>
      </c>
      <c r="I40" s="242" t="e">
        <f>NA()</f>
        <v>#N/A</v>
      </c>
    </row>
    <row r="41" spans="1:9" x14ac:dyDescent="0.25">
      <c r="A41" s="248" t="s">
        <v>80</v>
      </c>
      <c r="B41" s="248" t="s">
        <v>40</v>
      </c>
      <c r="C41" s="248" t="s">
        <v>446</v>
      </c>
      <c r="D41" s="248">
        <v>0</v>
      </c>
      <c r="E41" s="248">
        <v>0.54503994673768308</v>
      </c>
      <c r="F41" s="248">
        <v>0.15908788282290279</v>
      </c>
      <c r="G41" s="248">
        <v>0.43034287616511319</v>
      </c>
      <c r="H41" s="248">
        <v>4.3275632490013318E-4</v>
      </c>
      <c r="I41" s="242" t="e">
        <f>NA()</f>
        <v>#N/A</v>
      </c>
    </row>
    <row r="42" spans="1:9" x14ac:dyDescent="0.25">
      <c r="A42" s="248" t="s">
        <v>81</v>
      </c>
      <c r="B42" s="248" t="s">
        <v>40</v>
      </c>
      <c r="C42" s="248" t="s">
        <v>446</v>
      </c>
      <c r="D42" s="248">
        <v>0</v>
      </c>
      <c r="E42" s="248">
        <v>0.6426647144948755</v>
      </c>
      <c r="F42" s="248">
        <v>0.10120058565153731</v>
      </c>
      <c r="G42" s="248">
        <v>0.72368960468521226</v>
      </c>
      <c r="H42" s="248">
        <v>0</v>
      </c>
      <c r="I42" s="242" t="e">
        <f>NA()</f>
        <v>#N/A</v>
      </c>
    </row>
    <row r="43" spans="1:9" x14ac:dyDescent="0.25">
      <c r="A43" s="248" t="s">
        <v>82</v>
      </c>
      <c r="B43" s="248" t="s">
        <v>40</v>
      </c>
      <c r="C43" s="248" t="s">
        <v>446</v>
      </c>
      <c r="D43" s="248">
        <v>0</v>
      </c>
      <c r="E43" s="248">
        <v>0.40857352671195152</v>
      </c>
      <c r="F43" s="248">
        <v>4.8338534973379838E-2</v>
      </c>
      <c r="G43" s="248">
        <v>0.47853864512575728</v>
      </c>
      <c r="H43" s="248">
        <v>0</v>
      </c>
      <c r="I43" s="242" t="e">
        <f>NA()</f>
        <v>#N/A</v>
      </c>
    </row>
    <row r="44" spans="1:9" x14ac:dyDescent="0.25">
      <c r="A44" s="248" t="s">
        <v>83</v>
      </c>
      <c r="B44" s="248" t="s">
        <v>40</v>
      </c>
      <c r="C44" s="248" t="s">
        <v>446</v>
      </c>
      <c r="D44" s="248">
        <v>0</v>
      </c>
      <c r="E44" s="248">
        <v>0.1816901408450704</v>
      </c>
      <c r="F44" s="248">
        <v>7.7934272300469482E-2</v>
      </c>
      <c r="G44" s="248">
        <v>0.5826291079812207</v>
      </c>
      <c r="H44" s="248">
        <v>0</v>
      </c>
      <c r="I44" s="242" t="e">
        <f>NA()</f>
        <v>#N/A</v>
      </c>
    </row>
    <row r="45" spans="1:9" x14ac:dyDescent="0.25">
      <c r="A45" t="s">
        <v>84</v>
      </c>
      <c r="B45" s="248" t="s">
        <v>40</v>
      </c>
      <c r="C45" s="248" t="s">
        <v>446</v>
      </c>
      <c r="D45" s="248">
        <v>0</v>
      </c>
      <c r="E45" s="248">
        <v>0.3912800206593785</v>
      </c>
      <c r="F45" s="248">
        <v>0.1636136696221055</v>
      </c>
      <c r="G45" s="248">
        <v>0.54432297495050352</v>
      </c>
      <c r="H45" s="248">
        <v>8.6080743737625887E-6</v>
      </c>
      <c r="I45" s="242" t="e">
        <f>NA()</f>
        <v>#N/A</v>
      </c>
    </row>
    <row r="46" spans="1:9" x14ac:dyDescent="0.25">
      <c r="A46" t="s">
        <v>85</v>
      </c>
      <c r="B46" s="248" t="s">
        <v>40</v>
      </c>
      <c r="C46" s="248" t="s">
        <v>446</v>
      </c>
      <c r="D46" s="248">
        <v>0</v>
      </c>
      <c r="E46" s="248">
        <v>0.3912800206593785</v>
      </c>
      <c r="F46" s="248">
        <v>0.1636136696221055</v>
      </c>
      <c r="G46" s="248">
        <v>0.54432297495050352</v>
      </c>
      <c r="H46" s="248">
        <v>8.6080743737625887E-6</v>
      </c>
      <c r="I46" s="242" t="e">
        <f>NA()</f>
        <v>#N/A</v>
      </c>
    </row>
    <row r="47" spans="1:9" x14ac:dyDescent="0.25">
      <c r="A47" s="248" t="s">
        <v>86</v>
      </c>
      <c r="B47" s="248" t="s">
        <v>87</v>
      </c>
      <c r="C47" s="248" t="s">
        <v>446</v>
      </c>
      <c r="D47" s="248">
        <v>0</v>
      </c>
      <c r="E47" s="248">
        <v>4.9154589371980681E-2</v>
      </c>
      <c r="F47" s="248">
        <v>0.1537842190016103</v>
      </c>
      <c r="G47" s="248">
        <v>0.33055555555555549</v>
      </c>
      <c r="H47" s="248">
        <v>1.723027375201288E-2</v>
      </c>
      <c r="I47" s="242" t="e">
        <f>NA()</f>
        <v>#N/A</v>
      </c>
    </row>
    <row r="48" spans="1:9" x14ac:dyDescent="0.25">
      <c r="A48" t="s">
        <v>88</v>
      </c>
      <c r="B48" s="248" t="s">
        <v>48</v>
      </c>
      <c r="C48" s="248" t="s">
        <v>446</v>
      </c>
      <c r="D48" s="248">
        <v>0</v>
      </c>
      <c r="E48" s="248">
        <v>0.46690442225392298</v>
      </c>
      <c r="F48" s="248">
        <v>0.1364479315263909</v>
      </c>
      <c r="G48" s="248">
        <v>0.47135520684736087</v>
      </c>
      <c r="H48" s="248">
        <v>1.6690442225392301E-3</v>
      </c>
      <c r="I48" s="242" t="e">
        <f>NA()</f>
        <v>#N/A</v>
      </c>
    </row>
    <row r="49" spans="1:9" x14ac:dyDescent="0.25">
      <c r="A49" t="s">
        <v>89</v>
      </c>
      <c r="B49" s="248" t="s">
        <v>48</v>
      </c>
      <c r="C49" s="248" t="s">
        <v>446</v>
      </c>
      <c r="D49" s="248">
        <v>0</v>
      </c>
      <c r="E49" s="248">
        <v>0.46690442225392298</v>
      </c>
      <c r="F49" s="248">
        <v>0.1364479315263909</v>
      </c>
      <c r="G49" s="248">
        <v>0.47135520684736087</v>
      </c>
      <c r="H49" s="248">
        <v>1.6690442225392301E-3</v>
      </c>
      <c r="I49" s="242" t="e">
        <f>NA()</f>
        <v>#N/A</v>
      </c>
    </row>
    <row r="50" spans="1:9" x14ac:dyDescent="0.25">
      <c r="A50" t="s">
        <v>90</v>
      </c>
      <c r="B50" s="248" t="s">
        <v>48</v>
      </c>
      <c r="C50" s="248" t="s">
        <v>446</v>
      </c>
      <c r="D50" s="248">
        <v>0</v>
      </c>
      <c r="E50" s="248">
        <v>0.46690442225392298</v>
      </c>
      <c r="F50" s="248">
        <v>0.1364479315263909</v>
      </c>
      <c r="G50" s="248">
        <v>0.47135520684736087</v>
      </c>
      <c r="H50" s="248">
        <v>1.6690442225392301E-3</v>
      </c>
      <c r="I50" s="242" t="e">
        <f>NA()</f>
        <v>#N/A</v>
      </c>
    </row>
    <row r="51" spans="1:9" x14ac:dyDescent="0.25">
      <c r="A51" t="s">
        <v>91</v>
      </c>
      <c r="B51" s="248" t="s">
        <v>48</v>
      </c>
      <c r="C51" s="248" t="s">
        <v>446</v>
      </c>
      <c r="D51" s="248">
        <v>0</v>
      </c>
      <c r="E51" s="248">
        <v>0.46690442225392298</v>
      </c>
      <c r="F51" s="248">
        <v>0.1364479315263909</v>
      </c>
      <c r="G51" s="248">
        <v>0.47135520684736087</v>
      </c>
      <c r="H51" s="248">
        <v>1.6690442225392301E-3</v>
      </c>
      <c r="I51" s="242" t="e">
        <f>NA()</f>
        <v>#N/A</v>
      </c>
    </row>
    <row r="52" spans="1:9" x14ac:dyDescent="0.25">
      <c r="A52" t="s">
        <v>92</v>
      </c>
      <c r="B52" s="248" t="s">
        <v>48</v>
      </c>
      <c r="C52" s="248" t="s">
        <v>446</v>
      </c>
      <c r="D52" s="248">
        <v>0</v>
      </c>
      <c r="E52" s="248">
        <v>0.46690442225392298</v>
      </c>
      <c r="F52" s="248">
        <v>0.1364479315263909</v>
      </c>
      <c r="G52" s="248">
        <v>0.47135520684736087</v>
      </c>
      <c r="H52" s="248">
        <v>1.6690442225392301E-3</v>
      </c>
      <c r="I52" s="242" t="e">
        <f>NA()</f>
        <v>#N/A</v>
      </c>
    </row>
    <row r="53" spans="1:9" x14ac:dyDescent="0.25">
      <c r="A53" t="s">
        <v>93</v>
      </c>
      <c r="B53" s="248" t="s">
        <v>36</v>
      </c>
      <c r="C53" s="248" t="s">
        <v>446</v>
      </c>
      <c r="D53" s="248">
        <v>0</v>
      </c>
      <c r="E53" s="248">
        <v>2.094033978664559E-3</v>
      </c>
      <c r="F53" s="248">
        <v>0</v>
      </c>
      <c r="G53" s="248">
        <v>3.9075464243382069E-2</v>
      </c>
      <c r="H53" s="248">
        <v>0</v>
      </c>
      <c r="I53" s="242" t="e">
        <f>NA()</f>
        <v>#N/A</v>
      </c>
    </row>
    <row r="54" spans="1:9" x14ac:dyDescent="0.25">
      <c r="A54" t="s">
        <v>94</v>
      </c>
      <c r="B54" s="248" t="s">
        <v>36</v>
      </c>
      <c r="C54" s="248" t="s">
        <v>446</v>
      </c>
      <c r="D54" s="248">
        <v>0</v>
      </c>
      <c r="E54" s="248">
        <v>2.094033978664559E-3</v>
      </c>
      <c r="F54" s="248">
        <v>0</v>
      </c>
      <c r="G54" s="248">
        <v>3.9075464243382069E-2</v>
      </c>
      <c r="H54" s="248">
        <v>0</v>
      </c>
      <c r="I54" s="242" t="e">
        <f>NA()</f>
        <v>#N/A</v>
      </c>
    </row>
    <row r="55" spans="1:9" x14ac:dyDescent="0.25">
      <c r="A55" t="s">
        <v>95</v>
      </c>
      <c r="B55" s="248" t="s">
        <v>36</v>
      </c>
      <c r="C55" s="248" t="s">
        <v>446</v>
      </c>
      <c r="D55" s="248">
        <v>0</v>
      </c>
      <c r="E55" s="248">
        <v>2.094033978664559E-3</v>
      </c>
      <c r="F55" s="248">
        <v>0</v>
      </c>
      <c r="G55" s="248">
        <v>3.9075464243382069E-2</v>
      </c>
      <c r="H55" s="248">
        <v>0</v>
      </c>
      <c r="I55" s="242" t="e">
        <f>NA()</f>
        <v>#N/A</v>
      </c>
    </row>
    <row r="56" spans="1:9" x14ac:dyDescent="0.25">
      <c r="A56" s="248" t="s">
        <v>96</v>
      </c>
      <c r="B56" s="248" t="s">
        <v>36</v>
      </c>
      <c r="C56" s="248" t="s">
        <v>446</v>
      </c>
      <c r="D56" s="248">
        <v>0</v>
      </c>
      <c r="E56" s="248">
        <v>2.0972199642334578E-3</v>
      </c>
      <c r="F56" s="248">
        <v>0</v>
      </c>
      <c r="G56" s="248">
        <v>3.8936758250690942E-2</v>
      </c>
      <c r="H56" s="248">
        <v>0</v>
      </c>
      <c r="I56" s="242" t="e">
        <f>NA()</f>
        <v>#N/A</v>
      </c>
    </row>
    <row r="57" spans="1:9" x14ac:dyDescent="0.25">
      <c r="A57" s="248" t="s">
        <v>98</v>
      </c>
      <c r="B57" s="248" t="s">
        <v>36</v>
      </c>
      <c r="C57" s="248" t="s">
        <v>446</v>
      </c>
      <c r="D57" s="248">
        <v>0</v>
      </c>
      <c r="E57" s="248">
        <v>2.0945808866070538E-3</v>
      </c>
      <c r="F57" s="248">
        <v>0</v>
      </c>
      <c r="G57" s="248">
        <v>3.8858086792917072E-2</v>
      </c>
      <c r="H57" s="248">
        <v>7.9449619836819297E-4</v>
      </c>
      <c r="I57" s="242" t="e">
        <f>NA()</f>
        <v>#N/A</v>
      </c>
    </row>
    <row r="58" spans="1:9" x14ac:dyDescent="0.25">
      <c r="A58" s="248" t="s">
        <v>99</v>
      </c>
      <c r="B58" s="248" t="s">
        <v>48</v>
      </c>
      <c r="C58" s="248" t="s">
        <v>446</v>
      </c>
      <c r="D58" s="248">
        <v>0</v>
      </c>
      <c r="E58" s="248">
        <v>0.4315694527961515</v>
      </c>
      <c r="F58" s="248">
        <v>0.28854479855682502</v>
      </c>
      <c r="G58" s="248">
        <v>0.5662056524353577</v>
      </c>
      <c r="H58" s="248">
        <v>2.886349969933854E-3</v>
      </c>
      <c r="I58" s="242" t="e">
        <f>NA()</f>
        <v>#N/A</v>
      </c>
    </row>
    <row r="59" spans="1:9" x14ac:dyDescent="0.25">
      <c r="A59" s="248" t="s">
        <v>101</v>
      </c>
      <c r="B59" s="248" t="s">
        <v>48</v>
      </c>
      <c r="C59" s="248" t="s">
        <v>446</v>
      </c>
      <c r="D59" s="248">
        <v>0</v>
      </c>
      <c r="E59" s="248">
        <v>0.2452017448200654</v>
      </c>
      <c r="F59" s="248">
        <v>0.33233369683751363</v>
      </c>
      <c r="G59" s="248">
        <v>0.57181025081788439</v>
      </c>
      <c r="H59" s="248">
        <v>5.5616139585605226E-3</v>
      </c>
      <c r="I59" s="242" t="e">
        <f>NA()</f>
        <v>#N/A</v>
      </c>
    </row>
    <row r="60" spans="1:9" x14ac:dyDescent="0.25">
      <c r="A60" s="248" t="s">
        <v>102</v>
      </c>
      <c r="B60" s="248" t="s">
        <v>36</v>
      </c>
      <c r="C60" s="248" t="s">
        <v>446</v>
      </c>
      <c r="D60" s="248">
        <v>0</v>
      </c>
      <c r="E60" s="248">
        <v>5.3936734368055647E-3</v>
      </c>
      <c r="F60" s="248">
        <v>4.1126759955642432E-2</v>
      </c>
      <c r="G60" s="248">
        <v>0.24001846793784759</v>
      </c>
      <c r="H60" s="248">
        <v>0</v>
      </c>
      <c r="I60" s="242" t="e">
        <f>NA()</f>
        <v>#N/A</v>
      </c>
    </row>
    <row r="61" spans="1:9" x14ac:dyDescent="0.25">
      <c r="A61" s="248" t="s">
        <v>103</v>
      </c>
      <c r="B61" s="248" t="s">
        <v>36</v>
      </c>
      <c r="C61" s="248" t="s">
        <v>446</v>
      </c>
      <c r="D61" s="248">
        <v>0</v>
      </c>
      <c r="E61" s="248">
        <v>2.1590845136208719E-3</v>
      </c>
      <c r="F61" s="248">
        <v>0</v>
      </c>
      <c r="G61" s="248">
        <v>3.8863521245175697E-2</v>
      </c>
      <c r="H61" s="248">
        <v>0</v>
      </c>
      <c r="I61" s="242" t="e">
        <f>NA()</f>
        <v>#N/A</v>
      </c>
    </row>
    <row r="62" spans="1:9" x14ac:dyDescent="0.25">
      <c r="A62" s="248" t="s">
        <v>104</v>
      </c>
      <c r="B62" s="248" t="s">
        <v>36</v>
      </c>
      <c r="C62" s="248" t="s">
        <v>446</v>
      </c>
      <c r="D62" s="248">
        <v>0.17260904187551171</v>
      </c>
      <c r="E62" s="248">
        <v>4.683963607476356E-2</v>
      </c>
      <c r="F62" s="248">
        <v>9.4476542550799694E-2</v>
      </c>
      <c r="G62" s="248">
        <v>0.24217088438654349</v>
      </c>
      <c r="H62" s="248">
        <v>0.10205061136288909</v>
      </c>
      <c r="I62" s="242" t="e">
        <f>NA()</f>
        <v>#N/A</v>
      </c>
    </row>
    <row r="63" spans="1:9" x14ac:dyDescent="0.25">
      <c r="A63" s="248" t="s">
        <v>106</v>
      </c>
      <c r="B63" s="248" t="s">
        <v>36</v>
      </c>
      <c r="C63" s="248" t="s">
        <v>446</v>
      </c>
      <c r="D63" s="248">
        <v>0.14497210174440919</v>
      </c>
      <c r="E63" s="248">
        <v>2.9972370816614271E-2</v>
      </c>
      <c r="F63" s="248">
        <v>1.9377907416179618E-2</v>
      </c>
      <c r="G63" s="248">
        <v>0.20256251817754109</v>
      </c>
      <c r="H63" s="248">
        <v>1.910625450847616E-2</v>
      </c>
      <c r="I63" s="242" t="e">
        <f>NA()</f>
        <v>#N/A</v>
      </c>
    </row>
    <row r="64" spans="1:9" x14ac:dyDescent="0.25">
      <c r="A64" s="248" t="s">
        <v>107</v>
      </c>
      <c r="B64" s="248" t="s">
        <v>40</v>
      </c>
      <c r="C64" s="248" t="s">
        <v>446</v>
      </c>
      <c r="D64" s="248">
        <v>0</v>
      </c>
      <c r="E64" s="248">
        <v>0.58696441539578803</v>
      </c>
      <c r="F64" s="248">
        <v>6.4923747276688454E-2</v>
      </c>
      <c r="G64" s="248">
        <v>0.54360929557007998</v>
      </c>
      <c r="H64" s="248">
        <v>1.1619462599854759E-3</v>
      </c>
      <c r="I64" s="242" t="e">
        <f>NA()</f>
        <v>#N/A</v>
      </c>
    </row>
    <row r="65" spans="1:9" x14ac:dyDescent="0.25">
      <c r="A65" s="248" t="s">
        <v>108</v>
      </c>
      <c r="B65" s="248" t="s">
        <v>48</v>
      </c>
      <c r="C65" s="248" t="s">
        <v>446</v>
      </c>
      <c r="D65" s="248">
        <v>0</v>
      </c>
      <c r="E65" s="248">
        <v>5.0694444444444438E-2</v>
      </c>
      <c r="F65" s="248">
        <v>0.28287037037037038</v>
      </c>
      <c r="G65" s="248">
        <v>0.40833333333333333</v>
      </c>
      <c r="H65" s="248">
        <v>0</v>
      </c>
      <c r="I65" s="242" t="e">
        <f>NA()</f>
        <v>#N/A</v>
      </c>
    </row>
    <row r="66" spans="1:9" x14ac:dyDescent="0.25">
      <c r="A66" s="248" t="s">
        <v>109</v>
      </c>
      <c r="B66" s="248" t="s">
        <v>36</v>
      </c>
      <c r="C66" s="248" t="s">
        <v>446</v>
      </c>
      <c r="D66" s="248">
        <v>0</v>
      </c>
      <c r="E66" s="248">
        <v>8.9332359124344868E-3</v>
      </c>
      <c r="F66" s="248">
        <v>6.5073296463054889E-2</v>
      </c>
      <c r="G66" s="248">
        <v>0.28455224851350952</v>
      </c>
      <c r="H66" s="248">
        <v>0</v>
      </c>
      <c r="I66" s="242" t="e">
        <f>NA()</f>
        <v>#N/A</v>
      </c>
    </row>
    <row r="67" spans="1:9" x14ac:dyDescent="0.25">
      <c r="A67" t="s">
        <v>110</v>
      </c>
      <c r="B67" s="248" t="s">
        <v>40</v>
      </c>
      <c r="C67" s="248" t="s">
        <v>446</v>
      </c>
      <c r="D67" s="248">
        <v>0</v>
      </c>
      <c r="E67" s="248">
        <v>0.43735933983495873</v>
      </c>
      <c r="F67" s="248">
        <v>0.20997749437359339</v>
      </c>
      <c r="G67" s="248">
        <v>0.63968492123030751</v>
      </c>
      <c r="H67" s="248">
        <v>0</v>
      </c>
      <c r="I67" s="242" t="e">
        <f>NA()</f>
        <v>#N/A</v>
      </c>
    </row>
    <row r="68" spans="1:9" x14ac:dyDescent="0.25">
      <c r="A68" t="s">
        <v>111</v>
      </c>
      <c r="B68" s="248" t="s">
        <v>40</v>
      </c>
      <c r="C68" s="248" t="s">
        <v>446</v>
      </c>
      <c r="D68" s="248">
        <v>0</v>
      </c>
      <c r="E68" s="248">
        <v>0.43735933983495873</v>
      </c>
      <c r="F68" s="248">
        <v>0.20997749437359339</v>
      </c>
      <c r="G68" s="248">
        <v>0.63968492123030751</v>
      </c>
      <c r="H68" s="248">
        <v>0</v>
      </c>
      <c r="I68" s="242" t="e">
        <f>NA()</f>
        <v>#N/A</v>
      </c>
    </row>
    <row r="69" spans="1:9" x14ac:dyDescent="0.25">
      <c r="A69" s="248" t="s">
        <v>112</v>
      </c>
      <c r="B69" s="248" t="s">
        <v>48</v>
      </c>
      <c r="C69" s="248" t="s">
        <v>446</v>
      </c>
      <c r="D69" s="248">
        <v>0</v>
      </c>
      <c r="E69" s="248">
        <v>0.27550200803212849</v>
      </c>
      <c r="F69" s="248">
        <v>0.24926372155287821</v>
      </c>
      <c r="G69" s="248">
        <v>0.55903614457831319</v>
      </c>
      <c r="H69" s="248">
        <v>0</v>
      </c>
      <c r="I69" s="242" t="e">
        <f>NA()</f>
        <v>#N/A</v>
      </c>
    </row>
    <row r="70" spans="1:9" x14ac:dyDescent="0.25">
      <c r="A70" s="248" t="s">
        <v>113</v>
      </c>
      <c r="B70" s="248" t="s">
        <v>40</v>
      </c>
      <c r="C70" s="248" t="s">
        <v>446</v>
      </c>
      <c r="D70" s="248">
        <v>0</v>
      </c>
      <c r="E70" s="248">
        <v>6.1546184738955817E-2</v>
      </c>
      <c r="F70" s="248">
        <v>9.9497991967871499E-2</v>
      </c>
      <c r="G70" s="248">
        <v>0.32545180722891559</v>
      </c>
      <c r="H70" s="248">
        <v>0</v>
      </c>
      <c r="I70" s="242" t="e">
        <f>NA()</f>
        <v>#N/A</v>
      </c>
    </row>
    <row r="71" spans="1:9" x14ac:dyDescent="0.25">
      <c r="A71" t="s">
        <v>114</v>
      </c>
      <c r="B71" s="248" t="s">
        <v>48</v>
      </c>
      <c r="C71" s="248" t="s">
        <v>446</v>
      </c>
      <c r="D71" s="248">
        <v>0</v>
      </c>
      <c r="E71" s="248">
        <v>3.6316626889419251E-2</v>
      </c>
      <c r="F71" s="248">
        <v>7.8281622911694507E-2</v>
      </c>
      <c r="G71" s="248">
        <v>0.30369928400954649</v>
      </c>
      <c r="H71" s="248">
        <v>1.988862370723946E-4</v>
      </c>
      <c r="I71" s="242" t="e">
        <f>NA()</f>
        <v>#N/A</v>
      </c>
    </row>
    <row r="72" spans="1:9" x14ac:dyDescent="0.25">
      <c r="A72" t="s">
        <v>115</v>
      </c>
      <c r="B72" s="248" t="s">
        <v>48</v>
      </c>
      <c r="C72" s="248" t="s">
        <v>446</v>
      </c>
      <c r="D72" s="248">
        <v>0</v>
      </c>
      <c r="E72" s="248">
        <v>3.6316626889419251E-2</v>
      </c>
      <c r="F72" s="248">
        <v>7.8281622911694507E-2</v>
      </c>
      <c r="G72" s="248">
        <v>0.30369928400954649</v>
      </c>
      <c r="H72" s="248">
        <v>1.988862370723946E-4</v>
      </c>
      <c r="I72" s="242" t="e">
        <f>NA()</f>
        <v>#N/A</v>
      </c>
    </row>
    <row r="73" spans="1:9" x14ac:dyDescent="0.25">
      <c r="A73" t="s">
        <v>116</v>
      </c>
      <c r="B73" s="248" t="s">
        <v>48</v>
      </c>
      <c r="C73" s="248" t="s">
        <v>446</v>
      </c>
      <c r="D73" s="248">
        <v>0</v>
      </c>
      <c r="E73" s="248">
        <v>3.6316626889419251E-2</v>
      </c>
      <c r="F73" s="248">
        <v>7.8281622911694507E-2</v>
      </c>
      <c r="G73" s="248">
        <v>0.30369928400954649</v>
      </c>
      <c r="H73" s="248">
        <v>1.988862370723946E-4</v>
      </c>
      <c r="I73" s="242" t="e">
        <f>NA()</f>
        <v>#N/A</v>
      </c>
    </row>
    <row r="74" spans="1:9" x14ac:dyDescent="0.25">
      <c r="A74" t="s">
        <v>117</v>
      </c>
      <c r="B74" s="248" t="s">
        <v>48</v>
      </c>
      <c r="C74" s="248" t="s">
        <v>446</v>
      </c>
      <c r="D74" s="248">
        <v>0</v>
      </c>
      <c r="E74" s="248">
        <v>3.6316626889419251E-2</v>
      </c>
      <c r="F74" s="248">
        <v>7.8281622911694507E-2</v>
      </c>
      <c r="G74" s="248">
        <v>0.30369928400954649</v>
      </c>
      <c r="H74" s="248">
        <v>1.988862370723946E-4</v>
      </c>
      <c r="I74" s="242" t="e">
        <f>NA()</f>
        <v>#N/A</v>
      </c>
    </row>
    <row r="75" spans="1:9" x14ac:dyDescent="0.25">
      <c r="A75" t="s">
        <v>118</v>
      </c>
      <c r="B75" s="248" t="s">
        <v>48</v>
      </c>
      <c r="C75" s="248" t="s">
        <v>446</v>
      </c>
      <c r="D75" s="248">
        <v>0</v>
      </c>
      <c r="E75" s="248">
        <v>5.8019082235347567E-2</v>
      </c>
      <c r="F75" s="248">
        <v>9.5592912312585182E-2</v>
      </c>
      <c r="G75" s="248">
        <v>0.33616537937301227</v>
      </c>
      <c r="H75" s="248">
        <v>9.0867787369377565E-5</v>
      </c>
      <c r="I75" s="242" t="e">
        <f>NA()</f>
        <v>#N/A</v>
      </c>
    </row>
    <row r="76" spans="1:9" x14ac:dyDescent="0.25">
      <c r="A76" t="s">
        <v>119</v>
      </c>
      <c r="B76" s="248" t="s">
        <v>48</v>
      </c>
      <c r="C76" s="248" t="s">
        <v>446</v>
      </c>
      <c r="D76" s="248">
        <v>0</v>
      </c>
      <c r="E76" s="248">
        <v>5.8019082235347567E-2</v>
      </c>
      <c r="F76" s="248">
        <v>9.5592912312585182E-2</v>
      </c>
      <c r="G76" s="248">
        <v>0.33616537937301227</v>
      </c>
      <c r="H76" s="248">
        <v>9.0867787369377565E-5</v>
      </c>
      <c r="I76" s="242" t="e">
        <f>NA()</f>
        <v>#N/A</v>
      </c>
    </row>
    <row r="77" spans="1:9" x14ac:dyDescent="0.25">
      <c r="A77" s="248" t="s">
        <v>120</v>
      </c>
      <c r="B77" s="248" t="s">
        <v>48</v>
      </c>
      <c r="C77" s="248" t="s">
        <v>446</v>
      </c>
      <c r="D77" s="248">
        <v>0</v>
      </c>
      <c r="E77" s="248">
        <v>0.20544346364018501</v>
      </c>
      <c r="F77" s="248">
        <v>0.36786464901219001</v>
      </c>
      <c r="G77" s="248">
        <v>0.52267759562841531</v>
      </c>
      <c r="H77" s="248">
        <v>3.1525851197982351E-4</v>
      </c>
      <c r="I77" s="242" t="e">
        <f>NA()</f>
        <v>#N/A</v>
      </c>
    </row>
    <row r="78" spans="1:9" x14ac:dyDescent="0.25">
      <c r="A78" s="248" t="s">
        <v>121</v>
      </c>
      <c r="B78" s="248" t="s">
        <v>48</v>
      </c>
      <c r="C78" s="248" t="s">
        <v>446</v>
      </c>
      <c r="D78" s="248">
        <v>0</v>
      </c>
      <c r="E78" s="248">
        <v>0.32497781721384211</v>
      </c>
      <c r="F78" s="248">
        <v>0.26228926353149962</v>
      </c>
      <c r="G78" s="248">
        <v>0.53402839396628221</v>
      </c>
      <c r="H78" s="248">
        <v>0</v>
      </c>
      <c r="I78" s="242" t="e">
        <f>NA()</f>
        <v>#N/A</v>
      </c>
    </row>
    <row r="79" spans="1:9" x14ac:dyDescent="0.25">
      <c r="A79" s="248" t="s">
        <v>127</v>
      </c>
      <c r="B79" s="248" t="s">
        <v>48</v>
      </c>
      <c r="C79" s="248" t="s">
        <v>446</v>
      </c>
      <c r="D79" s="248">
        <v>0</v>
      </c>
      <c r="E79" s="248">
        <v>0</v>
      </c>
      <c r="F79" s="248">
        <v>7.6595744680851077E-2</v>
      </c>
      <c r="G79" s="248">
        <v>0.15059101654846341</v>
      </c>
      <c r="H79" s="248">
        <v>9.4562647754137122E-4</v>
      </c>
      <c r="I79" s="242" t="e">
        <f>NA()</f>
        <v>#N/A</v>
      </c>
    </row>
    <row r="80" spans="1:9" x14ac:dyDescent="0.25">
      <c r="A80" t="s">
        <v>122</v>
      </c>
      <c r="B80" s="248" t="s">
        <v>48</v>
      </c>
      <c r="C80" s="248" t="s">
        <v>446</v>
      </c>
      <c r="D80" s="248">
        <v>0</v>
      </c>
      <c r="E80" s="248">
        <v>0.16624533963808311</v>
      </c>
      <c r="F80" s="248">
        <v>0.4505683368191325</v>
      </c>
      <c r="G80" s="248">
        <v>0.53616440847503866</v>
      </c>
      <c r="H80" s="248">
        <v>1.83686459943621E-3</v>
      </c>
      <c r="I80" s="242" t="e">
        <f>NA()</f>
        <v>#N/A</v>
      </c>
    </row>
    <row r="81" spans="1:9" x14ac:dyDescent="0.25">
      <c r="A81" t="s">
        <v>124</v>
      </c>
      <c r="B81" s="248" t="s">
        <v>48</v>
      </c>
      <c r="C81" s="248" t="s">
        <v>446</v>
      </c>
      <c r="D81" s="248">
        <v>0</v>
      </c>
      <c r="E81" s="248">
        <v>7.3044925124792007E-2</v>
      </c>
      <c r="F81" s="248">
        <v>0.1154187465335552</v>
      </c>
      <c r="G81" s="248">
        <v>0.3983361064891846</v>
      </c>
      <c r="H81" s="248">
        <v>6.1009428729894618E-4</v>
      </c>
      <c r="I81" s="242" t="e">
        <f>NA()</f>
        <v>#N/A</v>
      </c>
    </row>
    <row r="82" spans="1:9" x14ac:dyDescent="0.25">
      <c r="A82" t="s">
        <v>123</v>
      </c>
      <c r="B82" s="248" t="s">
        <v>48</v>
      </c>
      <c r="C82" s="248" t="s">
        <v>446</v>
      </c>
      <c r="D82" s="248">
        <v>0</v>
      </c>
      <c r="E82" s="248">
        <v>0.16624533963808311</v>
      </c>
      <c r="F82" s="248">
        <v>0.4505683368191325</v>
      </c>
      <c r="G82" s="248">
        <v>0.53616440847503866</v>
      </c>
      <c r="H82" s="248">
        <v>1.83686459943621E-3</v>
      </c>
      <c r="I82" s="242" t="e">
        <f>NA()</f>
        <v>#N/A</v>
      </c>
    </row>
    <row r="83" spans="1:9" x14ac:dyDescent="0.25">
      <c r="A83" t="s">
        <v>125</v>
      </c>
      <c r="B83" s="248" t="s">
        <v>48</v>
      </c>
      <c r="C83" s="248" t="s">
        <v>446</v>
      </c>
      <c r="D83" s="248">
        <v>0</v>
      </c>
      <c r="E83" s="248">
        <v>7.3044925124792007E-2</v>
      </c>
      <c r="F83" s="248">
        <v>0.1154187465335552</v>
      </c>
      <c r="G83" s="248">
        <v>0.3983361064891846</v>
      </c>
      <c r="H83" s="248">
        <v>6.1009428729894618E-4</v>
      </c>
      <c r="I83" s="242" t="e">
        <f>NA()</f>
        <v>#N/A</v>
      </c>
    </row>
    <row r="84" spans="1:9" x14ac:dyDescent="0.25">
      <c r="A84" t="s">
        <v>126</v>
      </c>
      <c r="B84" s="248" t="s">
        <v>48</v>
      </c>
      <c r="C84" s="248" t="s">
        <v>446</v>
      </c>
      <c r="D84" s="248">
        <v>0</v>
      </c>
      <c r="E84" s="248">
        <v>7.3044925124792007E-2</v>
      </c>
      <c r="F84" s="248">
        <v>0.1154187465335552</v>
      </c>
      <c r="G84" s="248">
        <v>0.3983361064891846</v>
      </c>
      <c r="H84" s="248">
        <v>6.1009428729894618E-4</v>
      </c>
      <c r="I84" s="242" t="e">
        <f>NA()</f>
        <v>#N/A</v>
      </c>
    </row>
    <row r="85" spans="1:9" x14ac:dyDescent="0.25">
      <c r="A85" s="248" t="s">
        <v>128</v>
      </c>
      <c r="B85" s="248" t="s">
        <v>52</v>
      </c>
      <c r="C85" s="248" t="s">
        <v>446</v>
      </c>
      <c r="D85" s="248">
        <v>0</v>
      </c>
      <c r="E85" s="248">
        <v>0</v>
      </c>
      <c r="F85" s="248">
        <v>1.211656441717791E-2</v>
      </c>
      <c r="G85" s="248">
        <v>9.1717791411042943E-2</v>
      </c>
      <c r="H85" s="248">
        <v>0</v>
      </c>
      <c r="I85" s="242" t="e">
        <f>NA()</f>
        <v>#N/A</v>
      </c>
    </row>
    <row r="86" spans="1:9" x14ac:dyDescent="0.25">
      <c r="A86" s="248" t="s">
        <v>129</v>
      </c>
      <c r="B86" s="248" t="s">
        <v>48</v>
      </c>
      <c r="C86" s="248" t="s">
        <v>446</v>
      </c>
      <c r="D86" s="248">
        <v>0</v>
      </c>
      <c r="E86" s="248">
        <v>1.280846063454759E-2</v>
      </c>
      <c r="F86" s="248">
        <v>9.1774383078730912E-2</v>
      </c>
      <c r="G86" s="248">
        <v>0.25105757931844891</v>
      </c>
      <c r="H86" s="248">
        <v>0</v>
      </c>
      <c r="I86" s="242" t="e">
        <f>NA()</f>
        <v>#N/A</v>
      </c>
    </row>
    <row r="87" spans="1:9" x14ac:dyDescent="0.25">
      <c r="A87" s="248" t="s">
        <v>130</v>
      </c>
      <c r="B87" s="248" t="s">
        <v>48</v>
      </c>
      <c r="C87" s="248" t="s">
        <v>446</v>
      </c>
      <c r="D87" s="248">
        <v>0</v>
      </c>
      <c r="E87" s="248">
        <v>0.30314807617567041</v>
      </c>
      <c r="F87" s="248">
        <v>0.2201321414691022</v>
      </c>
      <c r="G87" s="248">
        <v>0.56424407306645941</v>
      </c>
      <c r="H87" s="248">
        <v>1.5934706568208311E-3</v>
      </c>
      <c r="I87" s="242" t="e">
        <f>NA()</f>
        <v>#N/A</v>
      </c>
    </row>
    <row r="88" spans="1:9" x14ac:dyDescent="0.25">
      <c r="A88" s="248" t="s">
        <v>131</v>
      </c>
      <c r="B88" s="248" t="s">
        <v>48</v>
      </c>
      <c r="C88" s="248" t="s">
        <v>446</v>
      </c>
      <c r="D88" s="248">
        <v>0</v>
      </c>
      <c r="E88" s="248">
        <v>0.2673958206036906</v>
      </c>
      <c r="F88" s="248">
        <v>0.34967615788830497</v>
      </c>
      <c r="G88" s="248">
        <v>0.58754735427104976</v>
      </c>
      <c r="H88" s="248">
        <v>4.6437736771355251E-4</v>
      </c>
      <c r="I88" s="242" t="e">
        <f>NA()</f>
        <v>#N/A</v>
      </c>
    </row>
    <row r="89" spans="1:9" x14ac:dyDescent="0.25">
      <c r="A89" t="s">
        <v>132</v>
      </c>
      <c r="B89" s="248" t="s">
        <v>48</v>
      </c>
      <c r="C89" s="248" t="s">
        <v>446</v>
      </c>
      <c r="D89" s="248">
        <v>0</v>
      </c>
      <c r="E89" s="248">
        <v>0.104969454887218</v>
      </c>
      <c r="F89" s="248">
        <v>0.35856437969924809</v>
      </c>
      <c r="G89" s="248">
        <v>0.43735902255639092</v>
      </c>
      <c r="H89" s="248">
        <v>2.737312030075188E-3</v>
      </c>
      <c r="I89" s="242" t="e">
        <f>NA()</f>
        <v>#N/A</v>
      </c>
    </row>
    <row r="90" spans="1:9" x14ac:dyDescent="0.25">
      <c r="A90" t="s">
        <v>133</v>
      </c>
      <c r="B90" s="248" t="s">
        <v>48</v>
      </c>
      <c r="C90" s="248" t="s">
        <v>446</v>
      </c>
      <c r="D90" s="248">
        <v>0</v>
      </c>
      <c r="E90" s="248">
        <v>0.104969454887218</v>
      </c>
      <c r="F90" s="248">
        <v>0.35856437969924809</v>
      </c>
      <c r="G90" s="248">
        <v>0.43735902255639092</v>
      </c>
      <c r="H90" s="248">
        <v>2.737312030075188E-3</v>
      </c>
      <c r="I90" s="242" t="e">
        <f>NA()</f>
        <v>#N/A</v>
      </c>
    </row>
    <row r="91" spans="1:9" x14ac:dyDescent="0.25">
      <c r="A91" s="248" t="s">
        <v>134</v>
      </c>
      <c r="B91" s="248" t="s">
        <v>48</v>
      </c>
      <c r="C91" s="248" t="s">
        <v>446</v>
      </c>
      <c r="D91" s="248">
        <v>0</v>
      </c>
      <c r="E91" s="248">
        <v>0</v>
      </c>
      <c r="F91" s="248">
        <v>8.0952380952380956E-2</v>
      </c>
      <c r="G91" s="248">
        <v>0.15912698412698409</v>
      </c>
      <c r="H91" s="248">
        <v>0</v>
      </c>
      <c r="I91" s="242" t="e">
        <f>NA()</f>
        <v>#N/A</v>
      </c>
    </row>
    <row r="92" spans="1:9" x14ac:dyDescent="0.25">
      <c r="A92" s="248" t="s">
        <v>135</v>
      </c>
      <c r="B92" s="248" t="s">
        <v>48</v>
      </c>
      <c r="C92" s="248" t="s">
        <v>446</v>
      </c>
      <c r="D92" s="248">
        <v>0</v>
      </c>
      <c r="E92" s="248">
        <v>0.1873447772096421</v>
      </c>
      <c r="F92" s="248">
        <v>0.39906866325785251</v>
      </c>
      <c r="G92" s="248">
        <v>0.49621986851716582</v>
      </c>
      <c r="H92" s="248">
        <v>5.6610664718772824E-4</v>
      </c>
      <c r="I92" s="242" t="e">
        <f>NA()</f>
        <v>#N/A</v>
      </c>
    </row>
    <row r="93" spans="1:9" x14ac:dyDescent="0.25">
      <c r="A93" s="248" t="s">
        <v>136</v>
      </c>
      <c r="B93" s="248" t="s">
        <v>48</v>
      </c>
      <c r="C93" s="248" t="s">
        <v>446</v>
      </c>
      <c r="D93" s="248">
        <v>0</v>
      </c>
      <c r="E93" s="248">
        <v>0.1626260773885935</v>
      </c>
      <c r="F93" s="248">
        <v>0.43533834586466169</v>
      </c>
      <c r="G93" s="248">
        <v>0.490427287731524</v>
      </c>
      <c r="H93" s="248">
        <v>0</v>
      </c>
      <c r="I93" s="242" t="e">
        <f>NA()</f>
        <v>#N/A</v>
      </c>
    </row>
    <row r="94" spans="1:9" x14ac:dyDescent="0.25">
      <c r="A94" t="s">
        <v>137</v>
      </c>
      <c r="B94" s="248" t="s">
        <v>48</v>
      </c>
      <c r="C94" s="248" t="s">
        <v>446</v>
      </c>
      <c r="D94" s="248">
        <v>0.16832229580573951</v>
      </c>
      <c r="E94" s="248">
        <v>0.2064459161147903</v>
      </c>
      <c r="F94" s="248">
        <v>0.24933774834437089</v>
      </c>
      <c r="G94" s="248">
        <v>0.44715231788079468</v>
      </c>
      <c r="H94" s="248">
        <v>7.3487858719646804E-2</v>
      </c>
      <c r="I94" s="242" t="e">
        <f>NA()</f>
        <v>#N/A</v>
      </c>
    </row>
    <row r="95" spans="1:9" x14ac:dyDescent="0.25">
      <c r="A95" t="s">
        <v>138</v>
      </c>
      <c r="B95" s="248" t="s">
        <v>48</v>
      </c>
      <c r="C95" s="248" t="s">
        <v>446</v>
      </c>
      <c r="D95" s="248">
        <v>0.16832229580573951</v>
      </c>
      <c r="E95" s="248">
        <v>0.2064459161147903</v>
      </c>
      <c r="F95" s="248">
        <v>0.24933774834437089</v>
      </c>
      <c r="G95" s="248">
        <v>0.44715231788079468</v>
      </c>
      <c r="H95" s="248">
        <v>7.3487858719646804E-2</v>
      </c>
      <c r="I95" s="242" t="e">
        <f>NA()</f>
        <v>#N/A</v>
      </c>
    </row>
    <row r="96" spans="1:9" x14ac:dyDescent="0.25">
      <c r="A96" t="s">
        <v>139</v>
      </c>
      <c r="B96" s="248" t="s">
        <v>48</v>
      </c>
      <c r="C96" s="248" t="s">
        <v>446</v>
      </c>
      <c r="D96" s="248">
        <v>0.16832229580573951</v>
      </c>
      <c r="E96" s="248">
        <v>0.2064459161147903</v>
      </c>
      <c r="F96" s="248">
        <v>0.24933774834437089</v>
      </c>
      <c r="G96" s="248">
        <v>0.44715231788079468</v>
      </c>
      <c r="H96" s="248">
        <v>7.3487858719646804E-2</v>
      </c>
      <c r="I96" s="242" t="e">
        <f>NA()</f>
        <v>#N/A</v>
      </c>
    </row>
    <row r="97" spans="1:9" x14ac:dyDescent="0.25">
      <c r="A97" t="s">
        <v>140</v>
      </c>
      <c r="B97" s="248" t="s">
        <v>48</v>
      </c>
      <c r="C97" s="248" t="s">
        <v>446</v>
      </c>
      <c r="D97" s="248">
        <v>0.16832229580573951</v>
      </c>
      <c r="E97" s="248">
        <v>0.2064459161147903</v>
      </c>
      <c r="F97" s="248">
        <v>0.24933774834437089</v>
      </c>
      <c r="G97" s="248">
        <v>0.44715231788079468</v>
      </c>
      <c r="H97" s="248">
        <v>7.3487858719646804E-2</v>
      </c>
      <c r="I97" s="242" t="e">
        <f>NA()</f>
        <v>#N/A</v>
      </c>
    </row>
    <row r="98" spans="1:9" x14ac:dyDescent="0.25">
      <c r="A98" t="s">
        <v>141</v>
      </c>
      <c r="B98" s="248" t="s">
        <v>48</v>
      </c>
      <c r="C98" s="248" t="s">
        <v>446</v>
      </c>
      <c r="D98" s="248">
        <v>0.16832229580573951</v>
      </c>
      <c r="E98" s="248">
        <v>0.2064459161147903</v>
      </c>
      <c r="F98" s="248">
        <v>0.24933774834437089</v>
      </c>
      <c r="G98" s="248">
        <v>0.44715231788079468</v>
      </c>
      <c r="H98" s="248">
        <v>7.3487858719646804E-2</v>
      </c>
      <c r="I98" s="242" t="e">
        <f>NA()</f>
        <v>#N/A</v>
      </c>
    </row>
    <row r="99" spans="1:9" x14ac:dyDescent="0.25">
      <c r="A99" t="s">
        <v>142</v>
      </c>
      <c r="B99" s="248" t="s">
        <v>48</v>
      </c>
      <c r="C99" s="248" t="s">
        <v>446</v>
      </c>
      <c r="D99" s="248">
        <v>0.16832229580573951</v>
      </c>
      <c r="E99" s="248">
        <v>0.2064459161147903</v>
      </c>
      <c r="F99" s="248">
        <v>0.24933774834437089</v>
      </c>
      <c r="G99" s="248">
        <v>0.44715231788079468</v>
      </c>
      <c r="H99" s="248">
        <v>7.3487858719646804E-2</v>
      </c>
      <c r="I99" s="242" t="e">
        <f>NA()</f>
        <v>#N/A</v>
      </c>
    </row>
    <row r="100" spans="1:9" x14ac:dyDescent="0.25">
      <c r="A100" t="s">
        <v>143</v>
      </c>
      <c r="B100" s="248" t="s">
        <v>48</v>
      </c>
      <c r="C100" s="248" t="s">
        <v>446</v>
      </c>
      <c r="D100" s="248">
        <v>0.16832229580573951</v>
      </c>
      <c r="E100" s="248">
        <v>0.2064459161147903</v>
      </c>
      <c r="F100" s="248">
        <v>0.24933774834437089</v>
      </c>
      <c r="G100" s="248">
        <v>0.44715231788079468</v>
      </c>
      <c r="H100" s="248">
        <v>7.3487858719646804E-2</v>
      </c>
      <c r="I100" s="242" t="e">
        <f>NA()</f>
        <v>#N/A</v>
      </c>
    </row>
    <row r="101" spans="1:9" x14ac:dyDescent="0.25">
      <c r="A101" t="s">
        <v>144</v>
      </c>
      <c r="B101" s="248" t="s">
        <v>48</v>
      </c>
      <c r="C101" s="248" t="s">
        <v>446</v>
      </c>
      <c r="D101" s="248">
        <v>0.16832229580573951</v>
      </c>
      <c r="E101" s="248">
        <v>0.2064459161147903</v>
      </c>
      <c r="F101" s="248">
        <v>0.24933774834437089</v>
      </c>
      <c r="G101" s="248">
        <v>0.44715231788079468</v>
      </c>
      <c r="H101" s="248">
        <v>7.3487858719646804E-2</v>
      </c>
      <c r="I101" s="242" t="e">
        <f>NA()</f>
        <v>#N/A</v>
      </c>
    </row>
    <row r="102" spans="1:9" x14ac:dyDescent="0.25">
      <c r="A102" t="s">
        <v>145</v>
      </c>
      <c r="B102" s="248" t="s">
        <v>48</v>
      </c>
      <c r="C102" s="248" t="s">
        <v>446</v>
      </c>
      <c r="D102" s="248">
        <v>0.16832229580573951</v>
      </c>
      <c r="E102" s="248">
        <v>0.2064459161147903</v>
      </c>
      <c r="F102" s="248">
        <v>0.24933774834437089</v>
      </c>
      <c r="G102" s="248">
        <v>0.44715231788079468</v>
      </c>
      <c r="H102" s="248">
        <v>7.3487858719646804E-2</v>
      </c>
      <c r="I102" s="242" t="e">
        <f>NA()</f>
        <v>#N/A</v>
      </c>
    </row>
    <row r="103" spans="1:9" x14ac:dyDescent="0.25">
      <c r="A103" t="s">
        <v>146</v>
      </c>
      <c r="B103" s="248" t="s">
        <v>48</v>
      </c>
      <c r="C103" s="248" t="s">
        <v>446</v>
      </c>
      <c r="D103" s="248">
        <v>0.16576666666666659</v>
      </c>
      <c r="E103" s="248">
        <v>0.19373333333333331</v>
      </c>
      <c r="F103" s="248">
        <v>0.23849999999999999</v>
      </c>
      <c r="G103" s="248">
        <v>0.43723333333333331</v>
      </c>
      <c r="H103" s="248">
        <v>9.6299999999999997E-2</v>
      </c>
      <c r="I103" s="242" t="e">
        <f>NA()</f>
        <v>#N/A</v>
      </c>
    </row>
    <row r="104" spans="1:9" x14ac:dyDescent="0.25">
      <c r="A104" t="s">
        <v>147</v>
      </c>
      <c r="B104" s="248" t="s">
        <v>48</v>
      </c>
      <c r="C104" s="248" t="s">
        <v>446</v>
      </c>
      <c r="D104" s="248">
        <v>0.16576666666666659</v>
      </c>
      <c r="E104" s="248">
        <v>0.19373333333333331</v>
      </c>
      <c r="F104" s="248">
        <v>0.23849999999999999</v>
      </c>
      <c r="G104" s="248">
        <v>0.43723333333333331</v>
      </c>
      <c r="H104" s="248">
        <v>9.6299999999999997E-2</v>
      </c>
      <c r="I104" s="242" t="e">
        <f>NA()</f>
        <v>#N/A</v>
      </c>
    </row>
    <row r="105" spans="1:9" x14ac:dyDescent="0.25">
      <c r="A105" t="s">
        <v>148</v>
      </c>
      <c r="B105" s="248" t="s">
        <v>48</v>
      </c>
      <c r="C105" s="248" t="s">
        <v>446</v>
      </c>
      <c r="D105" s="248">
        <v>0.16576666666666659</v>
      </c>
      <c r="E105" s="248">
        <v>0.19373333333333331</v>
      </c>
      <c r="F105" s="248">
        <v>0.23849999999999999</v>
      </c>
      <c r="G105" s="248">
        <v>0.43723333333333331</v>
      </c>
      <c r="H105" s="248">
        <v>9.6299999999999997E-2</v>
      </c>
      <c r="I105" s="242" t="e">
        <f>NA()</f>
        <v>#N/A</v>
      </c>
    </row>
    <row r="106" spans="1:9" x14ac:dyDescent="0.25">
      <c r="A106" t="s">
        <v>149</v>
      </c>
      <c r="B106" s="248" t="s">
        <v>48</v>
      </c>
      <c r="C106" s="248" t="s">
        <v>446</v>
      </c>
      <c r="D106" s="248">
        <v>0.16576666666666659</v>
      </c>
      <c r="E106" s="248">
        <v>0.19373333333333331</v>
      </c>
      <c r="F106" s="248">
        <v>0.23849999999999999</v>
      </c>
      <c r="G106" s="248">
        <v>0.43723333333333331</v>
      </c>
      <c r="H106" s="248">
        <v>9.6299999999999997E-2</v>
      </c>
      <c r="I106" s="242" t="e">
        <f>NA()</f>
        <v>#N/A</v>
      </c>
    </row>
    <row r="107" spans="1:9" x14ac:dyDescent="0.25">
      <c r="A107" s="248" t="s">
        <v>150</v>
      </c>
      <c r="B107" s="248" t="s">
        <v>40</v>
      </c>
      <c r="C107" s="248" t="s">
        <v>446</v>
      </c>
      <c r="D107" s="248">
        <v>0</v>
      </c>
      <c r="E107" s="248">
        <v>0.5521383075523203</v>
      </c>
      <c r="F107" s="248">
        <v>2.1337579617834401E-2</v>
      </c>
      <c r="G107" s="248">
        <v>0.28480436760691541</v>
      </c>
      <c r="H107" s="248">
        <v>0</v>
      </c>
      <c r="I107" s="242" t="e">
        <f>NA()</f>
        <v>#N/A</v>
      </c>
    </row>
    <row r="108" spans="1:9" x14ac:dyDescent="0.25">
      <c r="A108" t="s">
        <v>151</v>
      </c>
      <c r="B108" s="248" t="s">
        <v>40</v>
      </c>
      <c r="C108" s="248" t="s">
        <v>446</v>
      </c>
      <c r="D108" s="248">
        <v>0</v>
      </c>
      <c r="E108" s="248">
        <v>0.18252346193952029</v>
      </c>
      <c r="F108" s="248">
        <v>0.1076120959332638</v>
      </c>
      <c r="G108" s="248">
        <v>0.48586027111574559</v>
      </c>
      <c r="H108" s="248">
        <v>1.599582898852972E-2</v>
      </c>
      <c r="I108" s="242" t="e">
        <f>NA()</f>
        <v>#N/A</v>
      </c>
    </row>
    <row r="109" spans="1:9" x14ac:dyDescent="0.25">
      <c r="A109" t="s">
        <v>152</v>
      </c>
      <c r="B109" s="248" t="s">
        <v>40</v>
      </c>
      <c r="C109" s="248" t="s">
        <v>446</v>
      </c>
      <c r="D109" s="248">
        <v>0</v>
      </c>
      <c r="E109" s="248">
        <v>0.18252346193952029</v>
      </c>
      <c r="F109" s="248">
        <v>0.1076120959332638</v>
      </c>
      <c r="G109" s="248">
        <v>0.48586027111574559</v>
      </c>
      <c r="H109" s="248">
        <v>1.599582898852972E-2</v>
      </c>
      <c r="I109" s="242" t="e">
        <f>NA()</f>
        <v>#N/A</v>
      </c>
    </row>
    <row r="110" spans="1:9" x14ac:dyDescent="0.25">
      <c r="A110" s="248" t="s">
        <v>153</v>
      </c>
      <c r="B110" s="248" t="s">
        <v>40</v>
      </c>
      <c r="C110" s="248" t="s">
        <v>446</v>
      </c>
      <c r="D110" s="248">
        <v>0</v>
      </c>
      <c r="E110" s="248">
        <v>0.13568384347152271</v>
      </c>
      <c r="F110" s="248">
        <v>3.6691204959318102E-2</v>
      </c>
      <c r="G110" s="248">
        <v>0.36722200697404112</v>
      </c>
      <c r="H110" s="248">
        <v>0</v>
      </c>
      <c r="I110" s="242" t="e">
        <f>NA()</f>
        <v>#N/A</v>
      </c>
    </row>
    <row r="111" spans="1:9" x14ac:dyDescent="0.25">
      <c r="A111" t="s">
        <v>154</v>
      </c>
      <c r="B111" s="248" t="s">
        <v>48</v>
      </c>
      <c r="C111" s="248" t="s">
        <v>446</v>
      </c>
      <c r="D111" s="248">
        <v>0</v>
      </c>
      <c r="E111" s="248">
        <v>0.13257807715860381</v>
      </c>
      <c r="F111" s="248">
        <v>0.13337415799142679</v>
      </c>
      <c r="G111" s="248">
        <v>0.39412124923453762</v>
      </c>
      <c r="H111" s="248">
        <v>0</v>
      </c>
      <c r="I111" s="242" t="e">
        <f>NA()</f>
        <v>#N/A</v>
      </c>
    </row>
    <row r="112" spans="1:9" x14ac:dyDescent="0.25">
      <c r="A112" t="s">
        <v>155</v>
      </c>
      <c r="B112" s="248" t="s">
        <v>48</v>
      </c>
      <c r="C112" s="248" t="s">
        <v>446</v>
      </c>
      <c r="D112" s="248">
        <v>0</v>
      </c>
      <c r="E112" s="248">
        <v>0.13257807715860381</v>
      </c>
      <c r="F112" s="248">
        <v>0.13337415799142679</v>
      </c>
      <c r="G112" s="248">
        <v>0.39412124923453762</v>
      </c>
      <c r="H112" s="248">
        <v>0</v>
      </c>
      <c r="I112" s="242" t="e">
        <f>NA()</f>
        <v>#N/A</v>
      </c>
    </row>
    <row r="113" spans="1:9" x14ac:dyDescent="0.25">
      <c r="A113" t="s">
        <v>156</v>
      </c>
      <c r="B113" s="248" t="s">
        <v>48</v>
      </c>
      <c r="C113" s="248" t="s">
        <v>446</v>
      </c>
      <c r="D113" s="248">
        <v>0.34571304221674171</v>
      </c>
      <c r="E113" s="248">
        <v>0.1741331785869723</v>
      </c>
      <c r="F113" s="248">
        <v>5.4301465254606128E-2</v>
      </c>
      <c r="G113" s="248">
        <v>0.23824169447265339</v>
      </c>
      <c r="H113" s="248">
        <v>0.38427390105904541</v>
      </c>
      <c r="I113" s="242" t="e">
        <f>NA()</f>
        <v>#N/A</v>
      </c>
    </row>
    <row r="114" spans="1:9" x14ac:dyDescent="0.25">
      <c r="A114" t="s">
        <v>158</v>
      </c>
      <c r="B114" s="248" t="s">
        <v>48</v>
      </c>
      <c r="C114" s="248" t="s">
        <v>446</v>
      </c>
      <c r="D114" s="248">
        <v>0.34571304221674171</v>
      </c>
      <c r="E114" s="248">
        <v>0.1741331785869723</v>
      </c>
      <c r="F114" s="248">
        <v>5.4301465254606128E-2</v>
      </c>
      <c r="G114" s="248">
        <v>0.23824169447265339</v>
      </c>
      <c r="H114" s="248">
        <v>0.38427390105904541</v>
      </c>
      <c r="I114" s="242" t="e">
        <f>NA()</f>
        <v>#N/A</v>
      </c>
    </row>
    <row r="115" spans="1:9" x14ac:dyDescent="0.25">
      <c r="A115" t="s">
        <v>159</v>
      </c>
      <c r="B115" s="248" t="s">
        <v>48</v>
      </c>
      <c r="C115" s="248" t="s">
        <v>446</v>
      </c>
      <c r="D115" s="248">
        <v>0.34571304221674171</v>
      </c>
      <c r="E115" s="248">
        <v>0.1741331785869723</v>
      </c>
      <c r="F115" s="248">
        <v>5.4301465254606128E-2</v>
      </c>
      <c r="G115" s="248">
        <v>0.23824169447265339</v>
      </c>
      <c r="H115" s="248">
        <v>0.38427390105904541</v>
      </c>
      <c r="I115" s="242" t="e">
        <f>NA()</f>
        <v>#N/A</v>
      </c>
    </row>
    <row r="116" spans="1:9" x14ac:dyDescent="0.25">
      <c r="A116" s="248" t="s">
        <v>160</v>
      </c>
      <c r="B116" s="248" t="s">
        <v>40</v>
      </c>
      <c r="C116" s="248" t="s">
        <v>446</v>
      </c>
      <c r="D116" s="248">
        <v>0</v>
      </c>
      <c r="E116" s="248">
        <v>0.48725149889555069</v>
      </c>
      <c r="F116" s="248">
        <v>4.2537077942568641E-2</v>
      </c>
      <c r="G116" s="248">
        <v>0.40893026191227522</v>
      </c>
      <c r="H116" s="248">
        <v>1.136005048911329E-3</v>
      </c>
      <c r="I116" s="242" t="e">
        <f>NA()</f>
        <v>#N/A</v>
      </c>
    </row>
    <row r="117" spans="1:9" x14ac:dyDescent="0.25">
      <c r="A117" s="248" t="s">
        <v>161</v>
      </c>
      <c r="B117" s="248" t="s">
        <v>40</v>
      </c>
      <c r="C117" s="248" t="s">
        <v>446</v>
      </c>
      <c r="D117" s="248">
        <v>0</v>
      </c>
      <c r="E117" s="248">
        <v>0.37748842592592591</v>
      </c>
      <c r="F117" s="248">
        <v>7.7083333333333323E-2</v>
      </c>
      <c r="G117" s="248">
        <v>0.47256944444444438</v>
      </c>
      <c r="H117" s="248">
        <v>1.157407407407407E-4</v>
      </c>
      <c r="I117" s="242" t="e">
        <f>NA()</f>
        <v>#N/A</v>
      </c>
    </row>
    <row r="118" spans="1:9" x14ac:dyDescent="0.25">
      <c r="A118" t="s">
        <v>162</v>
      </c>
      <c r="B118" s="248" t="s">
        <v>36</v>
      </c>
      <c r="C118" s="248" t="s">
        <v>446</v>
      </c>
      <c r="D118" s="248">
        <v>5.7664884135472369E-2</v>
      </c>
      <c r="E118" s="248">
        <v>2.0855614973262031E-2</v>
      </c>
      <c r="F118" s="248">
        <v>0</v>
      </c>
      <c r="G118" s="248">
        <v>3.7165775401069523E-2</v>
      </c>
      <c r="H118" s="248">
        <v>0</v>
      </c>
      <c r="I118" s="242" t="e">
        <f>NA()</f>
        <v>#N/A</v>
      </c>
    </row>
    <row r="119" spans="1:9" x14ac:dyDescent="0.25">
      <c r="A119" t="s">
        <v>163</v>
      </c>
      <c r="B119" s="248" t="s">
        <v>36</v>
      </c>
      <c r="C119" s="248" t="s">
        <v>446</v>
      </c>
      <c r="D119" s="248">
        <v>5.7664884135472369E-2</v>
      </c>
      <c r="E119" s="248">
        <v>2.0855614973262031E-2</v>
      </c>
      <c r="F119" s="248">
        <v>0</v>
      </c>
      <c r="G119" s="248">
        <v>3.7165775401069523E-2</v>
      </c>
      <c r="H119" s="248">
        <v>0</v>
      </c>
      <c r="I119" s="242" t="e">
        <f>NA()</f>
        <v>#N/A</v>
      </c>
    </row>
    <row r="120" spans="1:9" x14ac:dyDescent="0.25">
      <c r="A120" s="248" t="s">
        <v>164</v>
      </c>
      <c r="B120" s="248" t="s">
        <v>36</v>
      </c>
      <c r="C120" s="248" t="s">
        <v>446</v>
      </c>
      <c r="D120" s="248">
        <v>2.9393043531919211E-2</v>
      </c>
      <c r="E120" s="248">
        <v>2.079304154776401E-3</v>
      </c>
      <c r="F120" s="248">
        <v>0</v>
      </c>
      <c r="G120" s="248">
        <v>3.0058420861447659E-2</v>
      </c>
      <c r="H120" s="248">
        <v>7.7549727756540662E-2</v>
      </c>
      <c r="I120" s="242" t="e">
        <f>NA()</f>
        <v>#N/A</v>
      </c>
    </row>
    <row r="121" spans="1:9" x14ac:dyDescent="0.25">
      <c r="A121" s="248" t="s">
        <v>165</v>
      </c>
      <c r="B121" s="248" t="s">
        <v>40</v>
      </c>
      <c r="C121" s="248" t="s">
        <v>446</v>
      </c>
      <c r="D121" s="248">
        <v>0</v>
      </c>
      <c r="E121" s="248">
        <v>0.28514115898959891</v>
      </c>
      <c r="F121" s="248">
        <v>6.0921248142644872E-2</v>
      </c>
      <c r="G121" s="248">
        <v>0.35542347696879639</v>
      </c>
      <c r="H121" s="248">
        <v>0</v>
      </c>
      <c r="I121" s="242" t="e">
        <f>NA()</f>
        <v>#N/A</v>
      </c>
    </row>
    <row r="122" spans="1:9" x14ac:dyDescent="0.25">
      <c r="A122" s="248" t="s">
        <v>166</v>
      </c>
      <c r="B122" s="248" t="s">
        <v>40</v>
      </c>
      <c r="C122" s="248" t="s">
        <v>446</v>
      </c>
      <c r="D122" s="248">
        <v>0</v>
      </c>
      <c r="E122" s="248">
        <v>1.9213973799126639E-2</v>
      </c>
      <c r="F122" s="248">
        <v>4.7161572052401762E-2</v>
      </c>
      <c r="G122" s="248">
        <v>0.3268558951965066</v>
      </c>
      <c r="H122" s="248">
        <v>0</v>
      </c>
      <c r="I122" s="242" t="e">
        <f>NA()</f>
        <v>#N/A</v>
      </c>
    </row>
    <row r="123" spans="1:9" x14ac:dyDescent="0.25">
      <c r="A123" s="248" t="s">
        <v>167</v>
      </c>
      <c r="B123" s="248" t="s">
        <v>36</v>
      </c>
      <c r="C123" s="248" t="s">
        <v>446</v>
      </c>
      <c r="D123" s="248">
        <v>0</v>
      </c>
      <c r="E123" s="248">
        <v>6.1326936740167329E-3</v>
      </c>
      <c r="F123" s="248">
        <v>6.229525679395944E-2</v>
      </c>
      <c r="G123" s="248">
        <v>0.24369388020434909</v>
      </c>
      <c r="H123" s="248">
        <v>0</v>
      </c>
      <c r="I123" s="242" t="e">
        <f>NA()</f>
        <v>#N/A</v>
      </c>
    </row>
    <row r="124" spans="1:9" x14ac:dyDescent="0.25">
      <c r="A124" t="s">
        <v>168</v>
      </c>
      <c r="B124" s="248" t="s">
        <v>48</v>
      </c>
      <c r="C124" s="248" t="s">
        <v>446</v>
      </c>
      <c r="D124" s="248">
        <v>0.34112343966712899</v>
      </c>
      <c r="E124" s="248">
        <v>0.4323162274618586</v>
      </c>
      <c r="F124" s="248">
        <v>0.1069001386962552</v>
      </c>
      <c r="G124" s="248">
        <v>0.34802357836338421</v>
      </c>
      <c r="H124" s="248">
        <v>7.9368932038834966E-2</v>
      </c>
      <c r="I124" s="242" t="e">
        <f>NA()</f>
        <v>#N/A</v>
      </c>
    </row>
    <row r="125" spans="1:9" x14ac:dyDescent="0.25">
      <c r="A125" t="s">
        <v>169</v>
      </c>
      <c r="B125" s="248" t="s">
        <v>48</v>
      </c>
      <c r="C125" s="248" t="s">
        <v>446</v>
      </c>
      <c r="D125" s="248">
        <v>0.34112343966712899</v>
      </c>
      <c r="E125" s="248">
        <v>0.4323162274618586</v>
      </c>
      <c r="F125" s="248">
        <v>0.1069001386962552</v>
      </c>
      <c r="G125" s="248">
        <v>0.34802357836338421</v>
      </c>
      <c r="H125" s="248">
        <v>7.9368932038834966E-2</v>
      </c>
      <c r="I125" s="242" t="e">
        <f>NA()</f>
        <v>#N/A</v>
      </c>
    </row>
    <row r="126" spans="1:9" x14ac:dyDescent="0.25">
      <c r="A126" t="s">
        <v>170</v>
      </c>
      <c r="B126" s="248" t="s">
        <v>48</v>
      </c>
      <c r="C126" s="248" t="s">
        <v>446</v>
      </c>
      <c r="D126" s="248">
        <v>0</v>
      </c>
      <c r="E126" s="248">
        <v>0.43216685330347149</v>
      </c>
      <c r="F126" s="248">
        <v>0.1665173572228443</v>
      </c>
      <c r="G126" s="248">
        <v>0.48653415453527438</v>
      </c>
      <c r="H126" s="248">
        <v>4.1349384098544231E-2</v>
      </c>
      <c r="I126" s="242" t="e">
        <f>NA()</f>
        <v>#N/A</v>
      </c>
    </row>
    <row r="127" spans="1:9" x14ac:dyDescent="0.25">
      <c r="A127" t="s">
        <v>171</v>
      </c>
      <c r="B127" s="248" t="s">
        <v>48</v>
      </c>
      <c r="C127" s="248" t="s">
        <v>446</v>
      </c>
      <c r="D127" s="248">
        <v>0</v>
      </c>
      <c r="E127" s="248">
        <v>0.43216685330347149</v>
      </c>
      <c r="F127" s="248">
        <v>0.1665173572228443</v>
      </c>
      <c r="G127" s="248">
        <v>0.48653415453527438</v>
      </c>
      <c r="H127" s="248">
        <v>4.1349384098544231E-2</v>
      </c>
      <c r="I127" s="242" t="e">
        <f>NA()</f>
        <v>#N/A</v>
      </c>
    </row>
    <row r="128" spans="1:9" x14ac:dyDescent="0.25">
      <c r="A128" s="248" t="s">
        <v>172</v>
      </c>
      <c r="B128" s="248" t="s">
        <v>40</v>
      </c>
      <c r="C128" s="248" t="s">
        <v>446</v>
      </c>
      <c r="D128" s="248">
        <v>0</v>
      </c>
      <c r="E128" s="248">
        <v>0.35913705583756339</v>
      </c>
      <c r="F128" s="248">
        <v>7.0630891950688904E-2</v>
      </c>
      <c r="G128" s="248">
        <v>0.52907904278462647</v>
      </c>
      <c r="H128" s="248">
        <v>9.7897026831036981E-4</v>
      </c>
      <c r="I128" s="242" t="e">
        <f>NA()</f>
        <v>#N/A</v>
      </c>
    </row>
    <row r="129" spans="1:9" x14ac:dyDescent="0.25">
      <c r="A129" t="s">
        <v>173</v>
      </c>
      <c r="B129" s="248" t="s">
        <v>40</v>
      </c>
      <c r="C129" s="248" t="s">
        <v>446</v>
      </c>
      <c r="D129" s="248">
        <v>0</v>
      </c>
      <c r="E129" s="248">
        <v>2.073544433094995E-2</v>
      </c>
      <c r="F129" s="248">
        <v>5.7099080694586309E-2</v>
      </c>
      <c r="G129" s="248">
        <v>0.27872829417773243</v>
      </c>
      <c r="H129" s="248">
        <v>7.9162410623084779E-4</v>
      </c>
      <c r="I129" s="242" t="e">
        <f>NA()</f>
        <v>#N/A</v>
      </c>
    </row>
    <row r="130" spans="1:9" x14ac:dyDescent="0.25">
      <c r="A130" t="s">
        <v>174</v>
      </c>
      <c r="B130" s="248" t="s">
        <v>40</v>
      </c>
      <c r="C130" s="248" t="s">
        <v>446</v>
      </c>
      <c r="D130" s="248">
        <v>0</v>
      </c>
      <c r="E130" s="248">
        <v>2.073544433094995E-2</v>
      </c>
      <c r="F130" s="248">
        <v>5.7099080694586309E-2</v>
      </c>
      <c r="G130" s="248">
        <v>0.27872829417773243</v>
      </c>
      <c r="H130" s="248">
        <v>7.9162410623084779E-4</v>
      </c>
      <c r="I130" s="242" t="e">
        <f>NA()</f>
        <v>#N/A</v>
      </c>
    </row>
    <row r="131" spans="1:9" x14ac:dyDescent="0.25">
      <c r="A131" s="248" t="s">
        <v>175</v>
      </c>
      <c r="B131" s="248" t="s">
        <v>52</v>
      </c>
      <c r="C131" s="248" t="s">
        <v>446</v>
      </c>
      <c r="D131" s="248">
        <v>0</v>
      </c>
      <c r="E131" s="248">
        <v>0</v>
      </c>
      <c r="F131" s="248">
        <v>3.5046728971962621E-2</v>
      </c>
      <c r="G131" s="248">
        <v>0.1691588785046729</v>
      </c>
      <c r="H131" s="248">
        <v>1.448598130841122E-2</v>
      </c>
      <c r="I131" s="242" t="e">
        <f>NA()</f>
        <v>#N/A</v>
      </c>
    </row>
    <row r="132" spans="1:9" x14ac:dyDescent="0.25">
      <c r="A132" s="248" t="s">
        <v>176</v>
      </c>
      <c r="B132" s="248" t="s">
        <v>52</v>
      </c>
      <c r="C132" s="248" t="s">
        <v>446</v>
      </c>
      <c r="D132" s="248">
        <v>0</v>
      </c>
      <c r="E132" s="248">
        <v>0</v>
      </c>
      <c r="F132" s="248">
        <v>4.6890286512928023E-2</v>
      </c>
      <c r="G132" s="248">
        <v>0.19804332634521321</v>
      </c>
      <c r="H132" s="248">
        <v>0</v>
      </c>
      <c r="I132" s="242" t="e">
        <f>NA()</f>
        <v>#N/A</v>
      </c>
    </row>
    <row r="133" spans="1:9" x14ac:dyDescent="0.25">
      <c r="A133" s="248" t="s">
        <v>177</v>
      </c>
      <c r="B133" s="248" t="s">
        <v>52</v>
      </c>
      <c r="C133" s="248" t="s">
        <v>446</v>
      </c>
      <c r="D133" s="248">
        <v>0</v>
      </c>
      <c r="E133" s="248">
        <v>0</v>
      </c>
      <c r="F133" s="248">
        <v>9.4794188861985484E-2</v>
      </c>
      <c r="G133" s="248">
        <v>0.19782082324455211</v>
      </c>
      <c r="H133" s="248">
        <v>0</v>
      </c>
      <c r="I133" s="242" t="e">
        <f>NA()</f>
        <v>#N/A</v>
      </c>
    </row>
    <row r="134" spans="1:9" x14ac:dyDescent="0.25">
      <c r="A134" s="248" t="s">
        <v>179</v>
      </c>
      <c r="B134" s="248" t="s">
        <v>36</v>
      </c>
      <c r="C134" s="248" t="s">
        <v>446</v>
      </c>
      <c r="D134" s="248">
        <v>6.7301038062283741E-2</v>
      </c>
      <c r="E134" s="248">
        <v>2.084775086505191E-2</v>
      </c>
      <c r="F134" s="248">
        <v>0</v>
      </c>
      <c r="G134" s="248">
        <v>3.7110726643598622E-2</v>
      </c>
      <c r="H134" s="248">
        <v>9.8442906574394473E-2</v>
      </c>
      <c r="I134" s="242" t="e">
        <f>NA()</f>
        <v>#N/A</v>
      </c>
    </row>
    <row r="135" spans="1:9" x14ac:dyDescent="0.25">
      <c r="A135" t="s">
        <v>180</v>
      </c>
      <c r="B135" s="248" t="s">
        <v>36</v>
      </c>
      <c r="C135" s="248" t="s">
        <v>446</v>
      </c>
      <c r="D135" s="248">
        <v>0</v>
      </c>
      <c r="E135" s="248">
        <v>2.091053467443091E-3</v>
      </c>
      <c r="F135" s="248">
        <v>0</v>
      </c>
      <c r="G135" s="248">
        <v>3.8935944944415032E-2</v>
      </c>
      <c r="H135" s="248">
        <v>5.2938062466913714E-4</v>
      </c>
      <c r="I135" s="242" t="e">
        <f>NA()</f>
        <v>#N/A</v>
      </c>
    </row>
    <row r="136" spans="1:9" x14ac:dyDescent="0.25">
      <c r="A136" t="s">
        <v>181</v>
      </c>
      <c r="B136" s="248" t="s">
        <v>36</v>
      </c>
      <c r="C136" s="248" t="s">
        <v>446</v>
      </c>
      <c r="D136" s="248">
        <v>0</v>
      </c>
      <c r="E136" s="248">
        <v>2.091053467443091E-3</v>
      </c>
      <c r="F136" s="248">
        <v>0</v>
      </c>
      <c r="G136" s="248">
        <v>3.8935944944415032E-2</v>
      </c>
      <c r="H136" s="248">
        <v>5.2938062466913714E-4</v>
      </c>
      <c r="I136" s="242" t="e">
        <f>NA()</f>
        <v>#N/A</v>
      </c>
    </row>
    <row r="137" spans="1:9" x14ac:dyDescent="0.25">
      <c r="A137" t="s">
        <v>182</v>
      </c>
      <c r="B137" s="248" t="s">
        <v>36</v>
      </c>
      <c r="C137" s="248" t="s">
        <v>446</v>
      </c>
      <c r="D137" s="248">
        <v>0</v>
      </c>
      <c r="E137" s="248">
        <v>2.091053467443091E-3</v>
      </c>
      <c r="F137" s="248">
        <v>0</v>
      </c>
      <c r="G137" s="248">
        <v>3.8935944944415032E-2</v>
      </c>
      <c r="H137" s="248">
        <v>5.2938062466913714E-4</v>
      </c>
      <c r="I137" s="242" t="e">
        <f>NA()</f>
        <v>#N/A</v>
      </c>
    </row>
    <row r="138" spans="1:9" x14ac:dyDescent="0.25">
      <c r="A138" s="248" t="s">
        <v>183</v>
      </c>
      <c r="B138" s="248" t="s">
        <v>36</v>
      </c>
      <c r="C138" s="248" t="s">
        <v>446</v>
      </c>
      <c r="D138" s="248">
        <v>2.9418934495912281E-2</v>
      </c>
      <c r="E138" s="248">
        <v>2.3225474602036008E-3</v>
      </c>
      <c r="F138" s="248">
        <v>0</v>
      </c>
      <c r="G138" s="248">
        <v>9.5224445868347635E-2</v>
      </c>
      <c r="H138" s="248">
        <v>1.46234469716523E-2</v>
      </c>
      <c r="I138" s="242" t="e">
        <f>NA()</f>
        <v>#N/A</v>
      </c>
    </row>
    <row r="139" spans="1:9" x14ac:dyDescent="0.25">
      <c r="A139" s="248" t="s">
        <v>184</v>
      </c>
      <c r="B139" s="248" t="s">
        <v>36</v>
      </c>
      <c r="C139" s="248" t="s">
        <v>446</v>
      </c>
      <c r="D139" s="248">
        <v>0</v>
      </c>
      <c r="E139" s="248">
        <v>2.8869327032891401E-3</v>
      </c>
      <c r="F139" s="248">
        <v>6.9767540329487548E-3</v>
      </c>
      <c r="G139" s="248">
        <v>0.14025681383479741</v>
      </c>
      <c r="H139" s="248">
        <v>0</v>
      </c>
      <c r="I139" s="242" t="e">
        <f>NA()</f>
        <v>#N/A</v>
      </c>
    </row>
    <row r="140" spans="1:9" x14ac:dyDescent="0.25">
      <c r="A140" s="248" t="s">
        <v>185</v>
      </c>
      <c r="B140" s="248" t="s">
        <v>36</v>
      </c>
      <c r="C140" s="248" t="s">
        <v>446</v>
      </c>
      <c r="D140" s="248">
        <v>0</v>
      </c>
      <c r="E140" s="248">
        <v>2.8783650886296582E-3</v>
      </c>
      <c r="F140" s="248">
        <v>1.471164378632937E-2</v>
      </c>
      <c r="G140" s="248">
        <v>0.17813881715185781</v>
      </c>
      <c r="H140" s="248">
        <v>0</v>
      </c>
      <c r="I140" s="242" t="e">
        <f>NA()</f>
        <v>#N/A</v>
      </c>
    </row>
    <row r="141" spans="1:9" x14ac:dyDescent="0.25">
      <c r="A141" s="248" t="s">
        <v>186</v>
      </c>
      <c r="B141" s="248" t="s">
        <v>36</v>
      </c>
      <c r="C141" s="248" t="s">
        <v>446</v>
      </c>
      <c r="D141" s="248">
        <v>0</v>
      </c>
      <c r="E141" s="248">
        <v>3.331904362849717E-3</v>
      </c>
      <c r="F141" s="248">
        <v>2.7571508602581399E-2</v>
      </c>
      <c r="G141" s="248">
        <v>0.18716972758308281</v>
      </c>
      <c r="H141" s="248">
        <v>0</v>
      </c>
      <c r="I141" s="242" t="e">
        <f>NA()</f>
        <v>#N/A</v>
      </c>
    </row>
    <row r="142" spans="1:9" x14ac:dyDescent="0.25">
      <c r="A142" t="s">
        <v>187</v>
      </c>
      <c r="B142" s="248" t="s">
        <v>48</v>
      </c>
      <c r="C142" s="248" t="s">
        <v>446</v>
      </c>
      <c r="D142" s="248">
        <v>0</v>
      </c>
      <c r="E142" s="248">
        <v>2.6742627345844511E-2</v>
      </c>
      <c r="F142" s="248">
        <v>0.14470509383378019</v>
      </c>
      <c r="G142" s="248">
        <v>0.32587131367292232</v>
      </c>
      <c r="H142" s="248">
        <v>0</v>
      </c>
      <c r="I142" s="242" t="e">
        <f>NA()</f>
        <v>#N/A</v>
      </c>
    </row>
    <row r="143" spans="1:9" x14ac:dyDescent="0.25">
      <c r="A143" t="s">
        <v>188</v>
      </c>
      <c r="B143" s="248" t="s">
        <v>48</v>
      </c>
      <c r="C143" s="248" t="s">
        <v>446</v>
      </c>
      <c r="D143" s="248">
        <v>0</v>
      </c>
      <c r="E143" s="248">
        <v>2.6742627345844511E-2</v>
      </c>
      <c r="F143" s="248">
        <v>0.14470509383378019</v>
      </c>
      <c r="G143" s="248">
        <v>0.32587131367292232</v>
      </c>
      <c r="H143" s="248">
        <v>0</v>
      </c>
      <c r="I143" s="242" t="e">
        <f>NA()</f>
        <v>#N/A</v>
      </c>
    </row>
    <row r="144" spans="1:9" x14ac:dyDescent="0.25">
      <c r="A144" s="248" t="s">
        <v>189</v>
      </c>
      <c r="B144" s="248" t="s">
        <v>48</v>
      </c>
      <c r="C144" s="248" t="s">
        <v>446</v>
      </c>
      <c r="D144" s="248">
        <v>0</v>
      </c>
      <c r="E144" s="248">
        <v>6.0244744273611544E-3</v>
      </c>
      <c r="F144" s="248">
        <v>0.1243175400062755</v>
      </c>
      <c r="G144" s="248">
        <v>0.23649199874490121</v>
      </c>
      <c r="H144" s="248">
        <v>0</v>
      </c>
      <c r="I144" s="242" t="e">
        <f>NA()</f>
        <v>#N/A</v>
      </c>
    </row>
    <row r="145" spans="1:9" x14ac:dyDescent="0.25">
      <c r="A145" s="248" t="s">
        <v>190</v>
      </c>
      <c r="B145" s="248" t="s">
        <v>48</v>
      </c>
      <c r="C145" s="248" t="s">
        <v>446</v>
      </c>
      <c r="D145" s="248">
        <v>0</v>
      </c>
      <c r="E145" s="248">
        <v>3.4838709677419361E-3</v>
      </c>
      <c r="F145" s="248">
        <v>0.16425806451612901</v>
      </c>
      <c r="G145" s="248">
        <v>0.22993548387096771</v>
      </c>
      <c r="H145" s="248">
        <v>0</v>
      </c>
      <c r="I145" s="242" t="e">
        <f>NA()</f>
        <v>#N/A</v>
      </c>
    </row>
    <row r="146" spans="1:9" x14ac:dyDescent="0.25">
      <c r="A146" s="248" t="s">
        <v>191</v>
      </c>
      <c r="B146" s="248" t="s">
        <v>48</v>
      </c>
      <c r="C146" s="248" t="s">
        <v>446</v>
      </c>
      <c r="D146" s="248">
        <v>0</v>
      </c>
      <c r="E146" s="248">
        <v>2.0517464424320831E-2</v>
      </c>
      <c r="F146" s="248">
        <v>0.15777490297542041</v>
      </c>
      <c r="G146" s="248">
        <v>0.27534282018111261</v>
      </c>
      <c r="H146" s="248">
        <v>0</v>
      </c>
      <c r="I146" s="242" t="e">
        <f>NA()</f>
        <v>#N/A</v>
      </c>
    </row>
    <row r="147" spans="1:9" x14ac:dyDescent="0.25">
      <c r="A147" s="248" t="s">
        <v>192</v>
      </c>
      <c r="B147" s="248" t="s">
        <v>48</v>
      </c>
      <c r="C147" s="248" t="s">
        <v>446</v>
      </c>
      <c r="D147" s="248">
        <v>0</v>
      </c>
      <c r="E147" s="248">
        <v>1.834002677376171E-2</v>
      </c>
      <c r="F147" s="248">
        <v>0.31981258366800541</v>
      </c>
      <c r="G147" s="248">
        <v>0.38915662650602412</v>
      </c>
      <c r="H147" s="248">
        <v>9.3708165997322633E-4</v>
      </c>
      <c r="I147" s="242" t="e">
        <f>NA()</f>
        <v>#N/A</v>
      </c>
    </row>
    <row r="148" spans="1:9" x14ac:dyDescent="0.25">
      <c r="A148" s="248" t="s">
        <v>193</v>
      </c>
      <c r="B148" s="248" t="s">
        <v>48</v>
      </c>
      <c r="C148" s="248" t="s">
        <v>446</v>
      </c>
      <c r="D148" s="248">
        <v>0</v>
      </c>
      <c r="E148" s="248">
        <v>2.093821510297483E-2</v>
      </c>
      <c r="F148" s="248">
        <v>0.37471395881006858</v>
      </c>
      <c r="G148" s="248">
        <v>0.4003432494279176</v>
      </c>
      <c r="H148" s="248">
        <v>1.3729977116704809E-3</v>
      </c>
      <c r="I148" s="242" t="e">
        <f>NA()</f>
        <v>#N/A</v>
      </c>
    </row>
    <row r="149" spans="1:9" x14ac:dyDescent="0.25">
      <c r="A149" s="248" t="s">
        <v>194</v>
      </c>
      <c r="B149" s="248" t="s">
        <v>40</v>
      </c>
      <c r="C149" s="248" t="s">
        <v>446</v>
      </c>
      <c r="D149" s="248">
        <v>0</v>
      </c>
      <c r="E149" s="248">
        <v>0.13839009287925699</v>
      </c>
      <c r="F149" s="248">
        <v>0.1268730650154799</v>
      </c>
      <c r="G149" s="248">
        <v>0.55999999999999994</v>
      </c>
      <c r="H149" s="248">
        <v>1.5479876160990711E-3</v>
      </c>
      <c r="I149" s="242" t="e">
        <f>NA()</f>
        <v>#N/A</v>
      </c>
    </row>
    <row r="150" spans="1:9" x14ac:dyDescent="0.25">
      <c r="A150" s="248" t="s">
        <v>195</v>
      </c>
      <c r="B150" s="248" t="s">
        <v>40</v>
      </c>
      <c r="C150" s="248" t="s">
        <v>446</v>
      </c>
      <c r="D150" s="248">
        <v>0</v>
      </c>
      <c r="E150" s="248">
        <v>0</v>
      </c>
      <c r="F150" s="248">
        <v>2.6041666666666661E-2</v>
      </c>
      <c r="G150" s="248">
        <v>0.16770833333333329</v>
      </c>
      <c r="H150" s="248">
        <v>0</v>
      </c>
      <c r="I150" s="242" t="e">
        <f>NA()</f>
        <v>#N/A</v>
      </c>
    </row>
    <row r="151" spans="1:9" x14ac:dyDescent="0.25">
      <c r="A151" s="248" t="s">
        <v>196</v>
      </c>
      <c r="B151" s="248" t="s">
        <v>48</v>
      </c>
      <c r="C151" s="248" t="s">
        <v>446</v>
      </c>
      <c r="D151" s="248">
        <v>0.33217592592592587</v>
      </c>
      <c r="E151" s="248">
        <v>0.16423611111111111</v>
      </c>
      <c r="F151" s="248">
        <v>0.1938657407407407</v>
      </c>
      <c r="G151" s="248">
        <v>0.390625</v>
      </c>
      <c r="H151" s="248">
        <v>0.17743055555555551</v>
      </c>
      <c r="I151" s="242" t="e">
        <f>NA()</f>
        <v>#N/A</v>
      </c>
    </row>
    <row r="152" spans="1:9" x14ac:dyDescent="0.25">
      <c r="A152" s="248" t="s">
        <v>197</v>
      </c>
      <c r="B152" s="248" t="s">
        <v>105</v>
      </c>
      <c r="C152" s="248" t="s">
        <v>446</v>
      </c>
      <c r="D152" s="248">
        <v>0</v>
      </c>
      <c r="E152" s="248">
        <v>4.3718592964824117E-2</v>
      </c>
      <c r="F152" s="248">
        <v>9.0954773869346736E-2</v>
      </c>
      <c r="G152" s="248">
        <v>0.29798994974874371</v>
      </c>
      <c r="H152" s="248">
        <v>0</v>
      </c>
      <c r="I152" s="242" t="e">
        <f>NA()</f>
        <v>#N/A</v>
      </c>
    </row>
    <row r="153" spans="1:9" x14ac:dyDescent="0.25">
      <c r="A153" s="248" t="s">
        <v>199</v>
      </c>
      <c r="B153" s="248" t="s">
        <v>48</v>
      </c>
      <c r="C153" s="248" t="s">
        <v>446</v>
      </c>
      <c r="D153" s="248">
        <v>0</v>
      </c>
      <c r="E153" s="248">
        <v>0.19696969696969699</v>
      </c>
      <c r="F153" s="248">
        <v>0.31767676767676772</v>
      </c>
      <c r="G153" s="248">
        <v>0.51464646464646457</v>
      </c>
      <c r="H153" s="248">
        <v>4.0404040404040404E-3</v>
      </c>
      <c r="I153" s="242" t="e">
        <f>NA()</f>
        <v>#N/A</v>
      </c>
    </row>
    <row r="154" spans="1:9" x14ac:dyDescent="0.25">
      <c r="A154" s="248" t="s">
        <v>200</v>
      </c>
      <c r="B154" s="248" t="s">
        <v>48</v>
      </c>
      <c r="C154" s="248" t="s">
        <v>446</v>
      </c>
      <c r="D154" s="248">
        <v>0.36257183908045981</v>
      </c>
      <c r="E154" s="248">
        <v>0.25474137931034491</v>
      </c>
      <c r="F154" s="248">
        <v>0.32090517241379313</v>
      </c>
      <c r="G154" s="248">
        <v>0.50093390804597704</v>
      </c>
      <c r="H154" s="248">
        <v>1.6810344827586209E-2</v>
      </c>
      <c r="I154" s="242" t="e">
        <f>NA()</f>
        <v>#N/A</v>
      </c>
    </row>
    <row r="155" spans="1:9" x14ac:dyDescent="0.25">
      <c r="A155" s="248" t="s">
        <v>201</v>
      </c>
      <c r="B155" s="248" t="s">
        <v>40</v>
      </c>
      <c r="C155" s="248" t="s">
        <v>446</v>
      </c>
      <c r="D155" s="248">
        <v>0.3681141439205956</v>
      </c>
      <c r="E155" s="248">
        <v>0.40446650124069478</v>
      </c>
      <c r="F155" s="248">
        <v>0.14416873449131509</v>
      </c>
      <c r="G155" s="248">
        <v>0.40880893300248139</v>
      </c>
      <c r="H155" s="248">
        <v>5.3598014888337479E-2</v>
      </c>
      <c r="I155" s="242" t="e">
        <f>NA()</f>
        <v>#N/A</v>
      </c>
    </row>
    <row r="156" spans="1:9" x14ac:dyDescent="0.25">
      <c r="A156" s="248" t="s">
        <v>202</v>
      </c>
      <c r="B156" s="248" t="s">
        <v>198</v>
      </c>
      <c r="C156" s="248" t="s">
        <v>446</v>
      </c>
      <c r="D156" s="248">
        <v>0.16350000000000001</v>
      </c>
      <c r="E156" s="248">
        <v>5.3249999999999999E-2</v>
      </c>
      <c r="F156" s="248">
        <v>2.1749999999999999E-2</v>
      </c>
      <c r="G156" s="248">
        <v>0.23474999999999999</v>
      </c>
      <c r="H156" s="248">
        <v>0.45450000000000002</v>
      </c>
      <c r="I156" s="242" t="e">
        <f>NA()</f>
        <v>#N/A</v>
      </c>
    </row>
    <row r="157" spans="1:9" x14ac:dyDescent="0.25">
      <c r="A157" s="248" t="s">
        <v>203</v>
      </c>
      <c r="B157" s="248" t="s">
        <v>198</v>
      </c>
      <c r="C157" s="248" t="s">
        <v>446</v>
      </c>
      <c r="D157" s="248">
        <v>0.20609137055837559</v>
      </c>
      <c r="E157" s="248">
        <v>5.3299492385786809E-2</v>
      </c>
      <c r="F157" s="248">
        <v>3.654822335025381E-2</v>
      </c>
      <c r="G157" s="248">
        <v>0.2517766497461929</v>
      </c>
      <c r="H157" s="248">
        <v>0.31827411167512693</v>
      </c>
      <c r="I157" s="242" t="e">
        <f>NA()</f>
        <v>#N/A</v>
      </c>
    </row>
    <row r="158" spans="1:9" x14ac:dyDescent="0.25">
      <c r="A158" s="248" t="s">
        <v>204</v>
      </c>
      <c r="B158" s="248" t="s">
        <v>40</v>
      </c>
      <c r="C158" s="248" t="s">
        <v>446</v>
      </c>
      <c r="D158" s="248">
        <v>0</v>
      </c>
      <c r="E158" s="248">
        <v>0.14838709677419359</v>
      </c>
      <c r="F158" s="248">
        <v>0.34055299539170508</v>
      </c>
      <c r="G158" s="248">
        <v>0.59331797235023043</v>
      </c>
      <c r="H158" s="248">
        <v>4.147465437788018E-3</v>
      </c>
      <c r="I158" s="242" t="e">
        <f>NA()</f>
        <v>#N/A</v>
      </c>
    </row>
    <row r="159" spans="1:9" x14ac:dyDescent="0.25">
      <c r="A159" s="248" t="s">
        <v>205</v>
      </c>
      <c r="B159" s="248" t="s">
        <v>198</v>
      </c>
      <c r="C159" s="248" t="s">
        <v>446</v>
      </c>
      <c r="D159" s="248">
        <v>0.16350000000000001</v>
      </c>
      <c r="E159" s="248">
        <v>5.3249999999999999E-2</v>
      </c>
      <c r="F159" s="248">
        <v>2.1749999999999999E-2</v>
      </c>
      <c r="G159" s="248">
        <v>0.23474999999999999</v>
      </c>
      <c r="H159" s="248">
        <v>0.42449999999999999</v>
      </c>
      <c r="I159" s="242" t="e">
        <f>NA()</f>
        <v>#N/A</v>
      </c>
    </row>
    <row r="160" spans="1:9" x14ac:dyDescent="0.25">
      <c r="A160" s="248" t="s">
        <v>206</v>
      </c>
      <c r="B160" s="248" t="s">
        <v>198</v>
      </c>
      <c r="C160" s="248" t="s">
        <v>446</v>
      </c>
      <c r="D160" s="248">
        <v>0.16350000000000001</v>
      </c>
      <c r="E160" s="248">
        <v>5.3249999999999999E-2</v>
      </c>
      <c r="F160" s="248">
        <v>2.75E-2</v>
      </c>
      <c r="G160" s="248">
        <v>0.23474999999999999</v>
      </c>
      <c r="H160" s="248">
        <v>0.35349999999999998</v>
      </c>
      <c r="I160" s="242" t="e">
        <f>NA()</f>
        <v>#N/A</v>
      </c>
    </row>
    <row r="161" spans="1:9" x14ac:dyDescent="0.25">
      <c r="A161" s="248" t="s">
        <v>207</v>
      </c>
      <c r="B161" s="248" t="s">
        <v>198</v>
      </c>
      <c r="C161" s="248" t="s">
        <v>446</v>
      </c>
      <c r="D161" s="248">
        <v>0.16350000000000001</v>
      </c>
      <c r="E161" s="248">
        <v>5.3249999999999999E-2</v>
      </c>
      <c r="F161" s="248">
        <v>1.4999999999999999E-2</v>
      </c>
      <c r="G161" s="248">
        <v>0.23474999999999999</v>
      </c>
      <c r="H161" s="248">
        <v>0.51800000000000002</v>
      </c>
      <c r="I161" s="242" t="e">
        <f>NA()</f>
        <v>#N/A</v>
      </c>
    </row>
    <row r="162" spans="1:9" x14ac:dyDescent="0.25">
      <c r="A162" s="248" t="s">
        <v>208</v>
      </c>
      <c r="B162" s="248" t="s">
        <v>198</v>
      </c>
      <c r="C162" s="248" t="s">
        <v>446</v>
      </c>
      <c r="D162" s="248">
        <v>0.16350000000000001</v>
      </c>
      <c r="E162" s="248">
        <v>5.3249999999999999E-2</v>
      </c>
      <c r="F162" s="248">
        <v>2.75E-2</v>
      </c>
      <c r="G162" s="248">
        <v>0.23474999999999999</v>
      </c>
      <c r="H162" s="248">
        <v>0.34675</v>
      </c>
      <c r="I162" s="242" t="e">
        <f>NA()</f>
        <v>#N/A</v>
      </c>
    </row>
    <row r="163" spans="1:9" x14ac:dyDescent="0.25">
      <c r="A163" s="248" t="s">
        <v>209</v>
      </c>
      <c r="B163" s="248" t="s">
        <v>198</v>
      </c>
      <c r="C163" s="248" t="s">
        <v>446</v>
      </c>
      <c r="D163" s="248">
        <v>0.22175</v>
      </c>
      <c r="E163" s="248">
        <v>5.3249999999999999E-2</v>
      </c>
      <c r="F163" s="248">
        <v>4.0999999999999988E-2</v>
      </c>
      <c r="G163" s="248">
        <v>0.2515</v>
      </c>
      <c r="H163" s="248">
        <v>0.20025000000000001</v>
      </c>
      <c r="I163" s="242" t="e">
        <f>NA()</f>
        <v>#N/A</v>
      </c>
    </row>
    <row r="164" spans="1:9" x14ac:dyDescent="0.25">
      <c r="A164" s="248" t="s">
        <v>210</v>
      </c>
      <c r="B164" s="248" t="s">
        <v>198</v>
      </c>
      <c r="C164" s="248" t="s">
        <v>446</v>
      </c>
      <c r="D164" s="248">
        <v>0.16350000000000001</v>
      </c>
      <c r="E164" s="248">
        <v>5.3249999999999999E-2</v>
      </c>
      <c r="F164" s="248">
        <v>3.2500000000000001E-2</v>
      </c>
      <c r="G164" s="248">
        <v>0.23474999999999999</v>
      </c>
      <c r="H164" s="248">
        <v>0.30599999999999999</v>
      </c>
      <c r="I164" s="242" t="e">
        <f>NA()</f>
        <v>#N/A</v>
      </c>
    </row>
    <row r="165" spans="1:9" x14ac:dyDescent="0.25">
      <c r="A165" s="248" t="s">
        <v>211</v>
      </c>
      <c r="B165" s="248" t="s">
        <v>198</v>
      </c>
      <c r="C165" s="248" t="s">
        <v>446</v>
      </c>
      <c r="D165" s="248">
        <v>0.16350000000000001</v>
      </c>
      <c r="E165" s="248">
        <v>5.3249999999999999E-2</v>
      </c>
      <c r="F165" s="248">
        <v>1.4999999999999999E-2</v>
      </c>
      <c r="G165" s="248">
        <v>0.23474999999999999</v>
      </c>
      <c r="H165" s="248">
        <v>0.44600000000000001</v>
      </c>
      <c r="I165" s="242" t="e">
        <f>NA()</f>
        <v>#N/A</v>
      </c>
    </row>
    <row r="166" spans="1:9" x14ac:dyDescent="0.25">
      <c r="A166" s="248" t="s">
        <v>212</v>
      </c>
      <c r="B166" s="248" t="s">
        <v>198</v>
      </c>
      <c r="C166" s="248" t="s">
        <v>446</v>
      </c>
      <c r="D166" s="248">
        <v>0.16350000000000001</v>
      </c>
      <c r="E166" s="248">
        <v>5.3249999999999999E-2</v>
      </c>
      <c r="F166" s="248">
        <v>1.4999999999999999E-2</v>
      </c>
      <c r="G166" s="248">
        <v>0.23474999999999999</v>
      </c>
      <c r="H166" s="248">
        <v>0.44299999999999989</v>
      </c>
      <c r="I166" s="242" t="e">
        <f>NA()</f>
        <v>#N/A</v>
      </c>
    </row>
    <row r="167" spans="1:9" x14ac:dyDescent="0.25">
      <c r="A167" s="248" t="s">
        <v>213</v>
      </c>
      <c r="B167" s="248" t="s">
        <v>198</v>
      </c>
      <c r="C167" s="248" t="s">
        <v>446</v>
      </c>
      <c r="D167" s="248">
        <v>0.16350000000000001</v>
      </c>
      <c r="E167" s="248">
        <v>5.3249999999999999E-2</v>
      </c>
      <c r="F167" s="248">
        <v>2.75E-2</v>
      </c>
      <c r="G167" s="248">
        <v>0.23474999999999999</v>
      </c>
      <c r="H167" s="248">
        <v>0.36049999999999999</v>
      </c>
      <c r="I167" s="242" t="e">
        <f>NA()</f>
        <v>#N/A</v>
      </c>
    </row>
    <row r="168" spans="1:9" x14ac:dyDescent="0.25">
      <c r="A168" s="248" t="s">
        <v>214</v>
      </c>
      <c r="B168" s="248" t="s">
        <v>198</v>
      </c>
      <c r="C168" s="248" t="s">
        <v>446</v>
      </c>
      <c r="D168" s="248">
        <v>0.16350000000000001</v>
      </c>
      <c r="E168" s="248">
        <v>5.3249999999999999E-2</v>
      </c>
      <c r="F168" s="248">
        <v>1.4999999999999999E-2</v>
      </c>
      <c r="G168" s="248">
        <v>0.23474999999999999</v>
      </c>
      <c r="H168" s="248">
        <v>0.35299999999999998</v>
      </c>
      <c r="I168" s="242" t="e">
        <f>NA()</f>
        <v>#N/A</v>
      </c>
    </row>
    <row r="169" spans="1:9" x14ac:dyDescent="0.25">
      <c r="A169" s="248" t="s">
        <v>215</v>
      </c>
      <c r="B169" s="248" t="s">
        <v>198</v>
      </c>
      <c r="C169" s="248" t="s">
        <v>446</v>
      </c>
      <c r="D169" s="248">
        <v>0.16350000000000001</v>
      </c>
      <c r="E169" s="248">
        <v>5.3249999999999999E-2</v>
      </c>
      <c r="F169" s="248">
        <v>1.4999999999999999E-2</v>
      </c>
      <c r="G169" s="248">
        <v>0.23474999999999999</v>
      </c>
      <c r="H169" s="248">
        <v>0.44524999999999998</v>
      </c>
      <c r="I169" s="242" t="e">
        <f>NA()</f>
        <v>#N/A</v>
      </c>
    </row>
    <row r="170" spans="1:9" x14ac:dyDescent="0.25">
      <c r="A170" s="248" t="s">
        <v>216</v>
      </c>
      <c r="B170" s="248" t="s">
        <v>198</v>
      </c>
      <c r="C170" s="248" t="s">
        <v>446</v>
      </c>
      <c r="D170" s="248">
        <v>0.16350000000000001</v>
      </c>
      <c r="E170" s="248">
        <v>5.3249999999999999E-2</v>
      </c>
      <c r="F170" s="248">
        <v>1.4999999999999999E-2</v>
      </c>
      <c r="G170" s="248">
        <v>0.23474999999999999</v>
      </c>
      <c r="H170" s="248">
        <v>0.35175000000000001</v>
      </c>
      <c r="I170" s="242" t="e">
        <f>NA()</f>
        <v>#N/A</v>
      </c>
    </row>
    <row r="171" spans="1:9" x14ac:dyDescent="0.25">
      <c r="A171" s="248" t="s">
        <v>217</v>
      </c>
      <c r="B171" s="248" t="s">
        <v>198</v>
      </c>
      <c r="C171" s="248" t="s">
        <v>446</v>
      </c>
      <c r="D171" s="248">
        <v>0.16350000000000001</v>
      </c>
      <c r="E171" s="248">
        <v>5.3249999999999999E-2</v>
      </c>
      <c r="F171" s="248">
        <v>2.1749999999999999E-2</v>
      </c>
      <c r="G171" s="248">
        <v>0.23474999999999999</v>
      </c>
      <c r="H171" s="248">
        <v>0.48825000000000002</v>
      </c>
      <c r="I171" s="242" t="e">
        <f>NA()</f>
        <v>#N/A</v>
      </c>
    </row>
    <row r="172" spans="1:9" x14ac:dyDescent="0.25">
      <c r="A172" s="248" t="s">
        <v>218</v>
      </c>
      <c r="B172" s="248" t="s">
        <v>198</v>
      </c>
      <c r="C172" s="248" t="s">
        <v>446</v>
      </c>
      <c r="D172" s="248">
        <v>0.16350000000000001</v>
      </c>
      <c r="E172" s="248">
        <v>5.3249999999999999E-2</v>
      </c>
      <c r="F172" s="248">
        <v>2.75E-2</v>
      </c>
      <c r="G172" s="248">
        <v>0.23474999999999999</v>
      </c>
      <c r="H172" s="248">
        <v>0.36375000000000002</v>
      </c>
      <c r="I172" s="242" t="e">
        <f>NA()</f>
        <v>#N/A</v>
      </c>
    </row>
    <row r="173" spans="1:9" x14ac:dyDescent="0.25">
      <c r="A173" s="248" t="s">
        <v>219</v>
      </c>
      <c r="B173" s="248" t="s">
        <v>198</v>
      </c>
      <c r="C173" s="248" t="s">
        <v>446</v>
      </c>
      <c r="D173" s="248">
        <v>0.16350000000000001</v>
      </c>
      <c r="E173" s="248">
        <v>5.3249999999999999E-2</v>
      </c>
      <c r="F173" s="248">
        <v>2.1749999999999999E-2</v>
      </c>
      <c r="G173" s="248">
        <v>0.23474999999999999</v>
      </c>
      <c r="H173" s="248">
        <v>0.38850000000000001</v>
      </c>
      <c r="I173" s="242" t="e">
        <f>NA()</f>
        <v>#N/A</v>
      </c>
    </row>
    <row r="174" spans="1:9" x14ac:dyDescent="0.25">
      <c r="A174" s="248" t="s">
        <v>220</v>
      </c>
      <c r="B174" s="248" t="s">
        <v>198</v>
      </c>
      <c r="C174" s="248" t="s">
        <v>446</v>
      </c>
      <c r="D174" s="248">
        <v>0.16350000000000001</v>
      </c>
      <c r="E174" s="248">
        <v>5.3249999999999999E-2</v>
      </c>
      <c r="F174" s="248">
        <v>2.1749999999999999E-2</v>
      </c>
      <c r="G174" s="248">
        <v>0.23474999999999999</v>
      </c>
      <c r="H174" s="248">
        <v>0.41325000000000001</v>
      </c>
      <c r="I174" s="242" t="e">
        <f>NA()</f>
        <v>#N/A</v>
      </c>
    </row>
    <row r="175" spans="1:9" x14ac:dyDescent="0.25">
      <c r="A175" s="248" t="s">
        <v>221</v>
      </c>
      <c r="B175" s="248" t="s">
        <v>198</v>
      </c>
      <c r="C175" s="248" t="s">
        <v>446</v>
      </c>
      <c r="D175" s="248">
        <v>0.16350000000000001</v>
      </c>
      <c r="E175" s="248">
        <v>5.3249999999999999E-2</v>
      </c>
      <c r="F175" s="248">
        <v>2.75E-2</v>
      </c>
      <c r="G175" s="248">
        <v>0.23474999999999999</v>
      </c>
      <c r="H175" s="248">
        <v>0.28549999999999998</v>
      </c>
      <c r="I175" s="242" t="e">
        <f>NA()</f>
        <v>#N/A</v>
      </c>
    </row>
    <row r="176" spans="1:9" x14ac:dyDescent="0.25">
      <c r="A176" s="248" t="s">
        <v>222</v>
      </c>
      <c r="B176" s="248" t="s">
        <v>198</v>
      </c>
      <c r="C176" s="248" t="s">
        <v>446</v>
      </c>
      <c r="D176" s="248">
        <v>0.16350000000000001</v>
      </c>
      <c r="E176" s="248">
        <v>5.3249999999999999E-2</v>
      </c>
      <c r="F176" s="248">
        <v>2.75E-2</v>
      </c>
      <c r="G176" s="248">
        <v>0.23474999999999999</v>
      </c>
      <c r="H176" s="248">
        <v>0.26150000000000001</v>
      </c>
      <c r="I176" s="242" t="e">
        <f>NA()</f>
        <v>#N/A</v>
      </c>
    </row>
    <row r="177" spans="1:9" x14ac:dyDescent="0.25">
      <c r="A177" s="248" t="s">
        <v>223</v>
      </c>
      <c r="B177" s="248" t="s">
        <v>198</v>
      </c>
      <c r="C177" s="248" t="s">
        <v>446</v>
      </c>
      <c r="D177" s="248">
        <v>0.16350000000000001</v>
      </c>
      <c r="E177" s="248">
        <v>5.3249999999999999E-2</v>
      </c>
      <c r="F177" s="248">
        <v>1.4999999999999999E-2</v>
      </c>
      <c r="G177" s="248">
        <v>0.23474999999999999</v>
      </c>
      <c r="H177" s="248">
        <v>0.4405</v>
      </c>
      <c r="I177" s="242" t="e">
        <f>NA()</f>
        <v>#N/A</v>
      </c>
    </row>
    <row r="178" spans="1:9" x14ac:dyDescent="0.25">
      <c r="A178" s="248" t="s">
        <v>224</v>
      </c>
      <c r="B178" s="248" t="s">
        <v>198</v>
      </c>
      <c r="C178" s="248" t="s">
        <v>446</v>
      </c>
      <c r="D178" s="248">
        <v>0.16350000000000001</v>
      </c>
      <c r="E178" s="248">
        <v>5.3249999999999999E-2</v>
      </c>
      <c r="F178" s="248">
        <v>1.4999999999999999E-2</v>
      </c>
      <c r="G178" s="248">
        <v>0.23474999999999999</v>
      </c>
      <c r="H178" s="248">
        <v>0.4365</v>
      </c>
      <c r="I178" s="242" t="e">
        <f>NA()</f>
        <v>#N/A</v>
      </c>
    </row>
    <row r="179" spans="1:9" x14ac:dyDescent="0.25">
      <c r="A179" s="248" t="s">
        <v>225</v>
      </c>
      <c r="B179" s="248" t="s">
        <v>198</v>
      </c>
      <c r="C179" s="248" t="s">
        <v>446</v>
      </c>
      <c r="D179" s="248">
        <v>0.16350000000000001</v>
      </c>
      <c r="E179" s="248">
        <v>5.3249999999999999E-2</v>
      </c>
      <c r="F179" s="248">
        <v>2.75E-2</v>
      </c>
      <c r="G179" s="248">
        <v>0.23474999999999999</v>
      </c>
      <c r="H179" s="248">
        <v>0.27100000000000002</v>
      </c>
      <c r="I179" s="242" t="e">
        <f>NA()</f>
        <v>#N/A</v>
      </c>
    </row>
    <row r="180" spans="1:9" x14ac:dyDescent="0.25">
      <c r="A180" s="248" t="s">
        <v>226</v>
      </c>
      <c r="B180" s="248" t="s">
        <v>198</v>
      </c>
      <c r="C180" s="248" t="s">
        <v>446</v>
      </c>
      <c r="D180" s="248">
        <v>0.16350000000000001</v>
      </c>
      <c r="E180" s="248">
        <v>5.3249999999999999E-2</v>
      </c>
      <c r="F180" s="248">
        <v>1.4999999999999999E-2</v>
      </c>
      <c r="G180" s="248">
        <v>0.23474999999999999</v>
      </c>
      <c r="H180" s="248">
        <v>0.36875000000000002</v>
      </c>
      <c r="I180" s="242" t="e">
        <f>NA()</f>
        <v>#N/A</v>
      </c>
    </row>
    <row r="181" spans="1:9" x14ac:dyDescent="0.25">
      <c r="A181" s="248" t="s">
        <v>227</v>
      </c>
      <c r="B181" s="248" t="s">
        <v>198</v>
      </c>
      <c r="C181" s="248" t="s">
        <v>446</v>
      </c>
      <c r="D181" s="248">
        <v>0.16350000000000001</v>
      </c>
      <c r="E181" s="248">
        <v>5.3249999999999999E-2</v>
      </c>
      <c r="F181" s="248">
        <v>1.4999999999999999E-2</v>
      </c>
      <c r="G181" s="248">
        <v>0.23474999999999999</v>
      </c>
      <c r="H181" s="248">
        <v>0.35799999999999998</v>
      </c>
      <c r="I181" s="242" t="e">
        <f>NA()</f>
        <v>#N/A</v>
      </c>
    </row>
    <row r="182" spans="1:9" x14ac:dyDescent="0.25">
      <c r="A182" s="248" t="s">
        <v>228</v>
      </c>
      <c r="B182" s="248" t="s">
        <v>198</v>
      </c>
      <c r="C182" s="248" t="s">
        <v>446</v>
      </c>
      <c r="D182" s="248">
        <v>0.22175</v>
      </c>
      <c r="E182" s="248">
        <v>5.3249999999999999E-2</v>
      </c>
      <c r="F182" s="248">
        <v>3.2500000000000001E-2</v>
      </c>
      <c r="G182" s="248">
        <v>0.23474999999999999</v>
      </c>
      <c r="H182" s="248">
        <v>0.23524999999999999</v>
      </c>
      <c r="I182" s="242" t="e">
        <f>NA()</f>
        <v>#N/A</v>
      </c>
    </row>
    <row r="183" spans="1:9" x14ac:dyDescent="0.25">
      <c r="A183" s="248" t="s">
        <v>229</v>
      </c>
      <c r="B183" s="248" t="s">
        <v>198</v>
      </c>
      <c r="C183" s="248" t="s">
        <v>446</v>
      </c>
      <c r="D183" s="248">
        <v>0.22175</v>
      </c>
      <c r="E183" s="248">
        <v>5.3249999999999999E-2</v>
      </c>
      <c r="F183" s="248">
        <v>4.0999999999999988E-2</v>
      </c>
      <c r="G183" s="248">
        <v>0.2515</v>
      </c>
      <c r="H183" s="248">
        <v>0.17599999999999999</v>
      </c>
      <c r="I183" s="242" t="e">
        <f>NA()</f>
        <v>#N/A</v>
      </c>
    </row>
    <row r="184" spans="1:9" x14ac:dyDescent="0.25">
      <c r="A184" s="248" t="s">
        <v>230</v>
      </c>
      <c r="B184" s="248" t="s">
        <v>198</v>
      </c>
      <c r="C184" s="248" t="s">
        <v>446</v>
      </c>
      <c r="D184" s="248">
        <v>0.22175</v>
      </c>
      <c r="E184" s="248">
        <v>5.3249999999999999E-2</v>
      </c>
      <c r="F184" s="248">
        <v>3.2500000000000001E-2</v>
      </c>
      <c r="G184" s="248">
        <v>0.23474999999999999</v>
      </c>
      <c r="H184" s="248">
        <v>0.188</v>
      </c>
      <c r="I184" s="242" t="e">
        <f>NA()</f>
        <v>#N/A</v>
      </c>
    </row>
    <row r="185" spans="1:9" x14ac:dyDescent="0.25">
      <c r="A185" s="248" t="s">
        <v>231</v>
      </c>
      <c r="B185" s="248" t="s">
        <v>198</v>
      </c>
      <c r="C185" s="248" t="s">
        <v>446</v>
      </c>
      <c r="D185" s="248">
        <v>0.16350000000000001</v>
      </c>
      <c r="E185" s="248">
        <v>5.3249999999999999E-2</v>
      </c>
      <c r="F185" s="248">
        <v>2.1749999999999999E-2</v>
      </c>
      <c r="G185" s="248">
        <v>0.23474999999999999</v>
      </c>
      <c r="H185" s="248">
        <v>0.43824999999999997</v>
      </c>
      <c r="I185" s="242" t="e">
        <f>NA()</f>
        <v>#N/A</v>
      </c>
    </row>
    <row r="186" spans="1:9" x14ac:dyDescent="0.25">
      <c r="A186" s="248" t="s">
        <v>232</v>
      </c>
      <c r="B186" s="248" t="s">
        <v>198</v>
      </c>
      <c r="C186" s="248" t="s">
        <v>446</v>
      </c>
      <c r="D186" s="248">
        <v>0.16350000000000001</v>
      </c>
      <c r="E186" s="248">
        <v>5.3249999999999999E-2</v>
      </c>
      <c r="F186" s="248">
        <v>2.1749999999999999E-2</v>
      </c>
      <c r="G186" s="248">
        <v>0.23474999999999999</v>
      </c>
      <c r="H186" s="248">
        <v>0.39250000000000002</v>
      </c>
      <c r="I186" s="242" t="e">
        <f>NA()</f>
        <v>#N/A</v>
      </c>
    </row>
    <row r="187" spans="1:9" x14ac:dyDescent="0.25">
      <c r="A187" s="248" t="s">
        <v>233</v>
      </c>
      <c r="B187" s="248" t="s">
        <v>198</v>
      </c>
      <c r="C187" s="248" t="s">
        <v>446</v>
      </c>
      <c r="D187" s="248">
        <v>0.16350000000000001</v>
      </c>
      <c r="E187" s="248">
        <v>5.3249999999999999E-2</v>
      </c>
      <c r="F187" s="248">
        <v>1.4999999999999999E-2</v>
      </c>
      <c r="G187" s="248">
        <v>0.23474999999999999</v>
      </c>
      <c r="H187" s="248">
        <v>0.43600000000000011</v>
      </c>
      <c r="I187" s="242" t="e">
        <f>NA()</f>
        <v>#N/A</v>
      </c>
    </row>
    <row r="188" spans="1:9" x14ac:dyDescent="0.25">
      <c r="A188" s="248" t="s">
        <v>234</v>
      </c>
      <c r="B188" s="248" t="s">
        <v>198</v>
      </c>
      <c r="C188" s="248" t="s">
        <v>446</v>
      </c>
      <c r="D188" s="248">
        <v>0.16350000000000001</v>
      </c>
      <c r="E188" s="248">
        <v>5.3249999999999999E-2</v>
      </c>
      <c r="F188" s="248">
        <v>1.4999999999999999E-2</v>
      </c>
      <c r="G188" s="248">
        <v>0.23474999999999999</v>
      </c>
      <c r="H188" s="248">
        <v>0.34300000000000003</v>
      </c>
      <c r="I188" s="242" t="e">
        <f>NA()</f>
        <v>#N/A</v>
      </c>
    </row>
    <row r="189" spans="1:9" x14ac:dyDescent="0.25">
      <c r="A189" s="248" t="s">
        <v>235</v>
      </c>
      <c r="B189" s="248" t="s">
        <v>198</v>
      </c>
      <c r="C189" s="248" t="s">
        <v>446</v>
      </c>
      <c r="D189" s="248">
        <v>0.16350000000000001</v>
      </c>
      <c r="E189" s="248">
        <v>5.3249999999999999E-2</v>
      </c>
      <c r="F189" s="248">
        <v>2.1749999999999999E-2</v>
      </c>
      <c r="G189" s="248">
        <v>0.23474999999999999</v>
      </c>
      <c r="H189" s="248">
        <v>0.31724999999999998</v>
      </c>
      <c r="I189" s="242" t="e">
        <f>NA()</f>
        <v>#N/A</v>
      </c>
    </row>
    <row r="190" spans="1:9" x14ac:dyDescent="0.25">
      <c r="A190" s="248" t="s">
        <v>236</v>
      </c>
      <c r="B190" s="248" t="s">
        <v>198</v>
      </c>
      <c r="C190" s="248" t="s">
        <v>446</v>
      </c>
      <c r="D190" s="248">
        <v>0.16350000000000001</v>
      </c>
      <c r="E190" s="248">
        <v>5.3249999999999999E-2</v>
      </c>
      <c r="F190" s="248">
        <v>1.4999999999999999E-2</v>
      </c>
      <c r="G190" s="248">
        <v>0.23474999999999999</v>
      </c>
      <c r="H190" s="248">
        <v>0.45524999999999999</v>
      </c>
      <c r="I190" s="242" t="e">
        <f>NA()</f>
        <v>#N/A</v>
      </c>
    </row>
    <row r="191" spans="1:9" x14ac:dyDescent="0.25">
      <c r="A191" s="248" t="s">
        <v>237</v>
      </c>
      <c r="B191" s="248" t="s">
        <v>198</v>
      </c>
      <c r="C191" s="248" t="s">
        <v>446</v>
      </c>
      <c r="D191" s="248">
        <v>0.16350000000000001</v>
      </c>
      <c r="E191" s="248">
        <v>5.3249999999999999E-2</v>
      </c>
      <c r="F191" s="248">
        <v>1.4999999999999999E-2</v>
      </c>
      <c r="G191" s="248">
        <v>0.23474999999999999</v>
      </c>
      <c r="H191" s="248">
        <v>0.36525000000000002</v>
      </c>
      <c r="I191" s="242" t="e">
        <f>NA()</f>
        <v>#N/A</v>
      </c>
    </row>
    <row r="192" spans="1:9" x14ac:dyDescent="0.25">
      <c r="A192" s="248" t="s">
        <v>238</v>
      </c>
      <c r="B192" s="248" t="s">
        <v>198</v>
      </c>
      <c r="C192" s="248" t="s">
        <v>446</v>
      </c>
      <c r="D192" s="248">
        <v>0.16350000000000001</v>
      </c>
      <c r="E192" s="248">
        <v>5.3249999999999999E-2</v>
      </c>
      <c r="F192" s="248">
        <v>2.75E-2</v>
      </c>
      <c r="G192" s="248">
        <v>0.23474999999999999</v>
      </c>
      <c r="H192" s="248">
        <v>0.32900000000000001</v>
      </c>
      <c r="I192" s="242" t="e">
        <f>NA()</f>
        <v>#N/A</v>
      </c>
    </row>
    <row r="193" spans="1:9" x14ac:dyDescent="0.25">
      <c r="A193" s="248" t="s">
        <v>239</v>
      </c>
      <c r="B193" s="248" t="s">
        <v>198</v>
      </c>
      <c r="C193" s="248" t="s">
        <v>446</v>
      </c>
      <c r="D193" s="248">
        <v>0.16350000000000001</v>
      </c>
      <c r="E193" s="248">
        <v>5.3249999999999999E-2</v>
      </c>
      <c r="F193" s="248">
        <v>2.1749999999999999E-2</v>
      </c>
      <c r="G193" s="248">
        <v>0.23474999999999999</v>
      </c>
      <c r="H193" s="248">
        <v>0.33600000000000002</v>
      </c>
      <c r="I193" s="242" t="e">
        <f>NA()</f>
        <v>#N/A</v>
      </c>
    </row>
    <row r="194" spans="1:9" x14ac:dyDescent="0.25">
      <c r="A194" s="248" t="s">
        <v>240</v>
      </c>
      <c r="B194" s="248" t="s">
        <v>198</v>
      </c>
      <c r="C194" s="248" t="s">
        <v>446</v>
      </c>
      <c r="D194" s="248">
        <v>0.16350000000000001</v>
      </c>
      <c r="E194" s="248">
        <v>5.3249999999999999E-2</v>
      </c>
      <c r="F194" s="248">
        <v>1.4999999999999999E-2</v>
      </c>
      <c r="G194" s="248">
        <v>0.23474999999999999</v>
      </c>
      <c r="H194" s="248">
        <v>0.36299999999999999</v>
      </c>
      <c r="I194" s="242" t="e">
        <f>NA()</f>
        <v>#N/A</v>
      </c>
    </row>
    <row r="195" spans="1:9" x14ac:dyDescent="0.25">
      <c r="A195" s="248" t="s">
        <v>241</v>
      </c>
      <c r="B195" s="248" t="s">
        <v>198</v>
      </c>
      <c r="C195" s="248" t="s">
        <v>446</v>
      </c>
      <c r="D195" s="248">
        <v>0.16350000000000001</v>
      </c>
      <c r="E195" s="248">
        <v>5.3249999999999999E-2</v>
      </c>
      <c r="F195" s="248">
        <v>1.4999999999999999E-2</v>
      </c>
      <c r="G195" s="248">
        <v>0.23474999999999999</v>
      </c>
      <c r="H195" s="248">
        <v>0.35125000000000001</v>
      </c>
      <c r="I195" s="242" t="e">
        <f>NA()</f>
        <v>#N/A</v>
      </c>
    </row>
    <row r="196" spans="1:9" x14ac:dyDescent="0.25">
      <c r="A196" s="248" t="s">
        <v>242</v>
      </c>
      <c r="B196" s="248" t="s">
        <v>198</v>
      </c>
      <c r="C196" s="248" t="s">
        <v>446</v>
      </c>
      <c r="D196" s="248">
        <v>0.16350000000000001</v>
      </c>
      <c r="E196" s="248">
        <v>5.3249999999999999E-2</v>
      </c>
      <c r="F196" s="248">
        <v>1.4999999999999999E-2</v>
      </c>
      <c r="G196" s="248">
        <v>0.23474999999999999</v>
      </c>
      <c r="H196" s="248">
        <v>0.35275000000000001</v>
      </c>
      <c r="I196" s="242" t="e">
        <f>NA()</f>
        <v>#N/A</v>
      </c>
    </row>
    <row r="197" spans="1:9" x14ac:dyDescent="0.25">
      <c r="A197" s="248" t="s">
        <v>243</v>
      </c>
      <c r="B197" s="248" t="s">
        <v>198</v>
      </c>
      <c r="C197" s="248" t="s">
        <v>446</v>
      </c>
      <c r="D197" s="248">
        <v>0.16350000000000001</v>
      </c>
      <c r="E197" s="248">
        <v>5.3249999999999999E-2</v>
      </c>
      <c r="F197" s="248">
        <v>1.4999999999999999E-2</v>
      </c>
      <c r="G197" s="248">
        <v>0.23474999999999999</v>
      </c>
      <c r="H197" s="248">
        <v>0.36075000000000002</v>
      </c>
      <c r="I197" s="242" t="e">
        <f>NA()</f>
        <v>#N/A</v>
      </c>
    </row>
    <row r="198" spans="1:9" x14ac:dyDescent="0.25">
      <c r="A198" s="248" t="s">
        <v>244</v>
      </c>
      <c r="B198" s="248" t="s">
        <v>198</v>
      </c>
      <c r="C198" s="248" t="s">
        <v>446</v>
      </c>
      <c r="D198" s="248">
        <v>0.16340852130325809</v>
      </c>
      <c r="E198" s="248">
        <v>5.338345864661654E-2</v>
      </c>
      <c r="F198" s="248">
        <v>2.180451127819549E-2</v>
      </c>
      <c r="G198" s="248">
        <v>0.23483709273182959</v>
      </c>
      <c r="H198" s="248">
        <v>0.31428571428571428</v>
      </c>
      <c r="I198" s="242" t="e">
        <f>NA()</f>
        <v>#N/A</v>
      </c>
    </row>
    <row r="199" spans="1:9" x14ac:dyDescent="0.25">
      <c r="A199" s="248" t="s">
        <v>245</v>
      </c>
      <c r="B199" s="248" t="s">
        <v>198</v>
      </c>
      <c r="C199" s="248" t="s">
        <v>446</v>
      </c>
      <c r="D199" s="248">
        <v>0.16350000000000001</v>
      </c>
      <c r="E199" s="248">
        <v>5.3249999999999999E-2</v>
      </c>
      <c r="F199" s="248">
        <v>2.1749999999999999E-2</v>
      </c>
      <c r="G199" s="248">
        <v>0.23474999999999999</v>
      </c>
      <c r="H199" s="248">
        <v>0.32550000000000001</v>
      </c>
      <c r="I199" s="242" t="e">
        <f>NA()</f>
        <v>#N/A</v>
      </c>
    </row>
    <row r="200" spans="1:9" x14ac:dyDescent="0.25">
      <c r="A200" s="248" t="s">
        <v>246</v>
      </c>
      <c r="B200" s="248" t="s">
        <v>198</v>
      </c>
      <c r="C200" s="248" t="s">
        <v>446</v>
      </c>
      <c r="D200" s="248">
        <v>0.16350000000000001</v>
      </c>
      <c r="E200" s="248">
        <v>5.3249999999999999E-2</v>
      </c>
      <c r="F200" s="248">
        <v>1.4999999999999999E-2</v>
      </c>
      <c r="G200" s="248">
        <v>0.23474999999999999</v>
      </c>
      <c r="H200" s="248">
        <v>0.50600000000000001</v>
      </c>
      <c r="I200" s="242" t="e">
        <f>NA()</f>
        <v>#N/A</v>
      </c>
    </row>
    <row r="201" spans="1:9" x14ac:dyDescent="0.25">
      <c r="A201" s="248" t="s">
        <v>247</v>
      </c>
      <c r="B201" s="248" t="s">
        <v>198</v>
      </c>
      <c r="C201" s="248" t="s">
        <v>446</v>
      </c>
      <c r="D201" s="248">
        <v>0.16347607052896729</v>
      </c>
      <c r="E201" s="248">
        <v>5.3400503778337528E-2</v>
      </c>
      <c r="F201" s="248">
        <v>2.7455919395465999E-2</v>
      </c>
      <c r="G201" s="248">
        <v>0.23476070528967249</v>
      </c>
      <c r="H201" s="248">
        <v>0.37934508816120899</v>
      </c>
      <c r="I201" s="242" t="e">
        <f>NA()</f>
        <v>#N/A</v>
      </c>
    </row>
    <row r="202" spans="1:9" x14ac:dyDescent="0.25">
      <c r="A202" s="248" t="s">
        <v>248</v>
      </c>
      <c r="B202" s="248" t="s">
        <v>198</v>
      </c>
      <c r="C202" s="248" t="s">
        <v>446</v>
      </c>
      <c r="D202" s="248">
        <v>0.16350000000000001</v>
      </c>
      <c r="E202" s="248">
        <v>5.3249999999999999E-2</v>
      </c>
      <c r="F202" s="248">
        <v>2.75E-2</v>
      </c>
      <c r="G202" s="248">
        <v>0.23474999999999999</v>
      </c>
      <c r="H202" s="248">
        <v>0.36049999999999999</v>
      </c>
      <c r="I202" s="242" t="e">
        <f>NA()</f>
        <v>#N/A</v>
      </c>
    </row>
    <row r="203" spans="1:9" x14ac:dyDescent="0.25">
      <c r="A203" s="248" t="s">
        <v>249</v>
      </c>
      <c r="B203" s="248" t="s">
        <v>198</v>
      </c>
      <c r="C203" s="248" t="s">
        <v>446</v>
      </c>
      <c r="D203" s="248">
        <v>0.16350000000000001</v>
      </c>
      <c r="E203" s="248">
        <v>5.3249999999999999E-2</v>
      </c>
      <c r="F203" s="248">
        <v>3.2500000000000001E-2</v>
      </c>
      <c r="G203" s="248">
        <v>0.23474999999999999</v>
      </c>
      <c r="H203" s="248">
        <v>0.35199999999999998</v>
      </c>
      <c r="I203" s="242" t="e">
        <f>NA()</f>
        <v>#N/A</v>
      </c>
    </row>
    <row r="204" spans="1:9" x14ac:dyDescent="0.25">
      <c r="A204" s="248" t="s">
        <v>250</v>
      </c>
      <c r="B204" s="248" t="s">
        <v>198</v>
      </c>
      <c r="C204" s="248" t="s">
        <v>446</v>
      </c>
      <c r="D204" s="248">
        <v>0.16350000000000001</v>
      </c>
      <c r="E204" s="248">
        <v>5.3249999999999999E-2</v>
      </c>
      <c r="F204" s="248">
        <v>2.1749999999999999E-2</v>
      </c>
      <c r="G204" s="248">
        <v>0.23474999999999999</v>
      </c>
      <c r="H204" s="248">
        <v>0.40125</v>
      </c>
      <c r="I204" s="242" t="e">
        <f>NA()</f>
        <v>#N/A</v>
      </c>
    </row>
    <row r="205" spans="1:9" x14ac:dyDescent="0.25">
      <c r="A205" s="248" t="s">
        <v>251</v>
      </c>
      <c r="B205" s="248" t="s">
        <v>198</v>
      </c>
      <c r="C205" s="248" t="s">
        <v>446</v>
      </c>
      <c r="D205" s="248">
        <v>0.1633663366336634</v>
      </c>
      <c r="E205" s="248">
        <v>5.3217821782178223E-2</v>
      </c>
      <c r="F205" s="248">
        <v>1.50990099009901E-2</v>
      </c>
      <c r="G205" s="248">
        <v>0.23490099009900989</v>
      </c>
      <c r="H205" s="248">
        <v>0.35123762376237622</v>
      </c>
      <c r="I205" s="242" t="e">
        <f>NA()</f>
        <v>#N/A</v>
      </c>
    </row>
    <row r="206" spans="1:9" x14ac:dyDescent="0.25">
      <c r="A206" s="248" t="s">
        <v>252</v>
      </c>
      <c r="B206" s="248" t="s">
        <v>198</v>
      </c>
      <c r="C206" s="248" t="s">
        <v>446</v>
      </c>
      <c r="D206" s="248">
        <v>0.16347607052896729</v>
      </c>
      <c r="E206" s="248">
        <v>5.3400503778337528E-2</v>
      </c>
      <c r="F206" s="248">
        <v>1.5113350125944581E-2</v>
      </c>
      <c r="G206" s="248">
        <v>0.23476070528967249</v>
      </c>
      <c r="H206" s="248">
        <v>0.36322418136020151</v>
      </c>
      <c r="I206" s="242" t="e">
        <f>NA()</f>
        <v>#N/A</v>
      </c>
    </row>
    <row r="207" spans="1:9" x14ac:dyDescent="0.25">
      <c r="A207" s="248" t="s">
        <v>253</v>
      </c>
      <c r="B207" s="248" t="s">
        <v>198</v>
      </c>
      <c r="C207" s="248" t="s">
        <v>446</v>
      </c>
      <c r="D207" s="248">
        <v>0.16350000000000001</v>
      </c>
      <c r="E207" s="248">
        <v>5.3249999999999999E-2</v>
      </c>
      <c r="F207" s="248">
        <v>1.4999999999999999E-2</v>
      </c>
      <c r="G207" s="248">
        <v>0.23474999999999999</v>
      </c>
      <c r="H207" s="248">
        <v>0.35525000000000001</v>
      </c>
      <c r="I207" s="242" t="e">
        <f>NA()</f>
        <v>#N/A</v>
      </c>
    </row>
    <row r="208" spans="1:9" x14ac:dyDescent="0.25">
      <c r="A208" s="248" t="s">
        <v>254</v>
      </c>
      <c r="B208" s="248" t="s">
        <v>198</v>
      </c>
      <c r="C208" s="248" t="s">
        <v>446</v>
      </c>
      <c r="D208" s="248">
        <v>0.16350000000000001</v>
      </c>
      <c r="E208" s="248">
        <v>5.3249999999999999E-2</v>
      </c>
      <c r="F208" s="248">
        <v>1.4999999999999999E-2</v>
      </c>
      <c r="G208" s="248">
        <v>0.23474999999999999</v>
      </c>
      <c r="H208" s="248">
        <v>0.36125000000000002</v>
      </c>
      <c r="I208" s="242" t="e">
        <f>NA()</f>
        <v>#N/A</v>
      </c>
    </row>
    <row r="209" spans="1:9" x14ac:dyDescent="0.25">
      <c r="A209" s="248" t="s">
        <v>255</v>
      </c>
      <c r="B209" s="248" t="s">
        <v>198</v>
      </c>
      <c r="C209" s="248" t="s">
        <v>446</v>
      </c>
      <c r="D209" s="248">
        <v>0.16350000000000001</v>
      </c>
      <c r="E209" s="248">
        <v>5.3249999999999999E-2</v>
      </c>
      <c r="F209" s="248">
        <v>1.4999999999999999E-2</v>
      </c>
      <c r="G209" s="248">
        <v>0.23474999999999999</v>
      </c>
      <c r="H209" s="248">
        <v>0.36675000000000002</v>
      </c>
      <c r="I209" s="242" t="e">
        <f>NA()</f>
        <v>#N/A</v>
      </c>
    </row>
    <row r="210" spans="1:9" x14ac:dyDescent="0.25">
      <c r="A210" s="248" t="s">
        <v>256</v>
      </c>
      <c r="B210" s="248" t="s">
        <v>198</v>
      </c>
      <c r="C210" s="248" t="s">
        <v>446</v>
      </c>
      <c r="D210" s="248">
        <v>0.16350000000000001</v>
      </c>
      <c r="E210" s="248">
        <v>5.3249999999999999E-2</v>
      </c>
      <c r="F210" s="248">
        <v>1.4999999999999999E-2</v>
      </c>
      <c r="G210" s="248">
        <v>0.23474999999999999</v>
      </c>
      <c r="H210" s="248">
        <v>0.36625000000000002</v>
      </c>
      <c r="I210" s="242" t="e">
        <f>NA()</f>
        <v>#N/A</v>
      </c>
    </row>
    <row r="211" spans="1:9" x14ac:dyDescent="0.25">
      <c r="A211" s="248" t="s">
        <v>257</v>
      </c>
      <c r="B211" s="248" t="s">
        <v>198</v>
      </c>
      <c r="C211" s="248" t="s">
        <v>446</v>
      </c>
      <c r="D211" s="248">
        <v>0.16350000000000001</v>
      </c>
      <c r="E211" s="248">
        <v>5.3249999999999999E-2</v>
      </c>
      <c r="F211" s="248">
        <v>1.4999999999999999E-2</v>
      </c>
      <c r="G211" s="248">
        <v>0.23474999999999999</v>
      </c>
      <c r="H211" s="248">
        <v>0.34899999999999998</v>
      </c>
      <c r="I211" s="242" t="e">
        <f>NA()</f>
        <v>#N/A</v>
      </c>
    </row>
    <row r="212" spans="1:9" x14ac:dyDescent="0.25">
      <c r="A212" s="248" t="s">
        <v>258</v>
      </c>
      <c r="B212" s="248" t="s">
        <v>198</v>
      </c>
      <c r="C212" s="248" t="s">
        <v>446</v>
      </c>
      <c r="D212" s="248">
        <v>0.16337349397590359</v>
      </c>
      <c r="E212" s="248">
        <v>5.3253012048192772E-2</v>
      </c>
      <c r="F212" s="248">
        <v>2.1927710843373499E-2</v>
      </c>
      <c r="G212" s="248">
        <v>0.2346987951807229</v>
      </c>
      <c r="H212" s="248">
        <v>0.29951807228915661</v>
      </c>
      <c r="I212" s="242" t="e">
        <f>NA()</f>
        <v>#N/A</v>
      </c>
    </row>
    <row r="213" spans="1:9" x14ac:dyDescent="0.25">
      <c r="A213" s="248" t="s">
        <v>259</v>
      </c>
      <c r="B213" s="248" t="s">
        <v>198</v>
      </c>
      <c r="C213" s="248" t="s">
        <v>446</v>
      </c>
      <c r="D213" s="248">
        <v>0.16348837209302319</v>
      </c>
      <c r="E213" s="248">
        <v>5.3255813953488371E-2</v>
      </c>
      <c r="F213" s="248">
        <v>1.511627906976744E-2</v>
      </c>
      <c r="G213" s="248">
        <v>0.23488372093023249</v>
      </c>
      <c r="H213" s="248">
        <v>0.34093023255813948</v>
      </c>
      <c r="I213" s="242" t="e">
        <f>NA()</f>
        <v>#N/A</v>
      </c>
    </row>
    <row r="214" spans="1:9" x14ac:dyDescent="0.25">
      <c r="A214" s="248" t="s">
        <v>260</v>
      </c>
      <c r="B214" s="248" t="s">
        <v>52</v>
      </c>
      <c r="C214" s="248" t="s">
        <v>446</v>
      </c>
      <c r="D214" s="248">
        <v>0</v>
      </c>
      <c r="E214" s="248">
        <v>0</v>
      </c>
      <c r="F214" s="248">
        <v>4.0288924558587479E-2</v>
      </c>
      <c r="G214" s="248">
        <v>0.1757624398073836</v>
      </c>
      <c r="H214" s="248">
        <v>0</v>
      </c>
      <c r="I214" s="242" t="e">
        <f>NA()</f>
        <v>#N/A</v>
      </c>
    </row>
    <row r="215" spans="1:9" x14ac:dyDescent="0.25">
      <c r="A215" s="248" t="s">
        <v>261</v>
      </c>
      <c r="B215" s="248" t="s">
        <v>40</v>
      </c>
      <c r="C215" s="248" t="s">
        <v>446</v>
      </c>
      <c r="D215" s="248">
        <v>0</v>
      </c>
      <c r="E215" s="248">
        <v>0.1215505464480874</v>
      </c>
      <c r="F215" s="248">
        <v>0.25928961748633877</v>
      </c>
      <c r="G215" s="248">
        <v>0.52223360655737705</v>
      </c>
      <c r="H215" s="248">
        <v>1.912568306010929E-3</v>
      </c>
      <c r="I215" s="242" t="e">
        <f>NA()</f>
        <v>#N/A</v>
      </c>
    </row>
    <row r="216" spans="1:9" x14ac:dyDescent="0.25">
      <c r="A216" t="s">
        <v>39</v>
      </c>
      <c r="B216" s="243" t="s">
        <v>41</v>
      </c>
      <c r="C216" s="243" t="s">
        <v>449</v>
      </c>
      <c r="D216" s="243">
        <v>0</v>
      </c>
      <c r="E216" s="243">
        <v>0.19033225633026071</v>
      </c>
      <c r="F216" s="243">
        <v>0.35454052821130411</v>
      </c>
      <c r="G216" s="243">
        <v>0.57333467575831509</v>
      </c>
      <c r="H216" s="243">
        <v>9.4567061509029618E-6</v>
      </c>
      <c r="I216" s="244">
        <v>1.5475000000000001</v>
      </c>
    </row>
    <row r="217" spans="1:9" x14ac:dyDescent="0.25">
      <c r="A217" t="s">
        <v>43</v>
      </c>
      <c r="B217" s="243" t="s">
        <v>41</v>
      </c>
      <c r="C217" s="243" t="s">
        <v>449</v>
      </c>
      <c r="D217" s="243">
        <v>0</v>
      </c>
      <c r="E217" s="243">
        <v>0.19033225633026071</v>
      </c>
      <c r="F217" s="243">
        <v>0.35454052821130411</v>
      </c>
      <c r="G217" s="243">
        <v>0.57333467575831509</v>
      </c>
      <c r="H217" s="243">
        <v>9.4567061509029618E-6</v>
      </c>
      <c r="I217" s="244">
        <v>1.5475000000000001</v>
      </c>
    </row>
    <row r="218" spans="1:9" x14ac:dyDescent="0.25">
      <c r="A218" t="s">
        <v>44</v>
      </c>
      <c r="B218" s="243" t="s">
        <v>41</v>
      </c>
      <c r="C218" s="243" t="s">
        <v>449</v>
      </c>
      <c r="D218" s="243">
        <v>0</v>
      </c>
      <c r="E218" s="243">
        <v>0.19033225633026071</v>
      </c>
      <c r="F218" s="243">
        <v>0.35454052821130411</v>
      </c>
      <c r="G218" s="243">
        <v>0.57333467575831509</v>
      </c>
      <c r="H218" s="243">
        <v>9.4567061509029618E-6</v>
      </c>
      <c r="I218" s="244">
        <v>1.5475000000000001</v>
      </c>
    </row>
    <row r="219" spans="1:9" x14ac:dyDescent="0.25">
      <c r="A219" s="248" t="s">
        <v>46</v>
      </c>
      <c r="B219" s="243" t="s">
        <v>42</v>
      </c>
      <c r="C219" s="243" t="s">
        <v>449</v>
      </c>
      <c r="D219" s="243">
        <v>0</v>
      </c>
      <c r="E219" s="243">
        <v>0.12347058897115901</v>
      </c>
      <c r="F219" s="243">
        <v>0.2025884171362396</v>
      </c>
      <c r="G219" s="243">
        <v>0.44935234977468858</v>
      </c>
      <c r="H219" s="243">
        <v>1.5356545440389261E-6</v>
      </c>
      <c r="I219" s="244">
        <v>0.98</v>
      </c>
    </row>
    <row r="220" spans="1:9" x14ac:dyDescent="0.25">
      <c r="A220" s="248" t="s">
        <v>47</v>
      </c>
      <c r="B220" s="243" t="s">
        <v>42</v>
      </c>
      <c r="C220" s="243" t="s">
        <v>449</v>
      </c>
      <c r="D220" s="243">
        <v>0</v>
      </c>
      <c r="E220" s="243">
        <v>0.25341933135083711</v>
      </c>
      <c r="F220" s="243">
        <v>0.14004328927645149</v>
      </c>
      <c r="G220" s="243">
        <v>0.4567867178720883</v>
      </c>
      <c r="H220" s="243">
        <v>3.3626279545452663E-5</v>
      </c>
      <c r="I220" s="244">
        <v>0.98</v>
      </c>
    </row>
    <row r="221" spans="1:9" x14ac:dyDescent="0.25">
      <c r="A221" s="248" t="s">
        <v>50</v>
      </c>
      <c r="B221" s="243" t="s">
        <v>42</v>
      </c>
      <c r="C221" s="243" t="s">
        <v>449</v>
      </c>
      <c r="D221" s="243">
        <v>0</v>
      </c>
      <c r="E221" s="243">
        <v>1.7722833977815159E-2</v>
      </c>
      <c r="F221" s="243">
        <v>0.1088969938790267</v>
      </c>
      <c r="G221" s="243">
        <v>0.30535998713602941</v>
      </c>
      <c r="H221" s="243">
        <v>0</v>
      </c>
      <c r="I221" s="244">
        <v>0.98</v>
      </c>
    </row>
    <row r="222" spans="1:9" x14ac:dyDescent="0.25">
      <c r="A222" s="248" t="s">
        <v>51</v>
      </c>
      <c r="B222" s="243" t="s">
        <v>52</v>
      </c>
      <c r="C222" s="243" t="s">
        <v>449</v>
      </c>
      <c r="D222" s="243">
        <v>0</v>
      </c>
      <c r="E222" s="243">
        <v>0</v>
      </c>
      <c r="F222" s="243">
        <v>0</v>
      </c>
      <c r="G222" s="243">
        <v>2.8680771251151291E-2</v>
      </c>
      <c r="H222" s="243">
        <v>0</v>
      </c>
      <c r="I222" s="244">
        <v>0</v>
      </c>
    </row>
    <row r="223" spans="1:9" x14ac:dyDescent="0.25">
      <c r="A223" s="248" t="s">
        <v>54</v>
      </c>
      <c r="B223" s="243" t="s">
        <v>41</v>
      </c>
      <c r="C223" s="243" t="s">
        <v>449</v>
      </c>
      <c r="D223" s="243">
        <v>0</v>
      </c>
      <c r="E223" s="243">
        <v>6.0566669976603663E-2</v>
      </c>
      <c r="F223" s="243">
        <v>9.8272585517079458E-2</v>
      </c>
      <c r="G223" s="243">
        <v>0.41548020754856341</v>
      </c>
      <c r="H223" s="243">
        <v>2.3538079481049279E-5</v>
      </c>
      <c r="I223" s="244">
        <v>1.07</v>
      </c>
    </row>
    <row r="224" spans="1:9" x14ac:dyDescent="0.25">
      <c r="A224" t="s">
        <v>60</v>
      </c>
      <c r="B224" s="243" t="s">
        <v>42</v>
      </c>
      <c r="C224" s="243" t="s">
        <v>449</v>
      </c>
      <c r="D224" s="243">
        <v>0</v>
      </c>
      <c r="E224" s="243">
        <v>3.1573454916359999E-3</v>
      </c>
      <c r="F224" s="243">
        <v>2.931681649120323E-2</v>
      </c>
      <c r="G224" s="243">
        <v>0.18867580569849909</v>
      </c>
      <c r="H224" s="243">
        <v>3.9634540783578566E-3</v>
      </c>
      <c r="I224" s="244">
        <v>0.98</v>
      </c>
    </row>
    <row r="225" spans="1:9" x14ac:dyDescent="0.25">
      <c r="A225" t="s">
        <v>61</v>
      </c>
      <c r="B225" s="243" t="s">
        <v>42</v>
      </c>
      <c r="C225" s="243" t="s">
        <v>449</v>
      </c>
      <c r="D225" s="243">
        <v>0</v>
      </c>
      <c r="E225" s="243">
        <v>3.1573454916359999E-3</v>
      </c>
      <c r="F225" s="243">
        <v>2.931681649120323E-2</v>
      </c>
      <c r="G225" s="243">
        <v>0.18867580569849909</v>
      </c>
      <c r="H225" s="243">
        <v>3.9634540783578566E-3</v>
      </c>
      <c r="I225" s="244">
        <v>0.98</v>
      </c>
    </row>
    <row r="226" spans="1:9" x14ac:dyDescent="0.25">
      <c r="A226" t="s">
        <v>62</v>
      </c>
      <c r="B226" s="243" t="s">
        <v>42</v>
      </c>
      <c r="C226" s="243" t="s">
        <v>449</v>
      </c>
      <c r="D226" s="243">
        <v>0</v>
      </c>
      <c r="E226" s="243">
        <v>3.1573454916359999E-3</v>
      </c>
      <c r="F226" s="243">
        <v>2.931681649120323E-2</v>
      </c>
      <c r="G226" s="243">
        <v>0.18867580569849909</v>
      </c>
      <c r="H226" s="243">
        <v>3.9634540783578566E-3</v>
      </c>
      <c r="I226" s="244">
        <v>0.98</v>
      </c>
    </row>
    <row r="227" spans="1:9" x14ac:dyDescent="0.25">
      <c r="A227" t="s">
        <v>63</v>
      </c>
      <c r="B227" s="243" t="s">
        <v>42</v>
      </c>
      <c r="C227" s="243" t="s">
        <v>449</v>
      </c>
      <c r="D227" s="243">
        <v>0</v>
      </c>
      <c r="E227" s="243">
        <v>3.1573454916359999E-3</v>
      </c>
      <c r="F227" s="243">
        <v>2.931681649120323E-2</v>
      </c>
      <c r="G227" s="243">
        <v>0.18867580569849909</v>
      </c>
      <c r="H227" s="243">
        <v>3.9634540783578566E-3</v>
      </c>
      <c r="I227" s="244">
        <v>0.98</v>
      </c>
    </row>
    <row r="228" spans="1:9" x14ac:dyDescent="0.25">
      <c r="A228" t="s">
        <v>64</v>
      </c>
      <c r="B228" s="243" t="s">
        <v>42</v>
      </c>
      <c r="C228" s="243" t="s">
        <v>449</v>
      </c>
      <c r="D228" s="243">
        <v>0</v>
      </c>
      <c r="E228" s="243">
        <v>3.1573454916359999E-3</v>
      </c>
      <c r="F228" s="243">
        <v>2.931681649120323E-2</v>
      </c>
      <c r="G228" s="243">
        <v>0.18867580569849909</v>
      </c>
      <c r="H228" s="243">
        <v>3.9634540783578566E-3</v>
      </c>
      <c r="I228" s="244">
        <v>0.98</v>
      </c>
    </row>
    <row r="229" spans="1:9" x14ac:dyDescent="0.25">
      <c r="A229" t="s">
        <v>58</v>
      </c>
      <c r="B229" s="243" t="s">
        <v>48</v>
      </c>
      <c r="C229" s="243" t="s">
        <v>449</v>
      </c>
      <c r="D229" s="243">
        <v>0</v>
      </c>
      <c r="E229" s="243">
        <v>0.54710490851898941</v>
      </c>
      <c r="F229" s="243">
        <v>0.239649430527478</v>
      </c>
      <c r="G229" s="243">
        <v>0.37890942622825408</v>
      </c>
      <c r="H229" s="243">
        <v>7.4933146926309587E-3</v>
      </c>
      <c r="I229" s="244">
        <v>3.9275000000000002</v>
      </c>
    </row>
    <row r="230" spans="1:9" x14ac:dyDescent="0.25">
      <c r="A230" t="s">
        <v>59</v>
      </c>
      <c r="B230" s="243" t="s">
        <v>48</v>
      </c>
      <c r="C230" s="243" t="s">
        <v>449</v>
      </c>
      <c r="D230" s="243">
        <v>0</v>
      </c>
      <c r="E230" s="243">
        <v>0.54710490851898941</v>
      </c>
      <c r="F230" s="243">
        <v>0.239649430527478</v>
      </c>
      <c r="G230" s="243">
        <v>0.37890942622825408</v>
      </c>
      <c r="H230" s="243">
        <v>7.4933146926309587E-3</v>
      </c>
      <c r="I230" s="244">
        <v>3.9275000000000002</v>
      </c>
    </row>
    <row r="231" spans="1:9" x14ac:dyDescent="0.25">
      <c r="A231" t="s">
        <v>69</v>
      </c>
      <c r="B231" s="243" t="s">
        <v>42</v>
      </c>
      <c r="C231" s="243" t="s">
        <v>449</v>
      </c>
      <c r="D231" s="243">
        <v>0</v>
      </c>
      <c r="E231" s="243">
        <v>0.22155016458417981</v>
      </c>
      <c r="F231" s="243">
        <v>0.18368286991931859</v>
      </c>
      <c r="G231" s="243">
        <v>0.57782274168307945</v>
      </c>
      <c r="H231" s="243">
        <v>0</v>
      </c>
      <c r="I231" s="244">
        <v>0.98</v>
      </c>
    </row>
    <row r="232" spans="1:9" x14ac:dyDescent="0.25">
      <c r="A232" t="s">
        <v>70</v>
      </c>
      <c r="B232" s="243" t="s">
        <v>42</v>
      </c>
      <c r="C232" s="243" t="s">
        <v>449</v>
      </c>
      <c r="D232" s="243">
        <v>0</v>
      </c>
      <c r="E232" s="243">
        <v>0.22155016458417981</v>
      </c>
      <c r="F232" s="243">
        <v>0.18368286991931859</v>
      </c>
      <c r="G232" s="243">
        <v>0.57782274168307945</v>
      </c>
      <c r="H232" s="243">
        <v>0</v>
      </c>
      <c r="I232" s="244">
        <v>0.98</v>
      </c>
    </row>
    <row r="233" spans="1:9" x14ac:dyDescent="0.25">
      <c r="A233" t="s">
        <v>71</v>
      </c>
      <c r="B233" s="243" t="s">
        <v>42</v>
      </c>
      <c r="C233" s="243" t="s">
        <v>449</v>
      </c>
      <c r="D233" s="243">
        <v>0</v>
      </c>
      <c r="E233" s="243">
        <v>0.22155016458417981</v>
      </c>
      <c r="F233" s="243">
        <v>0.18368286991931859</v>
      </c>
      <c r="G233" s="243">
        <v>0.57782274168307945</v>
      </c>
      <c r="H233" s="243">
        <v>0</v>
      </c>
      <c r="I233" s="244">
        <v>0.98</v>
      </c>
    </row>
    <row r="234" spans="1:9" x14ac:dyDescent="0.25">
      <c r="A234" t="s">
        <v>72</v>
      </c>
      <c r="B234" s="243" t="s">
        <v>42</v>
      </c>
      <c r="C234" s="243" t="s">
        <v>449</v>
      </c>
      <c r="D234" s="243">
        <v>0</v>
      </c>
      <c r="E234" s="243">
        <v>0.22155016458417981</v>
      </c>
      <c r="F234" s="243">
        <v>0.18368286991931859</v>
      </c>
      <c r="G234" s="243">
        <v>0.57782274168307945</v>
      </c>
      <c r="H234" s="243">
        <v>0</v>
      </c>
      <c r="I234" s="244">
        <v>0.98</v>
      </c>
    </row>
    <row r="235" spans="1:9" x14ac:dyDescent="0.25">
      <c r="A235" t="s">
        <v>73</v>
      </c>
      <c r="B235" s="243" t="s">
        <v>42</v>
      </c>
      <c r="C235" s="243" t="s">
        <v>449</v>
      </c>
      <c r="D235" s="243">
        <v>0</v>
      </c>
      <c r="E235" s="243">
        <v>0.22155016458417981</v>
      </c>
      <c r="F235" s="243">
        <v>0.18368286991931859</v>
      </c>
      <c r="G235" s="243">
        <v>0.57782274168307945</v>
      </c>
      <c r="H235" s="243">
        <v>0</v>
      </c>
      <c r="I235" s="244">
        <v>0.98</v>
      </c>
    </row>
    <row r="236" spans="1:9" x14ac:dyDescent="0.25">
      <c r="A236" t="s">
        <v>74</v>
      </c>
      <c r="B236" s="243" t="s">
        <v>42</v>
      </c>
      <c r="C236" s="243" t="s">
        <v>449</v>
      </c>
      <c r="D236" s="243">
        <v>0</v>
      </c>
      <c r="E236" s="243">
        <v>0.22155016458417981</v>
      </c>
      <c r="F236" s="243">
        <v>0.18368286991931859</v>
      </c>
      <c r="G236" s="243">
        <v>0.57782274168307945</v>
      </c>
      <c r="H236" s="243">
        <v>0</v>
      </c>
      <c r="I236" s="244">
        <v>0.98</v>
      </c>
    </row>
    <row r="237" spans="1:9" x14ac:dyDescent="0.25">
      <c r="A237" t="s">
        <v>75</v>
      </c>
      <c r="B237" s="243" t="s">
        <v>42</v>
      </c>
      <c r="C237" s="243" t="s">
        <v>449</v>
      </c>
      <c r="D237" s="243">
        <v>0</v>
      </c>
      <c r="E237" s="243">
        <v>0.22155016458417981</v>
      </c>
      <c r="F237" s="243">
        <v>0.18368286991931859</v>
      </c>
      <c r="G237" s="243">
        <v>0.57782274168307945</v>
      </c>
      <c r="H237" s="243">
        <v>0</v>
      </c>
      <c r="I237" s="244">
        <v>0.98</v>
      </c>
    </row>
    <row r="238" spans="1:9" x14ac:dyDescent="0.25">
      <c r="A238" t="s">
        <v>76</v>
      </c>
      <c r="B238" s="243" t="s">
        <v>42</v>
      </c>
      <c r="C238" s="243" t="s">
        <v>449</v>
      </c>
      <c r="D238" s="243">
        <v>0</v>
      </c>
      <c r="E238" s="243">
        <v>0.22155016458417981</v>
      </c>
      <c r="F238" s="243">
        <v>0.18368286991931859</v>
      </c>
      <c r="G238" s="243">
        <v>0.57782274168307945</v>
      </c>
      <c r="H238" s="243">
        <v>0</v>
      </c>
      <c r="I238" s="244">
        <v>0.98</v>
      </c>
    </row>
    <row r="239" spans="1:9" x14ac:dyDescent="0.25">
      <c r="A239" t="s">
        <v>77</v>
      </c>
      <c r="B239" s="243" t="s">
        <v>42</v>
      </c>
      <c r="C239" s="243" t="s">
        <v>449</v>
      </c>
      <c r="D239" s="243">
        <v>0</v>
      </c>
      <c r="E239" s="243">
        <v>0.22155016458417981</v>
      </c>
      <c r="F239" s="243">
        <v>0.18368286991931859</v>
      </c>
      <c r="G239" s="243">
        <v>0.57782274168307945</v>
      </c>
      <c r="H239" s="243">
        <v>0</v>
      </c>
      <c r="I239" s="244">
        <v>0.98</v>
      </c>
    </row>
    <row r="240" spans="1:9" x14ac:dyDescent="0.25">
      <c r="A240" s="248" t="s">
        <v>78</v>
      </c>
      <c r="B240" s="243" t="s">
        <v>79</v>
      </c>
      <c r="C240" s="243" t="s">
        <v>449</v>
      </c>
      <c r="D240" s="243">
        <v>0</v>
      </c>
      <c r="E240" s="243">
        <v>0.52499029068965686</v>
      </c>
      <c r="F240" s="243">
        <v>0.24903484866613099</v>
      </c>
      <c r="G240" s="243">
        <v>0.54357983562975276</v>
      </c>
      <c r="H240" s="243">
        <v>1.409108259904528E-4</v>
      </c>
      <c r="I240" s="244">
        <v>4.0674999999999999</v>
      </c>
    </row>
    <row r="241" spans="1:9" x14ac:dyDescent="0.25">
      <c r="A241" s="248" t="s">
        <v>80</v>
      </c>
      <c r="B241" s="243" t="s">
        <v>79</v>
      </c>
      <c r="C241" s="243" t="s">
        <v>449</v>
      </c>
      <c r="D241" s="243">
        <v>0</v>
      </c>
      <c r="E241" s="243">
        <v>0.48845245147561922</v>
      </c>
      <c r="F241" s="243">
        <v>0.2265727848789062</v>
      </c>
      <c r="G241" s="243">
        <v>0.40288395656034642</v>
      </c>
      <c r="H241" s="243">
        <v>4.4054213439547238E-4</v>
      </c>
      <c r="I241" s="244">
        <v>4.0674999999999999</v>
      </c>
    </row>
    <row r="242" spans="1:9" x14ac:dyDescent="0.25">
      <c r="A242" s="248" t="s">
        <v>81</v>
      </c>
      <c r="B242" s="243" t="s">
        <v>42</v>
      </c>
      <c r="C242" s="243" t="s">
        <v>449</v>
      </c>
      <c r="D242" s="243">
        <v>0</v>
      </c>
      <c r="E242" s="243">
        <v>0.26633628008801091</v>
      </c>
      <c r="F242" s="243">
        <v>8.9231120421135193E-2</v>
      </c>
      <c r="G242" s="243">
        <v>0.46826037249771979</v>
      </c>
      <c r="H242" s="243">
        <v>0</v>
      </c>
      <c r="I242" s="244">
        <v>0.98</v>
      </c>
    </row>
    <row r="243" spans="1:9" x14ac:dyDescent="0.25">
      <c r="A243" s="248" t="s">
        <v>108</v>
      </c>
      <c r="B243" s="243" t="s">
        <v>42</v>
      </c>
      <c r="C243" s="243" t="s">
        <v>449</v>
      </c>
      <c r="D243" s="243">
        <v>0</v>
      </c>
      <c r="E243" s="243">
        <v>1.8261496261947709E-2</v>
      </c>
      <c r="F243" s="243">
        <v>1.299666825033925E-2</v>
      </c>
      <c r="G243" s="243">
        <v>0.19203230929588919</v>
      </c>
      <c r="H243" s="243">
        <v>0</v>
      </c>
      <c r="I243" s="244">
        <v>0.98</v>
      </c>
    </row>
    <row r="244" spans="1:9" x14ac:dyDescent="0.25">
      <c r="A244" s="248" t="s">
        <v>113</v>
      </c>
      <c r="B244" s="243" t="s">
        <v>40</v>
      </c>
      <c r="C244" s="243" t="s">
        <v>449</v>
      </c>
      <c r="D244" s="243">
        <v>0</v>
      </c>
      <c r="E244" s="243">
        <v>3.043394978271444E-2</v>
      </c>
      <c r="F244" s="243">
        <v>0.138716227541371</v>
      </c>
      <c r="G244" s="243">
        <v>0.28501382430717948</v>
      </c>
      <c r="H244" s="243">
        <v>0</v>
      </c>
      <c r="I244" s="244">
        <v>4.3599999999999994</v>
      </c>
    </row>
    <row r="245" spans="1:9" x14ac:dyDescent="0.25">
      <c r="A245" s="248" t="s">
        <v>129</v>
      </c>
      <c r="B245" s="243" t="s">
        <v>42</v>
      </c>
      <c r="C245" s="243" t="s">
        <v>449</v>
      </c>
      <c r="D245" s="243">
        <v>0</v>
      </c>
      <c r="E245" s="243">
        <v>1.0657107134339599E-2</v>
      </c>
      <c r="F245" s="243">
        <v>0</v>
      </c>
      <c r="G245" s="243">
        <v>0.16245438644773319</v>
      </c>
      <c r="H245" s="243">
        <v>0</v>
      </c>
      <c r="I245" s="244">
        <v>0.98</v>
      </c>
    </row>
    <row r="246" spans="1:9" x14ac:dyDescent="0.25">
      <c r="A246" s="248" t="s">
        <v>131</v>
      </c>
      <c r="B246" s="243" t="s">
        <v>48</v>
      </c>
      <c r="C246" s="243" t="s">
        <v>449</v>
      </c>
      <c r="D246" s="243">
        <v>0</v>
      </c>
      <c r="E246" s="243">
        <v>0.26892754502233113</v>
      </c>
      <c r="F246" s="243">
        <v>0.43623361162404928</v>
      </c>
      <c r="G246" s="243">
        <v>0.60190152645020767</v>
      </c>
      <c r="H246" s="243">
        <v>4.6115395729183652E-4</v>
      </c>
      <c r="I246" s="244">
        <v>3.9275000000000002</v>
      </c>
    </row>
    <row r="247" spans="1:9" x14ac:dyDescent="0.25">
      <c r="A247" t="s">
        <v>132</v>
      </c>
      <c r="B247" s="243" t="s">
        <v>48</v>
      </c>
      <c r="C247" s="243" t="s">
        <v>449</v>
      </c>
      <c r="D247" s="243">
        <v>0</v>
      </c>
      <c r="E247" s="243">
        <v>0.30608533229200491</v>
      </c>
      <c r="F247" s="243">
        <v>0.41117301236614612</v>
      </c>
      <c r="G247" s="243">
        <v>0.54295054684716015</v>
      </c>
      <c r="H247" s="243">
        <v>2.7297156609814698E-3</v>
      </c>
      <c r="I247" s="244">
        <v>3.9275000000000002</v>
      </c>
    </row>
    <row r="248" spans="1:9" x14ac:dyDescent="0.25">
      <c r="A248" t="s">
        <v>133</v>
      </c>
      <c r="B248" s="243" t="s">
        <v>48</v>
      </c>
      <c r="C248" s="243" t="s">
        <v>449</v>
      </c>
      <c r="D248" s="243">
        <v>0</v>
      </c>
      <c r="E248" s="243">
        <v>0.30608533229200491</v>
      </c>
      <c r="F248" s="243">
        <v>0.41117301236614612</v>
      </c>
      <c r="G248" s="243">
        <v>0.54295054684716015</v>
      </c>
      <c r="H248" s="243">
        <v>2.7297156609814698E-3</v>
      </c>
      <c r="I248" s="244">
        <v>3.9275000000000002</v>
      </c>
    </row>
    <row r="249" spans="1:9" x14ac:dyDescent="0.25">
      <c r="A249" s="248" t="s">
        <v>150</v>
      </c>
      <c r="B249" s="243" t="s">
        <v>40</v>
      </c>
      <c r="C249" s="243" t="s">
        <v>449</v>
      </c>
      <c r="D249" s="243">
        <v>0</v>
      </c>
      <c r="E249" s="243">
        <v>0.58798747718506816</v>
      </c>
      <c r="F249" s="243">
        <v>7.3501832031808434E-2</v>
      </c>
      <c r="G249" s="243">
        <v>0.30122057297965832</v>
      </c>
      <c r="H249" s="243">
        <v>0</v>
      </c>
      <c r="I249" s="244">
        <v>4.8374999999999986</v>
      </c>
    </row>
    <row r="250" spans="1:9" x14ac:dyDescent="0.25">
      <c r="A250" t="s">
        <v>151</v>
      </c>
      <c r="B250" s="243" t="s">
        <v>40</v>
      </c>
      <c r="C250" s="243" t="s">
        <v>449</v>
      </c>
      <c r="D250" s="243">
        <v>0</v>
      </c>
      <c r="E250" s="243">
        <v>0.21259679929196831</v>
      </c>
      <c r="F250" s="243">
        <v>0.21140234516495471</v>
      </c>
      <c r="G250" s="243">
        <v>0.5436963697119237</v>
      </c>
      <c r="H250" s="243">
        <v>1.5985626027693399E-2</v>
      </c>
      <c r="I250" s="244">
        <v>4.8374999999999986</v>
      </c>
    </row>
    <row r="251" spans="1:9" x14ac:dyDescent="0.25">
      <c r="A251" t="s">
        <v>152</v>
      </c>
      <c r="B251" s="243" t="s">
        <v>40</v>
      </c>
      <c r="C251" s="243" t="s">
        <v>449</v>
      </c>
      <c r="D251" s="243">
        <v>0</v>
      </c>
      <c r="E251" s="243">
        <v>0.21259679929196831</v>
      </c>
      <c r="F251" s="243">
        <v>0.21140234516495471</v>
      </c>
      <c r="G251" s="243">
        <v>0.5436963697119237</v>
      </c>
      <c r="H251" s="243">
        <v>1.5985626027693399E-2</v>
      </c>
      <c r="I251" s="244">
        <v>4.8374999999999986</v>
      </c>
    </row>
    <row r="252" spans="1:9" x14ac:dyDescent="0.25">
      <c r="A252" s="248" t="s">
        <v>160</v>
      </c>
      <c r="B252" s="243" t="s">
        <v>40</v>
      </c>
      <c r="C252" s="243" t="s">
        <v>449</v>
      </c>
      <c r="D252" s="243">
        <v>0</v>
      </c>
      <c r="E252" s="243">
        <v>0.66577404794350903</v>
      </c>
      <c r="F252" s="243">
        <v>8.2649195404882608E-2</v>
      </c>
      <c r="G252" s="243">
        <v>0.38976980311980147</v>
      </c>
      <c r="H252" s="243">
        <v>1.1511074920305779E-3</v>
      </c>
      <c r="I252" s="244">
        <v>4.8374999999999986</v>
      </c>
    </row>
    <row r="253" spans="1:9" x14ac:dyDescent="0.25">
      <c r="A253" s="248" t="s">
        <v>172</v>
      </c>
      <c r="B253" s="243" t="s">
        <v>40</v>
      </c>
      <c r="C253" s="243" t="s">
        <v>449</v>
      </c>
      <c r="D253" s="243">
        <v>0</v>
      </c>
      <c r="E253" s="243">
        <v>0.21697225607815959</v>
      </c>
      <c r="F253" s="243">
        <v>0.13520166179601231</v>
      </c>
      <c r="G253" s="243">
        <v>0.49462569508074411</v>
      </c>
      <c r="H253" s="243">
        <v>9.8888210227621783E-4</v>
      </c>
      <c r="I253" s="244">
        <v>4.8374999999999986</v>
      </c>
    </row>
    <row r="254" spans="1:9" x14ac:dyDescent="0.25">
      <c r="A254" t="s">
        <v>180</v>
      </c>
      <c r="B254" s="243" t="s">
        <v>36</v>
      </c>
      <c r="C254" s="243" t="s">
        <v>449</v>
      </c>
      <c r="D254" s="243">
        <v>0</v>
      </c>
      <c r="E254" s="243">
        <v>1.3333333333333331E-2</v>
      </c>
      <c r="F254" s="243">
        <v>7.8131585842451876E-2</v>
      </c>
      <c r="G254" s="243">
        <v>0.2608879069638913</v>
      </c>
      <c r="H254" s="243">
        <v>5.4073625082268911E-4</v>
      </c>
      <c r="I254" s="244">
        <v>0</v>
      </c>
    </row>
    <row r="255" spans="1:9" x14ac:dyDescent="0.25">
      <c r="A255" t="s">
        <v>181</v>
      </c>
      <c r="B255" s="243" t="s">
        <v>36</v>
      </c>
      <c r="C255" s="243" t="s">
        <v>449</v>
      </c>
      <c r="D255" s="243">
        <v>0</v>
      </c>
      <c r="E255" s="243">
        <v>1.3333333333333331E-2</v>
      </c>
      <c r="F255" s="243">
        <v>7.8131585842451876E-2</v>
      </c>
      <c r="G255" s="243">
        <v>0.2608879069638913</v>
      </c>
      <c r="H255" s="243">
        <v>5.4073625082268911E-4</v>
      </c>
      <c r="I255" s="244">
        <v>0</v>
      </c>
    </row>
    <row r="256" spans="1:9" x14ac:dyDescent="0.25">
      <c r="A256" t="s">
        <v>182</v>
      </c>
      <c r="B256" s="243" t="s">
        <v>36</v>
      </c>
      <c r="C256" s="243" t="s">
        <v>449</v>
      </c>
      <c r="D256" s="243">
        <v>0</v>
      </c>
      <c r="E256" s="243">
        <v>1.3333333333333331E-2</v>
      </c>
      <c r="F256" s="243">
        <v>7.8131585842451876E-2</v>
      </c>
      <c r="G256" s="243">
        <v>0.2608879069638913</v>
      </c>
      <c r="H256" s="243">
        <v>5.4073625082268911E-4</v>
      </c>
      <c r="I256" s="244">
        <v>0</v>
      </c>
    </row>
    <row r="257" spans="1:12" x14ac:dyDescent="0.25">
      <c r="A257" s="248" t="s">
        <v>200</v>
      </c>
      <c r="B257" s="243" t="s">
        <v>48</v>
      </c>
      <c r="C257" s="243" t="s">
        <v>449</v>
      </c>
      <c r="D257" s="243">
        <v>0.25623790594558399</v>
      </c>
      <c r="E257" s="243">
        <v>0.12352982042913541</v>
      </c>
      <c r="F257" s="243">
        <v>0.2179322231694599</v>
      </c>
      <c r="G257" s="243">
        <v>0.37231767594101101</v>
      </c>
      <c r="H257" s="243">
        <v>1.661174476170213E-2</v>
      </c>
      <c r="I257" s="244">
        <v>3.9275000000000002</v>
      </c>
    </row>
    <row r="258" spans="1:12" x14ac:dyDescent="0.25">
      <c r="A258" s="248" t="s">
        <v>201</v>
      </c>
      <c r="B258" s="243" t="s">
        <v>40</v>
      </c>
      <c r="C258" s="243" t="s">
        <v>449</v>
      </c>
      <c r="D258" s="243">
        <v>0.3072719469000792</v>
      </c>
      <c r="E258" s="243">
        <v>0.21172494337484429</v>
      </c>
      <c r="F258" s="243">
        <v>0.27806274130227687</v>
      </c>
      <c r="G258" s="243">
        <v>0.43337399301630702</v>
      </c>
      <c r="H258" s="243">
        <v>3.1523409983521163E-2</v>
      </c>
      <c r="I258" s="244">
        <v>4.8374999999999986</v>
      </c>
    </row>
    <row r="259" spans="1:12" x14ac:dyDescent="0.25">
      <c r="A259" s="248" t="s">
        <v>261</v>
      </c>
      <c r="B259" s="243" t="s">
        <v>41</v>
      </c>
      <c r="C259" s="243" t="s">
        <v>449</v>
      </c>
      <c r="D259" s="243">
        <v>0</v>
      </c>
      <c r="E259" s="243">
        <v>9.3123168129999045E-2</v>
      </c>
      <c r="F259" s="243">
        <v>0.25076633684560368</v>
      </c>
      <c r="G259" s="243">
        <v>0.48156651718762372</v>
      </c>
      <c r="H259" s="243">
        <v>1.9060144917171431E-3</v>
      </c>
      <c r="I259" s="244">
        <v>1.07</v>
      </c>
    </row>
    <row r="260" spans="1:12" x14ac:dyDescent="0.25">
      <c r="A260" s="248" t="s">
        <v>45</v>
      </c>
      <c r="B260" s="248" t="s">
        <v>41</v>
      </c>
      <c r="C260" s="248" t="s">
        <v>450</v>
      </c>
      <c r="D260" s="248">
        <v>0</v>
      </c>
      <c r="E260" s="248">
        <v>1.8076642335766419E-2</v>
      </c>
      <c r="F260" s="248">
        <v>0.37029084619386998</v>
      </c>
      <c r="G260" s="248">
        <v>0.29215017674351029</v>
      </c>
      <c r="H260" s="248">
        <v>0</v>
      </c>
      <c r="I260" s="248">
        <v>1.07</v>
      </c>
    </row>
    <row r="261" spans="1:12" x14ac:dyDescent="0.25">
      <c r="A261" s="248" t="s">
        <v>49</v>
      </c>
      <c r="B261" s="248" t="s">
        <v>34</v>
      </c>
      <c r="C261" s="248" t="s">
        <v>450</v>
      </c>
      <c r="D261" s="248">
        <v>0</v>
      </c>
      <c r="E261" s="248">
        <v>2.0833333333333342E-3</v>
      </c>
      <c r="F261" s="248">
        <v>0</v>
      </c>
      <c r="G261" s="248">
        <v>3.8890872965260122E-2</v>
      </c>
      <c r="H261" s="248">
        <v>0</v>
      </c>
      <c r="I261" s="248">
        <v>0</v>
      </c>
    </row>
    <row r="262" spans="1:12" x14ac:dyDescent="0.25">
      <c r="A262" s="244" t="s">
        <v>56</v>
      </c>
      <c r="B262" s="248" t="s">
        <v>57</v>
      </c>
      <c r="C262" s="248" t="s">
        <v>450</v>
      </c>
      <c r="D262" s="248">
        <v>0</v>
      </c>
      <c r="E262" s="248">
        <v>2.0833333333333342E-3</v>
      </c>
      <c r="F262" s="248">
        <v>0</v>
      </c>
      <c r="G262" s="248">
        <v>3.8890872965260122E-2</v>
      </c>
      <c r="H262" s="248">
        <v>0</v>
      </c>
      <c r="I262" s="248">
        <v>0</v>
      </c>
    </row>
    <row r="263" spans="1:12" x14ac:dyDescent="0.25">
      <c r="A263" s="248" t="s">
        <v>68</v>
      </c>
      <c r="B263" s="248" t="s">
        <v>34</v>
      </c>
      <c r="C263" s="248" t="s">
        <v>450</v>
      </c>
      <c r="D263" s="248">
        <v>0</v>
      </c>
      <c r="E263" s="248">
        <v>2.0833333333333342E-3</v>
      </c>
      <c r="F263" s="248">
        <v>0</v>
      </c>
      <c r="G263" s="248">
        <v>3.8890872965260122E-2</v>
      </c>
      <c r="H263" s="248">
        <v>0</v>
      </c>
      <c r="I263" s="248">
        <v>0</v>
      </c>
    </row>
    <row r="264" spans="1:12" x14ac:dyDescent="0.25">
      <c r="A264" t="s">
        <v>69</v>
      </c>
      <c r="B264" s="248" t="s">
        <v>689</v>
      </c>
      <c r="C264" s="248" t="s">
        <v>450</v>
      </c>
      <c r="D264" s="428">
        <v>0</v>
      </c>
      <c r="E264" s="428">
        <v>0.21572822893963806</v>
      </c>
      <c r="F264" s="428">
        <v>0.16352556135327354</v>
      </c>
      <c r="G264" s="428">
        <v>0.55741174690356976</v>
      </c>
      <c r="H264" s="428">
        <v>0</v>
      </c>
      <c r="I264" s="246">
        <f>5.38*$L$267</f>
        <v>1.4672727272727271</v>
      </c>
      <c r="J264" s="242" t="s">
        <v>451</v>
      </c>
    </row>
    <row r="265" spans="1:12" x14ac:dyDescent="0.25">
      <c r="A265" t="s">
        <v>70</v>
      </c>
      <c r="B265" s="341" t="s">
        <v>689</v>
      </c>
      <c r="C265" s="248" t="s">
        <v>450</v>
      </c>
      <c r="D265" s="428">
        <v>0</v>
      </c>
      <c r="E265" s="428">
        <v>0.21572822893963806</v>
      </c>
      <c r="F265" s="428">
        <v>0.16352556135327354</v>
      </c>
      <c r="G265" s="428">
        <v>0.55741174690356976</v>
      </c>
      <c r="H265" s="428">
        <v>0</v>
      </c>
      <c r="I265" s="246">
        <f>5.38*$L$267</f>
        <v>1.4672727272727271</v>
      </c>
      <c r="J265" s="141" t="s">
        <v>452</v>
      </c>
    </row>
    <row r="266" spans="1:12" x14ac:dyDescent="0.25">
      <c r="A266" t="s">
        <v>71</v>
      </c>
      <c r="B266" s="341" t="s">
        <v>689</v>
      </c>
      <c r="C266" s="248" t="s">
        <v>450</v>
      </c>
      <c r="D266" s="428">
        <v>0</v>
      </c>
      <c r="E266" s="428">
        <v>0.21572822893963806</v>
      </c>
      <c r="F266" s="428">
        <v>0.16352556135327354</v>
      </c>
      <c r="G266" s="428">
        <v>0.55741174690356976</v>
      </c>
      <c r="H266" s="428">
        <v>0</v>
      </c>
      <c r="I266" s="246">
        <f t="shared" ref="I266:I273" si="0">5.38*$L$267</f>
        <v>1.4672727272727271</v>
      </c>
      <c r="J266" s="141" t="s">
        <v>453</v>
      </c>
    </row>
    <row r="267" spans="1:12" x14ac:dyDescent="0.25">
      <c r="A267" t="s">
        <v>72</v>
      </c>
      <c r="B267" s="341" t="s">
        <v>689</v>
      </c>
      <c r="C267" s="248" t="s">
        <v>450</v>
      </c>
      <c r="D267" s="428">
        <v>0</v>
      </c>
      <c r="E267" s="428">
        <v>0.21572822893963806</v>
      </c>
      <c r="F267" s="428">
        <v>0.16352556135327354</v>
      </c>
      <c r="G267" s="428">
        <v>0.55741174690356976</v>
      </c>
      <c r="H267" s="428">
        <v>0</v>
      </c>
      <c r="I267" s="246">
        <f t="shared" si="0"/>
        <v>1.4672727272727271</v>
      </c>
      <c r="J267" s="141" t="s">
        <v>454</v>
      </c>
      <c r="L267" s="242">
        <f>300/1100</f>
        <v>0.27272727272727271</v>
      </c>
    </row>
    <row r="268" spans="1:12" x14ac:dyDescent="0.25">
      <c r="A268" t="s">
        <v>73</v>
      </c>
      <c r="B268" s="341" t="s">
        <v>689</v>
      </c>
      <c r="C268" s="248" t="s">
        <v>450</v>
      </c>
      <c r="D268" s="428">
        <v>0</v>
      </c>
      <c r="E268" s="428">
        <v>0.21572822893963806</v>
      </c>
      <c r="F268" s="428">
        <v>0.16352556135327354</v>
      </c>
      <c r="G268" s="428">
        <v>0.55741174690356976</v>
      </c>
      <c r="H268" s="428">
        <v>0</v>
      </c>
      <c r="I268" s="246">
        <f t="shared" si="0"/>
        <v>1.4672727272727271</v>
      </c>
    </row>
    <row r="269" spans="1:12" x14ac:dyDescent="0.25">
      <c r="A269" t="s">
        <v>74</v>
      </c>
      <c r="B269" s="341" t="s">
        <v>689</v>
      </c>
      <c r="C269" s="248" t="s">
        <v>450</v>
      </c>
      <c r="D269" s="428">
        <v>0</v>
      </c>
      <c r="E269" s="428">
        <v>0.21572822893963806</v>
      </c>
      <c r="F269" s="428">
        <v>0.16352556135327354</v>
      </c>
      <c r="G269" s="428">
        <v>0.55741174690356976</v>
      </c>
      <c r="H269" s="428">
        <v>0</v>
      </c>
      <c r="I269" s="246">
        <f t="shared" si="0"/>
        <v>1.4672727272727271</v>
      </c>
    </row>
    <row r="270" spans="1:12" x14ac:dyDescent="0.25">
      <c r="A270" t="s">
        <v>75</v>
      </c>
      <c r="B270" s="341" t="s">
        <v>689</v>
      </c>
      <c r="C270" s="248" t="s">
        <v>450</v>
      </c>
      <c r="D270" s="428">
        <v>0</v>
      </c>
      <c r="E270" s="428">
        <v>0.21572822893963806</v>
      </c>
      <c r="F270" s="428">
        <v>0.16352556135327354</v>
      </c>
      <c r="G270" s="428">
        <v>0.55741174690356976</v>
      </c>
      <c r="H270" s="428">
        <v>0</v>
      </c>
      <c r="I270" s="246">
        <f t="shared" si="0"/>
        <v>1.4672727272727271</v>
      </c>
    </row>
    <row r="271" spans="1:12" x14ac:dyDescent="0.25">
      <c r="A271" t="s">
        <v>76</v>
      </c>
      <c r="B271" s="341" t="s">
        <v>689</v>
      </c>
      <c r="C271" s="248" t="s">
        <v>450</v>
      </c>
      <c r="D271" s="428">
        <v>0</v>
      </c>
      <c r="E271" s="428">
        <v>0.21572822893963806</v>
      </c>
      <c r="F271" s="428">
        <v>0.16352556135327354</v>
      </c>
      <c r="G271" s="428">
        <v>0.55741174690356976</v>
      </c>
      <c r="H271" s="428">
        <v>0</v>
      </c>
      <c r="I271" s="246">
        <f t="shared" si="0"/>
        <v>1.4672727272727271</v>
      </c>
    </row>
    <row r="272" spans="1:12" x14ac:dyDescent="0.25">
      <c r="A272" t="s">
        <v>77</v>
      </c>
      <c r="B272" s="341" t="s">
        <v>689</v>
      </c>
      <c r="C272" s="248" t="s">
        <v>450</v>
      </c>
      <c r="D272" s="428">
        <v>0</v>
      </c>
      <c r="E272" s="428">
        <v>0.21572822893963806</v>
      </c>
      <c r="F272" s="428">
        <v>0.16352556135327354</v>
      </c>
      <c r="G272" s="428">
        <v>0.55741174690356976</v>
      </c>
      <c r="H272" s="428">
        <v>0</v>
      </c>
      <c r="I272" s="246">
        <f t="shared" si="0"/>
        <v>1.4672727272727271</v>
      </c>
    </row>
    <row r="273" spans="1:21" x14ac:dyDescent="0.25">
      <c r="A273" s="245" t="s">
        <v>682</v>
      </c>
      <c r="B273" s="341" t="s">
        <v>689</v>
      </c>
      <c r="C273" s="341" t="s">
        <v>450</v>
      </c>
      <c r="D273" s="428">
        <v>0</v>
      </c>
      <c r="E273" s="428">
        <v>0.21572822893963806</v>
      </c>
      <c r="F273" s="428">
        <v>0.16352556135327354</v>
      </c>
      <c r="G273" s="428">
        <v>0.55741174690356976</v>
      </c>
      <c r="H273" s="428">
        <v>0</v>
      </c>
      <c r="I273" s="246">
        <f t="shared" si="0"/>
        <v>1.4672727272727271</v>
      </c>
    </row>
    <row r="274" spans="1:21" x14ac:dyDescent="0.25">
      <c r="A274" t="s">
        <v>88</v>
      </c>
      <c r="B274" t="s">
        <v>690</v>
      </c>
      <c r="C274" s="248" t="s">
        <v>450</v>
      </c>
      <c r="D274" s="248">
        <v>0.61348618826838841</v>
      </c>
      <c r="E274" s="248">
        <v>0.48103107344632767</v>
      </c>
      <c r="F274" s="248">
        <v>0.13134096949018609</v>
      </c>
      <c r="G274" s="248">
        <v>0.45312030676698511</v>
      </c>
      <c r="H274" s="248">
        <v>4.0482220064367011E-2</v>
      </c>
      <c r="I274">
        <v>2.73</v>
      </c>
      <c r="J274" s="247" t="s">
        <v>48</v>
      </c>
    </row>
    <row r="275" spans="1:21" x14ac:dyDescent="0.25">
      <c r="A275" t="s">
        <v>89</v>
      </c>
      <c r="B275" s="245" t="s">
        <v>690</v>
      </c>
      <c r="C275" s="248" t="s">
        <v>450</v>
      </c>
      <c r="D275" s="248">
        <v>0.61348618826838841</v>
      </c>
      <c r="E275" s="248">
        <v>0.48103107344632767</v>
      </c>
      <c r="F275" s="248">
        <v>0.13134096949018609</v>
      </c>
      <c r="G275" s="248">
        <v>0.45312030676698511</v>
      </c>
      <c r="H275" s="248">
        <v>4.0482220064367011E-2</v>
      </c>
      <c r="I275">
        <v>2.68</v>
      </c>
      <c r="J275" s="247" t="s">
        <v>97</v>
      </c>
    </row>
    <row r="276" spans="1:21" x14ac:dyDescent="0.25">
      <c r="A276" t="s">
        <v>90</v>
      </c>
      <c r="B276" s="245" t="s">
        <v>690</v>
      </c>
      <c r="C276" s="248" t="s">
        <v>450</v>
      </c>
      <c r="D276" s="248">
        <v>0.61348618826838841</v>
      </c>
      <c r="E276" s="248">
        <v>0.48103107344632767</v>
      </c>
      <c r="F276" s="248">
        <v>0.13134096949018609</v>
      </c>
      <c r="G276" s="248">
        <v>0.45312030676698511</v>
      </c>
      <c r="H276" s="248">
        <v>4.0482220064367011E-2</v>
      </c>
      <c r="I276">
        <v>2.73</v>
      </c>
      <c r="J276" s="247" t="s">
        <v>48</v>
      </c>
    </row>
    <row r="277" spans="1:21" x14ac:dyDescent="0.25">
      <c r="A277" t="s">
        <v>91</v>
      </c>
      <c r="B277" s="245" t="s">
        <v>690</v>
      </c>
      <c r="C277" s="248" t="s">
        <v>450</v>
      </c>
      <c r="D277" s="248">
        <v>0.61348618826838841</v>
      </c>
      <c r="E277" s="248">
        <v>0.48103107344632767</v>
      </c>
      <c r="F277" s="248">
        <v>0.13134096949018609</v>
      </c>
      <c r="G277" s="248">
        <v>0.45312030676698511</v>
      </c>
      <c r="H277" s="248">
        <v>4.0482220064367011E-2</v>
      </c>
      <c r="I277">
        <v>2.68</v>
      </c>
      <c r="J277" s="247" t="s">
        <v>97</v>
      </c>
    </row>
    <row r="278" spans="1:21" x14ac:dyDescent="0.25">
      <c r="A278" t="s">
        <v>92</v>
      </c>
      <c r="B278" s="245" t="s">
        <v>690</v>
      </c>
      <c r="C278" s="248" t="s">
        <v>450</v>
      </c>
      <c r="D278" s="248">
        <v>0.61348618826838841</v>
      </c>
      <c r="E278" s="248">
        <v>0.48103107344632767</v>
      </c>
      <c r="F278" s="248">
        <v>0.13134096949018609</v>
      </c>
      <c r="G278" s="248">
        <v>0.45312030676698511</v>
      </c>
      <c r="H278" s="248">
        <v>4.0482220064367011E-2</v>
      </c>
      <c r="I278">
        <v>3.18</v>
      </c>
      <c r="J278" s="247" t="s">
        <v>105</v>
      </c>
    </row>
    <row r="279" spans="1:21" x14ac:dyDescent="0.25">
      <c r="A279" t="s">
        <v>93</v>
      </c>
      <c r="B279" s="248" t="s">
        <v>34</v>
      </c>
      <c r="C279" s="248" t="s">
        <v>450</v>
      </c>
      <c r="D279" s="248">
        <v>0</v>
      </c>
      <c r="E279" s="248">
        <v>2.2499999999999998E-3</v>
      </c>
      <c r="F279" s="248">
        <v>0</v>
      </c>
      <c r="G279" s="248">
        <v>8.6962635654630444E-2</v>
      </c>
      <c r="H279" s="248">
        <v>0</v>
      </c>
      <c r="I279" s="248">
        <v>0</v>
      </c>
    </row>
    <row r="280" spans="1:21" x14ac:dyDescent="0.25">
      <c r="A280" t="s">
        <v>94</v>
      </c>
      <c r="B280" s="248" t="s">
        <v>34</v>
      </c>
      <c r="C280" s="248" t="s">
        <v>450</v>
      </c>
      <c r="D280" s="248">
        <v>0</v>
      </c>
      <c r="E280" s="248">
        <v>2.2499999999999998E-3</v>
      </c>
      <c r="F280" s="248">
        <v>0</v>
      </c>
      <c r="G280" s="248">
        <v>8.6962635654630444E-2</v>
      </c>
      <c r="H280" s="248">
        <v>0</v>
      </c>
      <c r="I280" s="248">
        <v>0</v>
      </c>
    </row>
    <row r="281" spans="1:21" x14ac:dyDescent="0.25">
      <c r="A281" t="s">
        <v>95</v>
      </c>
      <c r="B281" s="248" t="s">
        <v>34</v>
      </c>
      <c r="C281" s="248" t="s">
        <v>450</v>
      </c>
      <c r="D281" s="248">
        <v>0</v>
      </c>
      <c r="E281" s="248">
        <v>2.2499999999999998E-3</v>
      </c>
      <c r="F281" s="248">
        <v>0</v>
      </c>
      <c r="G281" s="248">
        <v>8.6962635654630444E-2</v>
      </c>
      <c r="H281" s="248">
        <v>0</v>
      </c>
      <c r="I281" s="248">
        <v>0</v>
      </c>
    </row>
    <row r="282" spans="1:21" x14ac:dyDescent="0.25">
      <c r="A282" s="244" t="s">
        <v>96</v>
      </c>
      <c r="B282" s="248" t="s">
        <v>48</v>
      </c>
      <c r="C282" s="248" t="s">
        <v>450</v>
      </c>
      <c r="D282" s="248">
        <v>0</v>
      </c>
      <c r="E282" s="248">
        <v>0.22988051948051949</v>
      </c>
      <c r="F282" s="248">
        <v>0.44433434483691059</v>
      </c>
      <c r="G282" s="248">
        <v>0.70522171147637136</v>
      </c>
      <c r="H282" s="248">
        <v>0</v>
      </c>
      <c r="I282" s="248">
        <v>2.9247662337662339</v>
      </c>
    </row>
    <row r="283" spans="1:21" x14ac:dyDescent="0.25">
      <c r="A283" s="248" t="s">
        <v>98</v>
      </c>
      <c r="B283" s="248" t="s">
        <v>34</v>
      </c>
      <c r="C283" s="248" t="s">
        <v>450</v>
      </c>
      <c r="D283" s="248">
        <v>0</v>
      </c>
      <c r="E283" s="248">
        <v>2.0833333333333342E-3</v>
      </c>
      <c r="F283" s="248">
        <v>0</v>
      </c>
      <c r="G283" s="248">
        <v>3.8890872965260122E-2</v>
      </c>
      <c r="H283" s="248">
        <v>0</v>
      </c>
      <c r="I283" s="248">
        <v>0</v>
      </c>
    </row>
    <row r="284" spans="1:21" x14ac:dyDescent="0.25">
      <c r="A284" s="248" t="s">
        <v>102</v>
      </c>
      <c r="B284" s="248" t="s">
        <v>34</v>
      </c>
      <c r="C284" s="248" t="s">
        <v>450</v>
      </c>
      <c r="D284" s="248">
        <v>0</v>
      </c>
      <c r="E284" s="248">
        <v>2.0833333333333342E-3</v>
      </c>
      <c r="F284" s="248">
        <v>0</v>
      </c>
      <c r="G284" s="248">
        <v>3.8890872965260122E-2</v>
      </c>
      <c r="H284" s="248">
        <v>0</v>
      </c>
      <c r="I284" s="248">
        <v>0</v>
      </c>
      <c r="U284" s="242"/>
    </row>
    <row r="285" spans="1:21" x14ac:dyDescent="0.25">
      <c r="A285" s="244" t="s">
        <v>103</v>
      </c>
      <c r="B285" s="248" t="s">
        <v>34</v>
      </c>
      <c r="C285" s="248" t="s">
        <v>450</v>
      </c>
      <c r="D285" s="248">
        <v>0</v>
      </c>
      <c r="E285" s="248">
        <v>2.0833333333333342E-3</v>
      </c>
      <c r="F285" s="248">
        <v>0</v>
      </c>
      <c r="G285" s="248">
        <v>3.8890872965260122E-2</v>
      </c>
      <c r="H285" s="248">
        <v>0</v>
      </c>
      <c r="I285" s="248">
        <v>0</v>
      </c>
      <c r="U285" s="242"/>
    </row>
    <row r="286" spans="1:21" x14ac:dyDescent="0.25">
      <c r="A286" s="248" t="s">
        <v>104</v>
      </c>
      <c r="B286" s="248" t="s">
        <v>105</v>
      </c>
      <c r="C286" s="248" t="s">
        <v>450</v>
      </c>
      <c r="D286" s="248">
        <v>0.22579427120177961</v>
      </c>
      <c r="E286" s="248">
        <v>5.2440239043824707E-2</v>
      </c>
      <c r="F286" s="248">
        <v>3.4339533680010748E-2</v>
      </c>
      <c r="G286" s="248">
        <v>0.21506345769714899</v>
      </c>
      <c r="H286" s="248">
        <v>0.5653261021470074</v>
      </c>
      <c r="I286" s="248">
        <v>1.49</v>
      </c>
      <c r="U286" s="242"/>
    </row>
    <row r="287" spans="1:21" x14ac:dyDescent="0.25">
      <c r="A287" s="244" t="s">
        <v>106</v>
      </c>
      <c r="B287" s="248" t="s">
        <v>105</v>
      </c>
      <c r="C287" s="248" t="s">
        <v>450</v>
      </c>
      <c r="D287" s="248">
        <v>0.27712907665452818</v>
      </c>
      <c r="E287" s="248">
        <v>7.265700483091786E-2</v>
      </c>
      <c r="F287" s="248">
        <v>6.7098760637186533E-2</v>
      </c>
      <c r="G287" s="248">
        <v>0.27403982573151031</v>
      </c>
      <c r="H287" s="248">
        <v>0.55787748296579331</v>
      </c>
      <c r="I287" s="248">
        <v>1.49</v>
      </c>
      <c r="U287" s="242"/>
    </row>
    <row r="288" spans="1:21" x14ac:dyDescent="0.25">
      <c r="A288" s="248" t="s">
        <v>109</v>
      </c>
      <c r="B288" s="248" t="s">
        <v>34</v>
      </c>
      <c r="C288" s="248" t="s">
        <v>450</v>
      </c>
      <c r="D288" s="248">
        <v>0</v>
      </c>
      <c r="E288" s="248">
        <v>2.0833333333333342E-3</v>
      </c>
      <c r="F288" s="248">
        <v>0</v>
      </c>
      <c r="G288" s="248">
        <v>3.8890872965260122E-2</v>
      </c>
      <c r="H288" s="248">
        <v>0</v>
      </c>
      <c r="I288" s="248">
        <v>0</v>
      </c>
    </row>
    <row r="289" spans="1:34" x14ac:dyDescent="0.25">
      <c r="A289" s="248" t="s">
        <v>112</v>
      </c>
      <c r="B289" s="248" t="s">
        <v>57</v>
      </c>
      <c r="C289" s="248" t="s">
        <v>450</v>
      </c>
      <c r="D289" s="248">
        <v>0</v>
      </c>
      <c r="E289" s="248">
        <v>2.0833333333333342E-3</v>
      </c>
      <c r="F289" s="248">
        <v>0</v>
      </c>
      <c r="G289" s="248">
        <v>3.8890872965260122E-2</v>
      </c>
      <c r="H289" s="248">
        <v>0</v>
      </c>
      <c r="I289" s="248">
        <v>0</v>
      </c>
    </row>
    <row r="290" spans="1:34" x14ac:dyDescent="0.25">
      <c r="A290" s="248" t="s">
        <v>127</v>
      </c>
      <c r="B290" s="248" t="s">
        <v>57</v>
      </c>
      <c r="C290" s="248" t="s">
        <v>450</v>
      </c>
      <c r="D290" s="248">
        <v>0</v>
      </c>
      <c r="E290" s="248">
        <v>2.0833333333333342E-3</v>
      </c>
      <c r="F290" s="248">
        <v>0</v>
      </c>
      <c r="G290" s="248">
        <v>3.8890872965260122E-2</v>
      </c>
      <c r="H290" s="248">
        <v>4.783304592501667E-3</v>
      </c>
      <c r="I290" s="248">
        <v>0</v>
      </c>
    </row>
    <row r="291" spans="1:34" x14ac:dyDescent="0.25">
      <c r="A291" t="s">
        <v>124</v>
      </c>
      <c r="B291" t="s">
        <v>52</v>
      </c>
      <c r="C291" s="248" t="s">
        <v>450</v>
      </c>
      <c r="D291" s="248">
        <v>0</v>
      </c>
      <c r="E291" s="248">
        <v>3.7409638554216869E-2</v>
      </c>
      <c r="F291" s="248">
        <v>4.2449007725800382E-2</v>
      </c>
      <c r="G291" s="248">
        <v>0.26195080242588742</v>
      </c>
      <c r="H291" s="248">
        <v>0</v>
      </c>
      <c r="I291" s="248">
        <v>0</v>
      </c>
    </row>
    <row r="292" spans="1:34" x14ac:dyDescent="0.25">
      <c r="A292" t="s">
        <v>125</v>
      </c>
      <c r="B292" t="s">
        <v>57</v>
      </c>
      <c r="C292" s="248" t="s">
        <v>450</v>
      </c>
      <c r="D292" s="248">
        <v>0</v>
      </c>
      <c r="E292" s="248">
        <v>3.7409638554216869E-2</v>
      </c>
      <c r="F292" s="248">
        <v>4.2449007725800382E-2</v>
      </c>
      <c r="G292" s="248">
        <v>0.26195080242588742</v>
      </c>
      <c r="H292" s="248">
        <v>0</v>
      </c>
      <c r="I292" s="248">
        <v>0</v>
      </c>
    </row>
    <row r="293" spans="1:34" x14ac:dyDescent="0.25">
      <c r="A293" t="s">
        <v>126</v>
      </c>
      <c r="B293" t="s">
        <v>57</v>
      </c>
      <c r="C293" s="248" t="s">
        <v>450</v>
      </c>
      <c r="D293" s="248">
        <v>0</v>
      </c>
      <c r="E293" s="248">
        <v>3.7409638554216869E-2</v>
      </c>
      <c r="F293" s="248">
        <v>4.2449007725800382E-2</v>
      </c>
      <c r="G293" s="248">
        <v>0.26195080242588742</v>
      </c>
      <c r="H293" s="248">
        <v>0</v>
      </c>
      <c r="I293" s="248">
        <v>0</v>
      </c>
    </row>
    <row r="294" spans="1:34" x14ac:dyDescent="0.25">
      <c r="A294" t="s">
        <v>137</v>
      </c>
      <c r="B294" t="s">
        <v>691</v>
      </c>
      <c r="C294" s="248" t="s">
        <v>450</v>
      </c>
      <c r="D294" s="248">
        <v>0.5938570581787751</v>
      </c>
      <c r="E294" s="248">
        <v>0.22324797645327449</v>
      </c>
      <c r="F294" s="248">
        <v>0.16461805845624511</v>
      </c>
      <c r="G294" s="248">
        <v>0.38773205334164251</v>
      </c>
      <c r="H294" s="248">
        <v>0.16760616630023939</v>
      </c>
      <c r="I294">
        <v>2.68</v>
      </c>
      <c r="J294" s="247" t="s">
        <v>97</v>
      </c>
    </row>
    <row r="295" spans="1:34" x14ac:dyDescent="0.25">
      <c r="A295" t="s">
        <v>138</v>
      </c>
      <c r="B295" s="245" t="s">
        <v>691</v>
      </c>
      <c r="C295" s="248" t="s">
        <v>450</v>
      </c>
      <c r="D295" s="248">
        <v>0.5938570581787751</v>
      </c>
      <c r="E295" s="248">
        <v>0.22324797645327449</v>
      </c>
      <c r="F295" s="248">
        <v>0.16461805845624511</v>
      </c>
      <c r="G295" s="248">
        <v>0.38773205334164251</v>
      </c>
      <c r="H295" s="248">
        <v>0.16760616630023939</v>
      </c>
      <c r="I295">
        <v>0</v>
      </c>
      <c r="J295" s="247" t="s">
        <v>34</v>
      </c>
    </row>
    <row r="296" spans="1:34" x14ac:dyDescent="0.25">
      <c r="A296" t="s">
        <v>139</v>
      </c>
      <c r="B296" s="245" t="s">
        <v>691</v>
      </c>
      <c r="C296" s="248" t="s">
        <v>450</v>
      </c>
      <c r="D296" s="248">
        <v>0.5938570581787751</v>
      </c>
      <c r="E296" s="248">
        <v>0.22324797645327449</v>
      </c>
      <c r="F296" s="248">
        <v>0.16461805845624511</v>
      </c>
      <c r="G296" s="248">
        <v>0.38773205334164251</v>
      </c>
      <c r="H296" s="248">
        <v>0.16760616630023939</v>
      </c>
      <c r="I296">
        <v>2.73</v>
      </c>
      <c r="J296" s="247" t="s">
        <v>48</v>
      </c>
    </row>
    <row r="297" spans="1:34" x14ac:dyDescent="0.25">
      <c r="A297" t="s">
        <v>140</v>
      </c>
      <c r="B297" s="245" t="s">
        <v>691</v>
      </c>
      <c r="C297" s="248" t="s">
        <v>450</v>
      </c>
      <c r="D297" s="248">
        <v>0.5938570581787751</v>
      </c>
      <c r="E297" s="248">
        <v>0.22324797645327449</v>
      </c>
      <c r="F297" s="248">
        <v>0.16461805845624511</v>
      </c>
      <c r="G297" s="248">
        <v>0.38773205334164251</v>
      </c>
      <c r="H297" s="248">
        <v>0.16760616630023939</v>
      </c>
      <c r="I297">
        <v>0</v>
      </c>
      <c r="J297" s="247" t="s">
        <v>34</v>
      </c>
    </row>
    <row r="298" spans="1:34" x14ac:dyDescent="0.25">
      <c r="A298" t="s">
        <v>141</v>
      </c>
      <c r="B298" s="245" t="s">
        <v>691</v>
      </c>
      <c r="C298" s="248" t="s">
        <v>450</v>
      </c>
      <c r="D298" s="248">
        <v>0.5938570581787751</v>
      </c>
      <c r="E298" s="248">
        <v>0.22324797645327449</v>
      </c>
      <c r="F298" s="248">
        <v>0.16461805845624511</v>
      </c>
      <c r="G298" s="248">
        <v>0.38773205334164251</v>
      </c>
      <c r="H298" s="248">
        <v>0.16760616630023939</v>
      </c>
      <c r="I298">
        <v>2.68</v>
      </c>
      <c r="J298" s="247" t="s">
        <v>97</v>
      </c>
      <c r="W298" s="383"/>
      <c r="X298" s="383"/>
      <c r="Y298" s="383"/>
      <c r="Z298" s="383"/>
      <c r="AA298" s="383"/>
      <c r="AB298" s="383"/>
      <c r="AC298" s="383"/>
      <c r="AD298" s="383"/>
      <c r="AE298" s="383"/>
      <c r="AF298" s="383"/>
      <c r="AG298" s="383"/>
      <c r="AH298" s="383"/>
    </row>
    <row r="299" spans="1:34" x14ac:dyDescent="0.25">
      <c r="A299" t="s">
        <v>142</v>
      </c>
      <c r="B299" s="245" t="s">
        <v>691</v>
      </c>
      <c r="C299" s="248" t="s">
        <v>450</v>
      </c>
      <c r="D299" s="248">
        <v>0.5938570581787751</v>
      </c>
      <c r="E299" s="248">
        <v>0.22324797645327449</v>
      </c>
      <c r="F299" s="248">
        <v>0.16461805845624511</v>
      </c>
      <c r="G299" s="248">
        <v>0.38773205334164251</v>
      </c>
      <c r="H299" s="248">
        <v>0.16760616630023939</v>
      </c>
      <c r="I299">
        <v>2.68</v>
      </c>
      <c r="J299" s="247" t="s">
        <v>97</v>
      </c>
      <c r="W299" s="383"/>
      <c r="X299" s="383"/>
      <c r="Y299" s="383"/>
      <c r="Z299" s="383"/>
      <c r="AA299" s="383"/>
      <c r="AB299" s="383"/>
      <c r="AC299" s="383"/>
      <c r="AD299" s="383"/>
      <c r="AE299" s="383"/>
      <c r="AF299" s="383"/>
      <c r="AG299" s="383"/>
      <c r="AH299" s="383"/>
    </row>
    <row r="300" spans="1:34" x14ac:dyDescent="0.25">
      <c r="A300" t="s">
        <v>143</v>
      </c>
      <c r="B300" s="245" t="s">
        <v>691</v>
      </c>
      <c r="C300" s="248" t="s">
        <v>450</v>
      </c>
      <c r="D300" s="248">
        <v>0.5938570581787751</v>
      </c>
      <c r="E300" s="248">
        <v>0.22324797645327449</v>
      </c>
      <c r="F300" s="248">
        <v>0.16461805845624511</v>
      </c>
      <c r="G300" s="248">
        <v>0.38773205334164251</v>
      </c>
      <c r="H300" s="248">
        <v>0.16760616630023939</v>
      </c>
      <c r="I300">
        <v>3.18</v>
      </c>
      <c r="J300" s="247" t="s">
        <v>105</v>
      </c>
    </row>
    <row r="301" spans="1:34" x14ac:dyDescent="0.25">
      <c r="A301" t="s">
        <v>144</v>
      </c>
      <c r="B301" s="245" t="s">
        <v>691</v>
      </c>
      <c r="C301" s="248" t="s">
        <v>450</v>
      </c>
      <c r="D301" s="248">
        <v>0.5938570581787751</v>
      </c>
      <c r="E301" s="248">
        <v>0.22324797645327449</v>
      </c>
      <c r="F301" s="248">
        <v>0.16461805845624511</v>
      </c>
      <c r="G301" s="248">
        <v>0.38773205334164251</v>
      </c>
      <c r="H301" s="248">
        <v>0.16760616630023939</v>
      </c>
      <c r="I301">
        <v>3.18</v>
      </c>
      <c r="J301" s="247" t="s">
        <v>105</v>
      </c>
    </row>
    <row r="302" spans="1:34" x14ac:dyDescent="0.25">
      <c r="A302" t="s">
        <v>145</v>
      </c>
      <c r="B302" s="245" t="s">
        <v>691</v>
      </c>
      <c r="C302" s="248" t="s">
        <v>450</v>
      </c>
      <c r="D302" s="248">
        <v>0.5938570581787751</v>
      </c>
      <c r="E302" s="248">
        <v>0.22324797645327449</v>
      </c>
      <c r="F302" s="248">
        <v>0.16461805845624511</v>
      </c>
      <c r="G302" s="248">
        <v>0.38773205334164251</v>
      </c>
      <c r="H302" s="248">
        <v>0.16760616630023939</v>
      </c>
      <c r="I302">
        <v>3.18</v>
      </c>
      <c r="J302" s="247" t="s">
        <v>105</v>
      </c>
    </row>
    <row r="303" spans="1:34" x14ac:dyDescent="0.25">
      <c r="A303" t="s">
        <v>146</v>
      </c>
      <c r="B303" t="s">
        <v>692</v>
      </c>
      <c r="C303" s="248" t="s">
        <v>450</v>
      </c>
      <c r="D303" s="248">
        <v>0.4280920212459568</v>
      </c>
      <c r="E303" s="248">
        <v>0.31381333333333328</v>
      </c>
      <c r="F303" s="248">
        <v>0.29568497156178142</v>
      </c>
      <c r="G303" s="248">
        <v>0.54540361299989737</v>
      </c>
      <c r="H303" s="248">
        <v>0.30164237661766918</v>
      </c>
      <c r="I303">
        <v>2.68</v>
      </c>
      <c r="J303" s="247" t="s">
        <v>97</v>
      </c>
    </row>
    <row r="304" spans="1:34" x14ac:dyDescent="0.25">
      <c r="A304" t="s">
        <v>147</v>
      </c>
      <c r="B304" s="245" t="s">
        <v>692</v>
      </c>
      <c r="C304" s="248" t="s">
        <v>450</v>
      </c>
      <c r="D304" s="248">
        <v>0.4280920212459568</v>
      </c>
      <c r="E304" s="248">
        <v>0.31381333333333328</v>
      </c>
      <c r="F304" s="248">
        <v>0.29568497156178142</v>
      </c>
      <c r="G304" s="248">
        <v>0.54540361299989737</v>
      </c>
      <c r="H304" s="248">
        <v>0.30164237661766918</v>
      </c>
      <c r="I304">
        <v>0</v>
      </c>
      <c r="J304" s="247" t="s">
        <v>34</v>
      </c>
    </row>
    <row r="305" spans="1:10" x14ac:dyDescent="0.25">
      <c r="A305" t="s">
        <v>148</v>
      </c>
      <c r="B305" s="245" t="s">
        <v>692</v>
      </c>
      <c r="C305" s="248" t="s">
        <v>450</v>
      </c>
      <c r="D305" s="248">
        <v>0.4280920212459568</v>
      </c>
      <c r="E305" s="248">
        <v>0.31381333333333328</v>
      </c>
      <c r="F305" s="248">
        <v>0.29568497156178142</v>
      </c>
      <c r="G305" s="248">
        <v>0.54540361299989737</v>
      </c>
      <c r="H305" s="248">
        <v>0.30164237661766918</v>
      </c>
      <c r="I305">
        <v>0</v>
      </c>
      <c r="J305" s="247" t="s">
        <v>34</v>
      </c>
    </row>
    <row r="306" spans="1:10" x14ac:dyDescent="0.25">
      <c r="A306" t="s">
        <v>149</v>
      </c>
      <c r="B306" s="245" t="s">
        <v>692</v>
      </c>
      <c r="C306" s="248" t="s">
        <v>450</v>
      </c>
      <c r="D306" s="248">
        <v>0.4280920212459568</v>
      </c>
      <c r="E306" s="248">
        <v>0.31381333333333328</v>
      </c>
      <c r="F306" s="248">
        <v>0.29568497156178142</v>
      </c>
      <c r="G306" s="248">
        <v>0.54540361299989737</v>
      </c>
      <c r="H306" s="248">
        <v>0.30164237661766918</v>
      </c>
      <c r="I306">
        <v>3.18</v>
      </c>
      <c r="J306" s="247" t="s">
        <v>105</v>
      </c>
    </row>
    <row r="307" spans="1:10" x14ac:dyDescent="0.25">
      <c r="A307" t="s">
        <v>154</v>
      </c>
      <c r="B307" t="s">
        <v>48</v>
      </c>
      <c r="C307" s="248" t="s">
        <v>450</v>
      </c>
      <c r="D307" s="248">
        <v>0</v>
      </c>
      <c r="E307" s="248">
        <v>0</v>
      </c>
      <c r="F307" s="248">
        <v>8.1639413185071782E-3</v>
      </c>
      <c r="G307" s="248">
        <v>8.9232927428294723E-2</v>
      </c>
      <c r="H307" s="248">
        <v>0</v>
      </c>
      <c r="I307" s="248">
        <v>0</v>
      </c>
    </row>
    <row r="308" spans="1:10" x14ac:dyDescent="0.25">
      <c r="A308" t="s">
        <v>155</v>
      </c>
      <c r="B308" t="s">
        <v>52</v>
      </c>
      <c r="C308" s="248" t="s">
        <v>450</v>
      </c>
      <c r="D308" s="248">
        <v>0</v>
      </c>
      <c r="E308" s="248">
        <v>0</v>
      </c>
      <c r="F308" s="248">
        <v>8.1639413185071782E-3</v>
      </c>
      <c r="G308" s="248">
        <v>8.9232927428294723E-2</v>
      </c>
      <c r="H308" s="248">
        <v>0</v>
      </c>
      <c r="I308" s="248">
        <v>0</v>
      </c>
    </row>
    <row r="309" spans="1:10" x14ac:dyDescent="0.25">
      <c r="A309" t="s">
        <v>156</v>
      </c>
      <c r="B309" t="s">
        <v>693</v>
      </c>
      <c r="C309" s="248" t="s">
        <v>450</v>
      </c>
      <c r="D309" s="248">
        <v>0.70311614561032765</v>
      </c>
      <c r="E309" s="248">
        <v>0.34760115606936409</v>
      </c>
      <c r="F309" s="248">
        <v>2.9161256354687391E-2</v>
      </c>
      <c r="G309" s="248">
        <v>0.35826047940478739</v>
      </c>
      <c r="H309" s="248">
        <v>0.55610901226815856</v>
      </c>
      <c r="I309">
        <v>2.73</v>
      </c>
      <c r="J309" s="247" t="s">
        <v>48</v>
      </c>
    </row>
    <row r="310" spans="1:10" x14ac:dyDescent="0.25">
      <c r="A310" t="s">
        <v>158</v>
      </c>
      <c r="B310" s="245" t="s">
        <v>693</v>
      </c>
      <c r="C310" s="248" t="s">
        <v>450</v>
      </c>
      <c r="D310" s="248">
        <v>0.70311614561032765</v>
      </c>
      <c r="E310" s="248">
        <v>0.34760115606936409</v>
      </c>
      <c r="F310" s="248">
        <v>2.9161256354687391E-2</v>
      </c>
      <c r="G310" s="248">
        <v>0.35826047940478739</v>
      </c>
      <c r="H310" s="248">
        <v>0.55610901226815856</v>
      </c>
      <c r="I310">
        <v>3.18</v>
      </c>
      <c r="J310" s="247" t="s">
        <v>105</v>
      </c>
    </row>
    <row r="311" spans="1:10" x14ac:dyDescent="0.25">
      <c r="A311" t="s">
        <v>159</v>
      </c>
      <c r="B311" s="245" t="s">
        <v>693</v>
      </c>
      <c r="C311" s="248" t="s">
        <v>450</v>
      </c>
      <c r="D311" s="248">
        <v>0.70311614561032765</v>
      </c>
      <c r="E311" s="248">
        <v>0.34760115606936409</v>
      </c>
      <c r="F311" s="248">
        <v>2.9161256354687391E-2</v>
      </c>
      <c r="G311" s="248">
        <v>0.35826047940478739</v>
      </c>
      <c r="H311" s="248">
        <v>0.55610901226815856</v>
      </c>
      <c r="I311">
        <v>3.18</v>
      </c>
      <c r="J311" s="247" t="s">
        <v>105</v>
      </c>
    </row>
    <row r="312" spans="1:10" x14ac:dyDescent="0.25">
      <c r="A312" t="s">
        <v>162</v>
      </c>
      <c r="B312" t="s">
        <v>694</v>
      </c>
      <c r="C312" s="248" t="s">
        <v>450</v>
      </c>
      <c r="D312" s="428">
        <v>9.558790748335147E-2</v>
      </c>
      <c r="E312" s="428">
        <v>5.3913043478260883E-2</v>
      </c>
      <c r="F312" s="428">
        <v>2.1604960419378958E-2</v>
      </c>
      <c r="G312" s="428">
        <v>0.19750171986042575</v>
      </c>
      <c r="H312" s="428">
        <v>0</v>
      </c>
      <c r="I312">
        <v>3.18</v>
      </c>
      <c r="J312" s="247" t="s">
        <v>105</v>
      </c>
    </row>
    <row r="313" spans="1:10" x14ac:dyDescent="0.25">
      <c r="A313" t="s">
        <v>163</v>
      </c>
      <c r="B313" s="245" t="s">
        <v>694</v>
      </c>
      <c r="C313" s="248" t="s">
        <v>450</v>
      </c>
      <c r="D313" s="428">
        <v>9.558790748335147E-2</v>
      </c>
      <c r="E313" s="428">
        <v>5.3913043478260883E-2</v>
      </c>
      <c r="F313" s="428">
        <v>2.1604960419378958E-2</v>
      </c>
      <c r="G313" s="428">
        <v>0.19750171986042575</v>
      </c>
      <c r="H313" s="428">
        <v>0</v>
      </c>
      <c r="I313">
        <v>0</v>
      </c>
      <c r="J313" s="247" t="s">
        <v>36</v>
      </c>
    </row>
    <row r="314" spans="1:10" x14ac:dyDescent="0.25">
      <c r="A314" s="244" t="s">
        <v>164</v>
      </c>
      <c r="B314" s="248" t="s">
        <v>34</v>
      </c>
      <c r="C314" s="248" t="s">
        <v>450</v>
      </c>
      <c r="D314" s="248">
        <v>2.939815783088038E-2</v>
      </c>
      <c r="E314" s="248">
        <v>2.0833333333333342E-3</v>
      </c>
      <c r="F314" s="248">
        <v>0</v>
      </c>
      <c r="G314" s="248">
        <v>3.0052038200428271E-2</v>
      </c>
      <c r="H314" s="248">
        <v>4.490836985388337E-2</v>
      </c>
      <c r="I314" s="248">
        <v>0</v>
      </c>
    </row>
    <row r="315" spans="1:10" x14ac:dyDescent="0.25">
      <c r="A315" s="248" t="s">
        <v>165</v>
      </c>
      <c r="B315" s="248" t="s">
        <v>34</v>
      </c>
      <c r="C315" s="248" t="s">
        <v>450</v>
      </c>
      <c r="D315" s="248">
        <v>0</v>
      </c>
      <c r="E315" s="248">
        <v>2.0833333333333342E-3</v>
      </c>
      <c r="F315" s="248">
        <v>0</v>
      </c>
      <c r="G315" s="248">
        <v>3.5469377855218517E-2</v>
      </c>
      <c r="H315" s="248">
        <v>0</v>
      </c>
      <c r="I315" s="248">
        <v>0</v>
      </c>
    </row>
    <row r="316" spans="1:10" x14ac:dyDescent="0.25">
      <c r="A316" s="248" t="s">
        <v>166</v>
      </c>
      <c r="B316" s="248" t="s">
        <v>34</v>
      </c>
      <c r="C316" s="248" t="s">
        <v>450</v>
      </c>
      <c r="D316" s="248">
        <v>0</v>
      </c>
      <c r="E316" s="248">
        <v>2.0833333333333342E-3</v>
      </c>
      <c r="F316" s="248">
        <v>0</v>
      </c>
      <c r="G316" s="248">
        <v>3.3472847571242803E-2</v>
      </c>
      <c r="H316" s="248">
        <v>0</v>
      </c>
      <c r="I316" s="248">
        <v>0</v>
      </c>
    </row>
    <row r="317" spans="1:10" x14ac:dyDescent="0.25">
      <c r="A317" s="244" t="s">
        <v>167</v>
      </c>
      <c r="B317" s="248" t="s">
        <v>34</v>
      </c>
      <c r="C317" s="248" t="s">
        <v>450</v>
      </c>
      <c r="D317" s="248">
        <v>0</v>
      </c>
      <c r="E317" s="248">
        <v>2.0833333333333342E-3</v>
      </c>
      <c r="F317" s="248">
        <v>0</v>
      </c>
      <c r="G317" s="248">
        <v>3.8890872965260122E-2</v>
      </c>
      <c r="H317" s="248">
        <v>0</v>
      </c>
      <c r="I317" s="248">
        <v>0</v>
      </c>
    </row>
    <row r="318" spans="1:10" x14ac:dyDescent="0.25">
      <c r="A318" t="s">
        <v>168</v>
      </c>
      <c r="B318" t="s">
        <v>695</v>
      </c>
      <c r="C318" s="248" t="s">
        <v>450</v>
      </c>
      <c r="D318" s="248">
        <v>0.57999672167082694</v>
      </c>
      <c r="E318" s="248">
        <v>0.24976931949250289</v>
      </c>
      <c r="F318" s="248">
        <v>2.5694051882367949E-2</v>
      </c>
      <c r="G318" s="248">
        <v>0.13737658981299489</v>
      </c>
      <c r="H318" s="248">
        <v>0.22433188665265999</v>
      </c>
      <c r="I318">
        <v>2.73</v>
      </c>
      <c r="J318" s="247" t="s">
        <v>48</v>
      </c>
    </row>
    <row r="319" spans="1:10" x14ac:dyDescent="0.25">
      <c r="A319" t="s">
        <v>169</v>
      </c>
      <c r="B319" s="245" t="s">
        <v>695</v>
      </c>
      <c r="C319" s="248" t="s">
        <v>450</v>
      </c>
      <c r="D319" s="248">
        <v>0.57999672167082694</v>
      </c>
      <c r="E319" s="248">
        <v>0.24976931949250289</v>
      </c>
      <c r="F319" s="248">
        <v>2.5694051882367949E-2</v>
      </c>
      <c r="G319" s="248">
        <v>0.13737658981299489</v>
      </c>
      <c r="H319" s="248">
        <v>0.22433188665265999</v>
      </c>
      <c r="I319">
        <v>3.18</v>
      </c>
      <c r="J319" s="247" t="s">
        <v>105</v>
      </c>
    </row>
    <row r="320" spans="1:10" x14ac:dyDescent="0.25">
      <c r="A320" t="s">
        <v>170</v>
      </c>
      <c r="B320" t="s">
        <v>696</v>
      </c>
      <c r="C320" s="248" t="s">
        <v>450</v>
      </c>
      <c r="D320" s="248">
        <v>0.57999672167082694</v>
      </c>
      <c r="E320" s="248">
        <v>0.24976931949250289</v>
      </c>
      <c r="F320" s="248">
        <v>2.5694051882367949E-2</v>
      </c>
      <c r="G320" s="248">
        <v>0.13737658981299489</v>
      </c>
      <c r="H320" s="248">
        <v>0.22433188665265999</v>
      </c>
      <c r="I320">
        <v>2.73</v>
      </c>
      <c r="J320" s="247" t="s">
        <v>48</v>
      </c>
    </row>
    <row r="321" spans="1:10" x14ac:dyDescent="0.25">
      <c r="A321" t="s">
        <v>171</v>
      </c>
      <c r="B321" s="245" t="s">
        <v>696</v>
      </c>
      <c r="C321" s="248" t="s">
        <v>450</v>
      </c>
      <c r="D321" s="248">
        <v>0.57999672167082694</v>
      </c>
      <c r="E321" s="248">
        <v>0.24976931949250289</v>
      </c>
      <c r="F321" s="248">
        <v>2.5694051882367949E-2</v>
      </c>
      <c r="G321" s="248">
        <v>0.13737658981299489</v>
      </c>
      <c r="H321" s="248">
        <v>0.22433188665265999</v>
      </c>
      <c r="I321">
        <v>3.18</v>
      </c>
      <c r="J321" s="247" t="s">
        <v>105</v>
      </c>
    </row>
    <row r="322" spans="1:10" x14ac:dyDescent="0.25">
      <c r="A322" s="248" t="s">
        <v>179</v>
      </c>
      <c r="B322" s="248" t="s">
        <v>34</v>
      </c>
      <c r="C322" s="248" t="s">
        <v>450</v>
      </c>
      <c r="D322" s="248">
        <v>6.7304979947679047E-2</v>
      </c>
      <c r="E322" s="248">
        <v>2.0833333333333339E-2</v>
      </c>
      <c r="F322" s="248">
        <v>0</v>
      </c>
      <c r="G322" s="248">
        <v>3.7123106012293752E-2</v>
      </c>
      <c r="H322" s="248">
        <v>9.8457156410669558E-2</v>
      </c>
      <c r="I322" s="248">
        <v>0</v>
      </c>
    </row>
    <row r="323" spans="1:10" x14ac:dyDescent="0.25">
      <c r="A323" t="s">
        <v>180</v>
      </c>
      <c r="B323" t="s">
        <v>42</v>
      </c>
      <c r="C323" s="248" t="s">
        <v>450</v>
      </c>
      <c r="D323" s="248">
        <v>0</v>
      </c>
      <c r="E323" s="248">
        <v>1.3333333333333331E-2</v>
      </c>
      <c r="F323" s="248">
        <v>7.8131585842451876E-2</v>
      </c>
      <c r="G323" s="248">
        <v>0.2608879069638913</v>
      </c>
      <c r="H323" s="248">
        <v>5.4073625082268911E-4</v>
      </c>
      <c r="I323" s="248">
        <v>3</v>
      </c>
    </row>
    <row r="324" spans="1:10" x14ac:dyDescent="0.25">
      <c r="A324" t="s">
        <v>181</v>
      </c>
      <c r="B324" t="s">
        <v>36</v>
      </c>
      <c r="C324" s="248" t="s">
        <v>450</v>
      </c>
      <c r="D324" s="248">
        <v>0</v>
      </c>
      <c r="E324" s="248">
        <v>1.3333333333333331E-2</v>
      </c>
      <c r="F324" s="248">
        <v>7.8131585842451876E-2</v>
      </c>
      <c r="G324" s="248">
        <v>0.2608879069638913</v>
      </c>
      <c r="H324" s="248">
        <v>5.4073625082268911E-4</v>
      </c>
      <c r="I324" s="248">
        <v>3</v>
      </c>
    </row>
    <row r="325" spans="1:10" x14ac:dyDescent="0.25">
      <c r="A325" t="s">
        <v>182</v>
      </c>
      <c r="B325" t="s">
        <v>105</v>
      </c>
      <c r="C325" s="248" t="s">
        <v>450</v>
      </c>
      <c r="D325" s="248">
        <v>0</v>
      </c>
      <c r="E325" s="248">
        <v>1.3333333333333331E-2</v>
      </c>
      <c r="F325" s="248">
        <v>7.8131585842451876E-2</v>
      </c>
      <c r="G325" s="248">
        <v>0.2608879069638913</v>
      </c>
      <c r="H325" s="248">
        <v>5.4073625082268911E-4</v>
      </c>
      <c r="I325" s="248">
        <v>3</v>
      </c>
    </row>
    <row r="326" spans="1:10" x14ac:dyDescent="0.25">
      <c r="A326" s="248" t="s">
        <v>183</v>
      </c>
      <c r="B326" s="248" t="s">
        <v>42</v>
      </c>
      <c r="C326" s="248" t="s">
        <v>450</v>
      </c>
      <c r="D326" s="248">
        <v>0</v>
      </c>
      <c r="E326" s="248">
        <v>3.6309221840068781E-2</v>
      </c>
      <c r="F326" s="248">
        <v>0.38728245693459468</v>
      </c>
      <c r="G326" s="248">
        <v>0.45553418414651931</v>
      </c>
      <c r="H326" s="248">
        <v>3.76594460237053E-3</v>
      </c>
      <c r="I326" s="248">
        <v>0.98</v>
      </c>
    </row>
    <row r="327" spans="1:10" x14ac:dyDescent="0.25">
      <c r="A327" s="244" t="s">
        <v>184</v>
      </c>
      <c r="B327" s="248" t="s">
        <v>42</v>
      </c>
      <c r="C327" s="248" t="s">
        <v>450</v>
      </c>
      <c r="D327" s="248">
        <v>0</v>
      </c>
      <c r="E327" s="248">
        <v>0</v>
      </c>
      <c r="F327" s="248">
        <v>6.8719491907401564E-2</v>
      </c>
      <c r="G327" s="248">
        <v>0.13972835910523251</v>
      </c>
      <c r="H327" s="248">
        <v>0</v>
      </c>
      <c r="I327" s="248">
        <v>0.98</v>
      </c>
    </row>
    <row r="328" spans="1:10" x14ac:dyDescent="0.25">
      <c r="A328" s="244" t="s">
        <v>185</v>
      </c>
      <c r="B328" s="248" t="s">
        <v>42</v>
      </c>
      <c r="C328" s="248" t="s">
        <v>450</v>
      </c>
      <c r="D328" s="248">
        <v>0</v>
      </c>
      <c r="E328" s="248">
        <v>0</v>
      </c>
      <c r="F328" s="248">
        <v>7.2062562312362036E-2</v>
      </c>
      <c r="G328" s="248">
        <v>0.14036746238821499</v>
      </c>
      <c r="H328" s="248">
        <v>0</v>
      </c>
      <c r="I328" s="248">
        <v>0.98</v>
      </c>
    </row>
    <row r="329" spans="1:10" x14ac:dyDescent="0.25">
      <c r="A329" s="248" t="s">
        <v>186</v>
      </c>
      <c r="B329" s="248" t="s">
        <v>42</v>
      </c>
      <c r="C329" s="248" t="s">
        <v>450</v>
      </c>
      <c r="D329" s="248">
        <v>0</v>
      </c>
      <c r="E329" s="248">
        <v>2.2985845129059119E-2</v>
      </c>
      <c r="F329" s="248">
        <v>0.37025782219610959</v>
      </c>
      <c r="G329" s="248">
        <v>0.28644316422220162</v>
      </c>
      <c r="H329" s="248">
        <v>0</v>
      </c>
      <c r="I329" s="248">
        <v>0.98</v>
      </c>
    </row>
    <row r="330" spans="1:10" x14ac:dyDescent="0.25">
      <c r="A330" t="s">
        <v>187</v>
      </c>
      <c r="B330" t="s">
        <v>57</v>
      </c>
      <c r="C330" s="248" t="s">
        <v>450</v>
      </c>
      <c r="D330" s="248">
        <v>0</v>
      </c>
      <c r="E330" s="248">
        <v>6.483041722745625E-2</v>
      </c>
      <c r="F330" s="248">
        <v>0.18274732739580879</v>
      </c>
      <c r="G330" s="248">
        <v>0.42103086813751539</v>
      </c>
      <c r="H330" s="248">
        <v>0</v>
      </c>
      <c r="I330" s="248">
        <v>0</v>
      </c>
    </row>
    <row r="331" spans="1:10" x14ac:dyDescent="0.25">
      <c r="A331" t="s">
        <v>188</v>
      </c>
      <c r="B331" t="s">
        <v>52</v>
      </c>
      <c r="C331" s="248" t="s">
        <v>450</v>
      </c>
      <c r="D331" s="248">
        <v>0</v>
      </c>
      <c r="E331" s="248">
        <v>6.483041722745625E-2</v>
      </c>
      <c r="F331" s="248">
        <v>0.18274732739580879</v>
      </c>
      <c r="G331" s="248">
        <v>0.42103086813751539</v>
      </c>
      <c r="H331" s="248">
        <v>0</v>
      </c>
      <c r="I331" s="248">
        <v>0</v>
      </c>
    </row>
    <row r="332" spans="1:10" x14ac:dyDescent="0.25">
      <c r="A332" s="248" t="s">
        <v>189</v>
      </c>
      <c r="B332" s="248" t="s">
        <v>57</v>
      </c>
      <c r="C332" s="248" t="s">
        <v>450</v>
      </c>
      <c r="D332" s="248">
        <v>0</v>
      </c>
      <c r="E332" s="248">
        <v>6.483041722745625E-2</v>
      </c>
      <c r="F332" s="248">
        <v>0.18274732739580879</v>
      </c>
      <c r="G332" s="248">
        <v>0.42103086813751539</v>
      </c>
      <c r="H332" s="248">
        <v>0</v>
      </c>
      <c r="I332" s="248">
        <v>0</v>
      </c>
    </row>
    <row r="333" spans="1:10" x14ac:dyDescent="0.25">
      <c r="A333" s="248" t="s">
        <v>455</v>
      </c>
      <c r="B333" s="248" t="s">
        <v>57</v>
      </c>
      <c r="C333" s="248" t="s">
        <v>450</v>
      </c>
      <c r="D333" s="248">
        <v>0</v>
      </c>
      <c r="E333" s="248">
        <v>9.8659793814432989E-2</v>
      </c>
      <c r="F333" s="248">
        <v>0.43114723696141771</v>
      </c>
      <c r="G333" s="248">
        <v>0.53576951114463867</v>
      </c>
      <c r="H333" s="248">
        <v>0</v>
      </c>
      <c r="I333" s="248">
        <v>0</v>
      </c>
    </row>
    <row r="334" spans="1:10" x14ac:dyDescent="0.25">
      <c r="A334" s="248" t="s">
        <v>191</v>
      </c>
      <c r="B334" s="248" t="s">
        <v>57</v>
      </c>
      <c r="C334" s="248" t="s">
        <v>450</v>
      </c>
      <c r="D334" s="248">
        <v>0</v>
      </c>
      <c r="E334" s="248">
        <v>2.2499999999999998E-3</v>
      </c>
      <c r="F334" s="248">
        <v>0</v>
      </c>
      <c r="G334" s="248">
        <v>8.6962635654630444E-2</v>
      </c>
      <c r="H334" s="248">
        <v>0</v>
      </c>
      <c r="I334" s="248">
        <v>0</v>
      </c>
    </row>
    <row r="335" spans="1:10" x14ac:dyDescent="0.25">
      <c r="A335" s="248" t="s">
        <v>204</v>
      </c>
      <c r="B335" s="248" t="s">
        <v>52</v>
      </c>
      <c r="C335" s="248" t="s">
        <v>450</v>
      </c>
      <c r="D335" s="248">
        <v>0</v>
      </c>
      <c r="E335" s="248">
        <v>1.2500000000000001E-2</v>
      </c>
      <c r="F335" s="248">
        <v>0</v>
      </c>
      <c r="G335" s="248">
        <v>5.3033008588991071E-2</v>
      </c>
      <c r="H335" s="248">
        <v>0</v>
      </c>
      <c r="I335" s="248">
        <v>0</v>
      </c>
    </row>
  </sheetData>
  <mergeCells count="2">
    <mergeCell ref="J1:O12"/>
    <mergeCell ref="W298:AH299"/>
  </mergeCell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AA36"/>
  <sheetViews>
    <sheetView workbookViewId="0">
      <selection activeCell="J2" sqref="J2:N2"/>
    </sheetView>
  </sheetViews>
  <sheetFormatPr defaultColWidth="8.85546875" defaultRowHeight="15" x14ac:dyDescent="0.25"/>
  <cols>
    <col min="1" max="1" width="24" style="245" customWidth="1"/>
    <col min="2" max="2" width="48.85546875" style="245" customWidth="1"/>
    <col min="9" max="9" width="13.7109375" style="245" customWidth="1"/>
    <col min="18" max="18" width="23.140625" style="245" customWidth="1"/>
  </cols>
  <sheetData>
    <row r="1" spans="1:27" s="248" customFormat="1" ht="28.5" customHeight="1" x14ac:dyDescent="0.2">
      <c r="A1" s="248" t="s">
        <v>456</v>
      </c>
    </row>
    <row r="2" spans="1:27" s="248" customFormat="1" ht="37.5" customHeight="1" x14ac:dyDescent="0.2">
      <c r="C2" s="384" t="s">
        <v>457</v>
      </c>
      <c r="D2" s="385"/>
      <c r="E2" s="385"/>
      <c r="F2" s="385"/>
      <c r="G2" s="385"/>
      <c r="H2" s="250" t="s">
        <v>458</v>
      </c>
      <c r="J2" s="386" t="s">
        <v>459</v>
      </c>
      <c r="K2" s="387"/>
      <c r="L2" s="387"/>
      <c r="M2" s="387"/>
      <c r="N2" s="387"/>
      <c r="R2" s="388" t="s">
        <v>460</v>
      </c>
      <c r="S2" s="388"/>
    </row>
    <row r="3" spans="1:27" s="248" customFormat="1" ht="25.5" customHeight="1" x14ac:dyDescent="0.2">
      <c r="A3" s="142" t="s">
        <v>461</v>
      </c>
      <c r="B3" s="241" t="s">
        <v>462</v>
      </c>
      <c r="C3" s="239" t="s">
        <v>439</v>
      </c>
      <c r="D3" s="240" t="s">
        <v>440</v>
      </c>
      <c r="E3" s="240" t="s">
        <v>441</v>
      </c>
      <c r="F3" s="240" t="s">
        <v>442</v>
      </c>
      <c r="G3" s="240" t="s">
        <v>443</v>
      </c>
      <c r="H3" s="241" t="s">
        <v>444</v>
      </c>
      <c r="I3" s="143"/>
      <c r="J3" s="239" t="s">
        <v>439</v>
      </c>
      <c r="K3" s="240" t="s">
        <v>440</v>
      </c>
      <c r="L3" s="240" t="s">
        <v>441</v>
      </c>
      <c r="M3" s="240" t="s">
        <v>442</v>
      </c>
      <c r="N3" s="240" t="s">
        <v>443</v>
      </c>
      <c r="O3" s="241" t="s">
        <v>444</v>
      </c>
      <c r="S3" s="241" t="s">
        <v>444</v>
      </c>
    </row>
    <row r="4" spans="1:27" s="248" customFormat="1" ht="18" customHeight="1" x14ac:dyDescent="0.25">
      <c r="A4" s="144" t="s">
        <v>40</v>
      </c>
      <c r="B4" t="s">
        <v>463</v>
      </c>
      <c r="C4" s="145">
        <f>IFERROR(
    SUMIFS('As-Built HV &amp; WD'!D:D, 'As-Built HV &amp; WD'!$B:$B, 'Design HV &amp; WD'!$A4, 'As-Built HV &amp; WD'!$C:$C, "Base")/COUNTIFS('As-Built HV &amp; WD'!$B:$B, 'Design HV &amp; WD'!$A4, 'As-Built HV &amp; WD'!$C:$C, "Base"),
    J4
)</f>
        <v>8.0024813895781654E-3</v>
      </c>
      <c r="D4" s="145">
        <f>IFERROR(
    SUMIFS('As-Built HV &amp; WD'!E:E, 'As-Built HV &amp; WD'!$B:$B, 'Design HV &amp; WD'!$A4, 'As-Built HV &amp; WD'!$C:$C, "Base")/COUNTIFS('As-Built HV &amp; WD'!$B:$B, 'Design HV &amp; WD'!$A4, 'As-Built HV &amp; WD'!$C:$C, "Base"),
    K4
)</f>
        <v>0.26565820885698804</v>
      </c>
      <c r="E4" s="145">
        <f>IFERROR(
    SUMIFS('As-Built HV &amp; WD'!F:F, 'As-Built HV &amp; WD'!$B:$B, 'Design HV &amp; WD'!$A4, 'As-Built HV &amp; WD'!$C:$C, "Base")/COUNTIFS('As-Built HV &amp; WD'!$B:$B, 'Design HV &amp; WD'!$A4, 'As-Built HV &amp; WD'!$C:$C, "Base"),
    L4
)</f>
        <v>0.13252149133251936</v>
      </c>
      <c r="F4" s="145">
        <f>IFERROR(
    SUMIFS('As-Built HV &amp; WD'!G:G, 'As-Built HV &amp; WD'!$B:$B, 'Design HV &amp; WD'!$A4, 'As-Built HV &amp; WD'!$C:$C, "Base")/COUNTIFS('As-Built HV &amp; WD'!$B:$B, 'Design HV &amp; WD'!$A4, 'As-Built HV &amp; WD'!$C:$C, "Base"),
    M4
)</f>
        <v>0.49457761117342164</v>
      </c>
      <c r="G4" s="145">
        <f>IFERROR(
    SUMIFS('As-Built HV &amp; WD'!H:H, 'As-Built HV &amp; WD'!$B:$B, 'Design HV &amp; WD'!$A4, 'As-Built HV &amp; WD'!$C:$C, "Base")/COUNTIFS('As-Built HV &amp; WD'!$B:$B, 'Design HV &amp; WD'!$A4, 'As-Built HV &amp; WD'!$C:$C, "Base"),
    N4
)</f>
        <v>2.1468954459637011E-3</v>
      </c>
      <c r="H4" s="214">
        <v>3.13</v>
      </c>
      <c r="I4" s="244"/>
      <c r="J4" s="145">
        <v>2.1492047987506809E-2</v>
      </c>
      <c r="K4" s="145">
        <v>0.28006650300918062</v>
      </c>
      <c r="L4" s="145">
        <v>0.1232944013853897</v>
      </c>
      <c r="M4" s="145">
        <v>0.44243223961045502</v>
      </c>
      <c r="N4" s="145">
        <v>6.8052012362149724E-3</v>
      </c>
      <c r="O4" s="146">
        <v>4.3599999999999994</v>
      </c>
      <c r="R4" s="147" t="s">
        <v>464</v>
      </c>
      <c r="S4" s="215">
        <v>2.73</v>
      </c>
      <c r="AA4" s="248" t="s">
        <v>465</v>
      </c>
    </row>
    <row r="5" spans="1:27" s="248" customFormat="1" ht="18" customHeight="1" x14ac:dyDescent="0.25">
      <c r="A5" s="144" t="s">
        <v>198</v>
      </c>
      <c r="B5" t="s">
        <v>466</v>
      </c>
      <c r="C5" s="145">
        <f>IFERROR(
    SUMIFS('As-Built HV &amp; WD'!D:D, 'As-Built HV &amp; WD'!$B:$B, 'Design HV &amp; WD'!$A5, 'As-Built HV &amp; WD'!$C:$C, "Base")/COUNTIFS('As-Built HV &amp; WD'!$B:$B, 'Design HV &amp; WD'!$A5, 'As-Built HV &amp; WD'!$C:$C, "Base"),
    J5
)</f>
        <v>0.16832772343196778</v>
      </c>
      <c r="D5" s="145">
        <f>IFERROR(
    SUMIFS('As-Built HV &amp; WD'!E:E, 'As-Built HV &amp; WD'!$B:$B, 'Design HV &amp; WD'!$A5, 'As-Built HV &amp; WD'!$C:$C, "Base")/COUNTIFS('As-Built HV &amp; WD'!$B:$B, 'Design HV &amp; WD'!$A5, 'As-Built HV &amp; WD'!$C:$C, "Base"),
    K5
)</f>
        <v>5.3258080813560274E-2</v>
      </c>
      <c r="E5" s="145">
        <f>IFERROR(
    SUMIFS('As-Built HV &amp; WD'!F:F, 'As-Built HV &amp; WD'!$B:$B, 'Design HV &amp; WD'!$A5, 'As-Built HV &amp; WD'!$C:$C, "Base")/COUNTIFS('As-Built HV &amp; WD'!$B:$B, 'Design HV &amp; WD'!$A5, 'As-Built HV &amp; WD'!$C:$C, "Base"),
    L5
)</f>
        <v>2.1259912350245453E-2</v>
      </c>
      <c r="F5" s="145">
        <f>IFERROR(
    SUMIFS('As-Built HV &amp; WD'!G:G, 'As-Built HV &amp; WD'!$B:$B, 'Design HV &amp; WD'!$A5, 'As-Built HV &amp; WD'!$C:$C, "Base")/COUNTIFS('As-Built HV &amp; WD'!$B:$B, 'Design HV &amp; WD'!$A5, 'As-Built HV &amp; WD'!$C:$C, "Base"),
    M5
)</f>
        <v>0.23564243261872514</v>
      </c>
      <c r="G5" s="145">
        <f>IFERROR(
    SUMIFS('As-Built HV &amp; WD'!H:H, 'As-Built HV &amp; WD'!$B:$B, 'Design HV &amp; WD'!$A5, 'As-Built HV &amp; WD'!$C:$C, "Base")/COUNTIFS('As-Built HV &amp; WD'!$B:$B, 'Design HV &amp; WD'!$A5, 'As-Built HV &amp; WD'!$C:$C, "Base"),
    N5
)</f>
        <v>0.36190464954547247</v>
      </c>
      <c r="H5" s="214">
        <v>1.01</v>
      </c>
      <c r="I5" s="244"/>
      <c r="J5" s="145">
        <v>0.16832772343196781</v>
      </c>
      <c r="K5" s="145">
        <v>5.3258080813560267E-2</v>
      </c>
      <c r="L5" s="145">
        <v>2.125991235024545E-2</v>
      </c>
      <c r="M5" s="145">
        <v>0.23564243261872511</v>
      </c>
      <c r="N5" s="145">
        <v>0.36190464954547252</v>
      </c>
      <c r="O5" s="146">
        <v>1.35</v>
      </c>
      <c r="R5" s="147" t="s">
        <v>467</v>
      </c>
      <c r="S5" s="215">
        <v>2.68</v>
      </c>
      <c r="AA5" s="248" t="s">
        <v>468</v>
      </c>
    </row>
    <row r="6" spans="1:27" s="248" customFormat="1" ht="18" customHeight="1" x14ac:dyDescent="0.25">
      <c r="A6" s="144" t="s">
        <v>105</v>
      </c>
      <c r="B6" t="s">
        <v>469</v>
      </c>
      <c r="C6" s="145">
        <f>IFERROR(
    SUMIFS('As-Built HV &amp; WD'!D:D, 'As-Built HV &amp; WD'!$B:$B, 'Design HV &amp; WD'!$A6, 'As-Built HV &amp; WD'!$C:$C, "Base")/COUNTIFS('As-Built HV &amp; WD'!$B:$B, 'Design HV &amp; WD'!$A6, 'As-Built HV &amp; WD'!$C:$C, "Base"),
    J6
)</f>
        <v>0</v>
      </c>
      <c r="D6" s="145">
        <f>IFERROR(
    SUMIFS('As-Built HV &amp; WD'!E:E, 'As-Built HV &amp; WD'!$B:$B, 'Design HV &amp; WD'!$A6, 'As-Built HV &amp; WD'!$C:$C, "Base")/COUNTIFS('As-Built HV &amp; WD'!$B:$B, 'Design HV &amp; WD'!$A6, 'As-Built HV &amp; WD'!$C:$C, "Base"),
    K6
)</f>
        <v>4.3718592964824117E-2</v>
      </c>
      <c r="E6" s="145">
        <f>IFERROR(
    SUMIFS('As-Built HV &amp; WD'!F:F, 'As-Built HV &amp; WD'!$B:$B, 'Design HV &amp; WD'!$A6, 'As-Built HV &amp; WD'!$C:$C, "Base")/COUNTIFS('As-Built HV &amp; WD'!$B:$B, 'Design HV &amp; WD'!$A6, 'As-Built HV &amp; WD'!$C:$C, "Base"),
    L6
)</f>
        <v>9.0954773869346736E-2</v>
      </c>
      <c r="F6" s="145">
        <f>IFERROR(
    SUMIFS('As-Built HV &amp; WD'!G:G, 'As-Built HV &amp; WD'!$B:$B, 'Design HV &amp; WD'!$A6, 'As-Built HV &amp; WD'!$C:$C, "Base")/COUNTIFS('As-Built HV &amp; WD'!$B:$B, 'Design HV &amp; WD'!$A6, 'As-Built HV &amp; WD'!$C:$C, "Base"),
    M6
)</f>
        <v>0.29798994974874371</v>
      </c>
      <c r="G6" s="145">
        <f>IFERROR(
    SUMIFS('As-Built HV &amp; WD'!H:H, 'As-Built HV &amp; WD'!$B:$B, 'Design HV &amp; WD'!$A6, 'As-Built HV &amp; WD'!$C:$C, "Base")/COUNTIFS('As-Built HV &amp; WD'!$B:$B, 'Design HV &amp; WD'!$A6, 'As-Built HV &amp; WD'!$C:$C, "Base"),
    N6
)</f>
        <v>0</v>
      </c>
      <c r="H6" s="214">
        <v>3.18</v>
      </c>
      <c r="I6" s="244"/>
      <c r="J6" s="145">
        <v>1.9221628045157459E-2</v>
      </c>
      <c r="K6" s="145">
        <v>2.2221753801843089E-2</v>
      </c>
      <c r="L6" s="145">
        <v>3.0318257956448911E-2</v>
      </c>
      <c r="M6" s="145">
        <v>0.1246972233647428</v>
      </c>
      <c r="N6" s="145">
        <v>1.7646020822304571E-4</v>
      </c>
      <c r="O6" s="146">
        <v>1.49</v>
      </c>
      <c r="R6" s="147" t="s">
        <v>470</v>
      </c>
      <c r="S6" s="215">
        <v>1.01</v>
      </c>
    </row>
    <row r="7" spans="1:27" s="248" customFormat="1" ht="18" customHeight="1" x14ac:dyDescent="0.25">
      <c r="A7" s="144" t="s">
        <v>31</v>
      </c>
      <c r="B7" t="s">
        <v>471</v>
      </c>
      <c r="C7" s="145">
        <f>IFERROR(
    SUMIFS('As-Built HV &amp; WD'!D:D, 'As-Built HV &amp; WD'!$B:$B, 'Design HV &amp; WD'!$A7, 'As-Built HV &amp; WD'!$C:$C, "Base")/COUNTIFS('As-Built HV &amp; WD'!$B:$B, 'Design HV &amp; WD'!$A7, 'As-Built HV &amp; WD'!$C:$C, "Base"),
    J7
)</f>
        <v>0.20115510858364186</v>
      </c>
      <c r="D7" s="145">
        <f>IFERROR(
    SUMIFS('As-Built HV &amp; WD'!E:E, 'As-Built HV &amp; WD'!$B:$B, 'Design HV &amp; WD'!$A7, 'As-Built HV &amp; WD'!$C:$C, "Base")/COUNTIFS('As-Built HV &amp; WD'!$B:$B, 'Design HV &amp; WD'!$A7, 'As-Built HV &amp; WD'!$C:$C, "Base"),
    K7
)</f>
        <v>5.9680928208846989E-2</v>
      </c>
      <c r="E7" s="145">
        <f>IFERROR(
    SUMIFS('As-Built HV &amp; WD'!F:F, 'As-Built HV &amp; WD'!$B:$B, 'Design HV &amp; WD'!$A7, 'As-Built HV &amp; WD'!$C:$C, "Base")/COUNTIFS('As-Built HV &amp; WD'!$B:$B, 'Design HV &amp; WD'!$A7, 'As-Built HV &amp; WD'!$C:$C, "Base"),
    L7
)</f>
        <v>0</v>
      </c>
      <c r="F7" s="145">
        <f>IFERROR(
    SUMIFS('As-Built HV &amp; WD'!G:G, 'As-Built HV &amp; WD'!$B:$B, 'Design HV &amp; WD'!$A7, 'As-Built HV &amp; WD'!$C:$C, "Base")/COUNTIFS('As-Built HV &amp; WD'!$B:$B, 'Design HV &amp; WD'!$A7, 'As-Built HV &amp; WD'!$C:$C, "Base"),
    M7
)</f>
        <v>6.1309682836532958E-2</v>
      </c>
      <c r="G7" s="145">
        <f>IFERROR(
    SUMIFS('As-Built HV &amp; WD'!H:H, 'As-Built HV &amp; WD'!$B:$B, 'Design HV &amp; WD'!$A7, 'As-Built HV &amp; WD'!$C:$C, "Base")/COUNTIFS('As-Built HV &amp; WD'!$B:$B, 'Design HV &amp; WD'!$A7, 'As-Built HV &amp; WD'!$C:$C, "Base"),
    N7
)</f>
        <v>2.0247318804625775E-3</v>
      </c>
      <c r="H7" s="146">
        <v>0.72</v>
      </c>
      <c r="I7" s="244"/>
      <c r="J7" s="145">
        <v>0.2011551085836418</v>
      </c>
      <c r="K7" s="145">
        <v>5.9680928208846989E-2</v>
      </c>
      <c r="L7" s="145">
        <v>0</v>
      </c>
      <c r="M7" s="145">
        <v>6.1309682836532958E-2</v>
      </c>
      <c r="N7" s="145">
        <v>2.0247318804625779E-3</v>
      </c>
      <c r="O7" s="146">
        <v>0.72</v>
      </c>
      <c r="R7" s="147" t="s">
        <v>472</v>
      </c>
      <c r="S7" s="215">
        <v>2.65</v>
      </c>
      <c r="T7" s="248" t="s">
        <v>473</v>
      </c>
    </row>
    <row r="8" spans="1:27" s="248" customFormat="1" ht="18" customHeight="1" x14ac:dyDescent="0.25">
      <c r="A8" s="144" t="s">
        <v>48</v>
      </c>
      <c r="B8" t="s">
        <v>464</v>
      </c>
      <c r="C8" s="145">
        <f>IFERROR(
    SUMIFS('As-Built HV &amp; WD'!D:D, 'As-Built HV &amp; WD'!$B:$B, 'Design HV &amp; WD'!$A8, 'As-Built HV &amp; WD'!$C:$C, "Base")/COUNTIFS('As-Built HV &amp; WD'!$B:$B, 'Design HV &amp; WD'!$A8, 'As-Built HV &amp; WD'!$C:$C, "Base"),
    J8
)</f>
        <v>6.3779181943183202E-2</v>
      </c>
      <c r="D8" s="145">
        <f>IFERROR(
    SUMIFS('As-Built HV &amp; WD'!E:E, 'As-Built HV &amp; WD'!$B:$B, 'Design HV &amp; WD'!$A8, 'As-Built HV &amp; WD'!$C:$C, "Base")/COUNTIFS('As-Built HV &amp; WD'!$B:$B, 'Design HV &amp; WD'!$A8, 'As-Built HV &amp; WD'!$C:$C, "Base"),
    K8
)</f>
        <v>0.1884282301442147</v>
      </c>
      <c r="E8" s="145">
        <f>IFERROR(
    SUMIFS('As-Built HV &amp; WD'!F:F, 'As-Built HV &amp; WD'!$B:$B, 'Design HV &amp; WD'!$A8, 'As-Built HV &amp; WD'!$C:$C, "Base")/COUNTIFS('As-Built HV &amp; WD'!$B:$B, 'Design HV &amp; WD'!$A8, 'As-Built HV &amp; WD'!$C:$C, "Base"),
    L8
)</f>
        <v>0.19679151363064876</v>
      </c>
      <c r="F8" s="145">
        <f>IFERROR(
    SUMIFS('As-Built HV &amp; WD'!G:G, 'As-Built HV &amp; WD'!$B:$B, 'Design HV &amp; WD'!$A8, 'As-Built HV &amp; WD'!$C:$C, "Base")/COUNTIFS('As-Built HV &amp; WD'!$B:$B, 'Design HV &amp; WD'!$A8, 'As-Built HV &amp; WD'!$C:$C, "Base"),
    M8
)</f>
        <v>0.39948111389312291</v>
      </c>
      <c r="G8" s="145">
        <f>IFERROR(
    SUMIFS('As-Built HV &amp; WD'!H:H, 'As-Built HV &amp; WD'!$B:$B, 'Design HV &amp; WD'!$A8, 'As-Built HV &amp; WD'!$C:$C, "Base")/COUNTIFS('As-Built HV &amp; WD'!$B:$B, 'Design HV &amp; WD'!$A8, 'As-Built HV &amp; WD'!$C:$C, "Base"),
    N8
)</f>
        <v>3.7843905482494278E-2</v>
      </c>
      <c r="H8" s="214">
        <v>2.73</v>
      </c>
      <c r="I8" s="244"/>
      <c r="J8" s="145">
        <v>2.4812420178799491E-2</v>
      </c>
      <c r="K8" s="145">
        <v>0.18416325299178959</v>
      </c>
      <c r="L8" s="145">
        <v>0.23831196877328031</v>
      </c>
      <c r="M8" s="145">
        <v>0.43011898699446188</v>
      </c>
      <c r="N8" s="145">
        <v>8.6280155772984462E-3</v>
      </c>
      <c r="O8" s="146">
        <v>3.51</v>
      </c>
      <c r="R8" s="147" t="s">
        <v>474</v>
      </c>
      <c r="S8" s="215">
        <v>3.13</v>
      </c>
      <c r="T8" s="248" t="s">
        <v>475</v>
      </c>
    </row>
    <row r="9" spans="1:27" s="248" customFormat="1" ht="18" customHeight="1" x14ac:dyDescent="0.25">
      <c r="A9" s="144" t="s">
        <v>42</v>
      </c>
      <c r="B9" t="s">
        <v>476</v>
      </c>
      <c r="C9" s="145">
        <f>IFERROR(
    SUMIFS('As-Built HV &amp; WD'!D:D, 'As-Built HV &amp; WD'!$B:$B, 'Design HV &amp; WD'!$A9, 'As-Built HV &amp; WD'!$C:$C, "Base")/COUNTIFS('As-Built HV &amp; WD'!$B:$B, 'Design HV &amp; WD'!$A9, 'As-Built HV &amp; WD'!$C:$C, "Base"),
    J9
)</f>
        <v>0</v>
      </c>
      <c r="D9" s="145">
        <f>IFERROR(
    SUMIFS('As-Built HV &amp; WD'!E:E, 'As-Built HV &amp; WD'!$B:$B, 'Design HV &amp; WD'!$A9, 'As-Built HV &amp; WD'!$C:$C, "Base")/COUNTIFS('As-Built HV &amp; WD'!$B:$B, 'Design HV &amp; WD'!$A9, 'As-Built HV &amp; WD'!$C:$C, "Base"),
    K9
)</f>
        <v>4.1542500000000003E-2</v>
      </c>
      <c r="E9" s="145">
        <f>IFERROR(
    SUMIFS('As-Built HV &amp; WD'!F:F, 'As-Built HV &amp; WD'!$B:$B, 'Design HV &amp; WD'!$A9, 'As-Built HV &amp; WD'!$C:$C, "Base")/COUNTIFS('As-Built HV &amp; WD'!$B:$B, 'Design HV &amp; WD'!$A9, 'As-Built HV &amp; WD'!$C:$C, "Base"),
    L9
)</f>
        <v>0.12905957731130199</v>
      </c>
      <c r="F9" s="145">
        <f>IFERROR(
    SUMIFS('As-Built HV &amp; WD'!G:G, 'As-Built HV &amp; WD'!$B:$B, 'Design HV &amp; WD'!$A9, 'As-Built HV &amp; WD'!$C:$C, "Base")/COUNTIFS('As-Built HV &amp; WD'!$B:$B, 'Design HV &amp; WD'!$A9, 'As-Built HV &amp; WD'!$C:$C, "Base"),
    M9
)</f>
        <v>0.30120590963658073</v>
      </c>
      <c r="G9" s="145">
        <f>IFERROR(
    SUMIFS('As-Built HV &amp; WD'!H:H, 'As-Built HV &amp; WD'!$B:$B, 'Design HV &amp; WD'!$A9, 'As-Built HV &amp; WD'!$C:$C, "Base")/COUNTIFS('As-Built HV &amp; WD'!$B:$B, 'Design HV &amp; WD'!$A9, 'As-Built HV &amp; WD'!$C:$C, "Base"),
    N9
)</f>
        <v>0</v>
      </c>
      <c r="H9" s="146">
        <v>0.98</v>
      </c>
      <c r="I9" s="244"/>
      <c r="J9" s="149">
        <v>0</v>
      </c>
      <c r="K9" s="149">
        <v>4.1542500000000003E-2</v>
      </c>
      <c r="L9" s="149">
        <v>0.12905957731130199</v>
      </c>
      <c r="M9" s="149">
        <v>0.30120590963658073</v>
      </c>
      <c r="N9" s="149">
        <v>0</v>
      </c>
      <c r="O9" s="146">
        <v>0.98</v>
      </c>
      <c r="R9" s="147" t="s">
        <v>477</v>
      </c>
      <c r="S9" s="215">
        <v>3.86</v>
      </c>
    </row>
    <row r="10" spans="1:27" s="248" customFormat="1" ht="18" customHeight="1" x14ac:dyDescent="0.25">
      <c r="A10" s="144" t="s">
        <v>100</v>
      </c>
      <c r="B10" t="s">
        <v>478</v>
      </c>
      <c r="C10" s="145">
        <f>IFERROR(
    SUMIFS('As-Built HV &amp; WD'!D:D, 'As-Built HV &amp; WD'!$B:$B, 'Design HV &amp; WD'!$A10, 'As-Built HV &amp; WD'!$C:$C, "Base")/COUNTIFS('As-Built HV &amp; WD'!$B:$B, 'Design HV &amp; WD'!$A10, 'As-Built HV &amp; WD'!$C:$C, "Base"),
    J10
)</f>
        <v>0</v>
      </c>
      <c r="D10" s="145">
        <f>IFERROR(
    SUMIFS('As-Built HV &amp; WD'!E:E, 'As-Built HV &amp; WD'!$B:$B, 'Design HV &amp; WD'!$A10, 'As-Built HV &amp; WD'!$C:$C, "Base")/COUNTIFS('As-Built HV &amp; WD'!$B:$B, 'Design HV &amp; WD'!$A10, 'As-Built HV &amp; WD'!$C:$C, "Base"),
    K10
)</f>
        <v>4.7750000000000001E-2</v>
      </c>
      <c r="E10" s="145">
        <f>IFERROR(
    SUMIFS('As-Built HV &amp; WD'!F:F, 'As-Built HV &amp; WD'!$B:$B, 'Design HV &amp; WD'!$A10, 'As-Built HV &amp; WD'!$C:$C, "Base")/COUNTIFS('As-Built HV &amp; WD'!$B:$B, 'Design HV &amp; WD'!$A10, 'As-Built HV &amp; WD'!$C:$C, "Base"),
    L10
)</f>
        <v>0.23384066538248741</v>
      </c>
      <c r="F10" s="145">
        <f>IFERROR(
    SUMIFS('As-Built HV &amp; WD'!G:G, 'As-Built HV &amp; WD'!$B:$B, 'Design HV &amp; WD'!$A10, 'As-Built HV &amp; WD'!$C:$C, "Base")/COUNTIFS('As-Built HV &amp; WD'!$B:$B, 'Design HV &amp; WD'!$A10, 'As-Built HV &amp; WD'!$C:$C, "Base"),
    M10
)</f>
        <v>0.33139855159611059</v>
      </c>
      <c r="G10" s="145">
        <f>IFERROR(
    SUMIFS('As-Built HV &amp; WD'!H:H, 'As-Built HV &amp; WD'!$B:$B, 'Design HV &amp; WD'!$A10, 'As-Built HV &amp; WD'!$C:$C, "Base")/COUNTIFS('As-Built HV &amp; WD'!$B:$B, 'Design HV &amp; WD'!$A10, 'As-Built HV &amp; WD'!$C:$C, "Base"),
    N10
)</f>
        <v>0</v>
      </c>
      <c r="H10" s="146">
        <v>1.51</v>
      </c>
      <c r="I10" s="244"/>
      <c r="J10" s="149">
        <v>0</v>
      </c>
      <c r="K10" s="149">
        <v>4.7750000000000001E-2</v>
      </c>
      <c r="L10" s="149">
        <v>0.23384066538248741</v>
      </c>
      <c r="M10" s="149">
        <v>0.33139855159611059</v>
      </c>
      <c r="N10" s="149">
        <v>0</v>
      </c>
      <c r="O10" s="146">
        <v>1.51</v>
      </c>
      <c r="R10" s="147" t="s">
        <v>479</v>
      </c>
      <c r="S10" s="215">
        <v>5.38</v>
      </c>
      <c r="T10" s="248" t="s">
        <v>480</v>
      </c>
    </row>
    <row r="11" spans="1:27" s="248" customFormat="1" ht="18" customHeight="1" x14ac:dyDescent="0.25">
      <c r="A11" s="144" t="s">
        <v>41</v>
      </c>
      <c r="B11" t="s">
        <v>481</v>
      </c>
      <c r="C11" s="145">
        <f>IFERROR(
    SUMIFS('As-Built HV &amp; WD'!D:D, 'As-Built HV &amp; WD'!$B:$B, 'Design HV &amp; WD'!$A11, 'As-Built HV &amp; WD'!$C:$C, "Base")/COUNTIFS('As-Built HV &amp; WD'!$B:$B, 'Design HV &amp; WD'!$A11, 'As-Built HV &amp; WD'!$C:$C, "Base"),
    J11
)</f>
        <v>0</v>
      </c>
      <c r="D11" s="145">
        <f>IFERROR(
    SUMIFS('As-Built HV &amp; WD'!E:E, 'As-Built HV &amp; WD'!$B:$B, 'Design HV &amp; WD'!$A11, 'As-Built HV &amp; WD'!$C:$C, "Base")/COUNTIFS('As-Built HV &amp; WD'!$B:$B, 'Design HV &amp; WD'!$A11, 'As-Built HV &amp; WD'!$C:$C, "Base"),
    K11
)</f>
        <v>4.1542500000000003E-2</v>
      </c>
      <c r="E11" s="145">
        <f>IFERROR(
    SUMIFS('As-Built HV &amp; WD'!F:F, 'As-Built HV &amp; WD'!$B:$B, 'Design HV &amp; WD'!$A11, 'As-Built HV &amp; WD'!$C:$C, "Base")/COUNTIFS('As-Built HV &amp; WD'!$B:$B, 'Design HV &amp; WD'!$A11, 'As-Built HV &amp; WD'!$C:$C, "Base"),
    L11
)</f>
        <v>0.12905957731130199</v>
      </c>
      <c r="F11" s="145">
        <f>IFERROR(
    SUMIFS('As-Built HV &amp; WD'!G:G, 'As-Built HV &amp; WD'!$B:$B, 'Design HV &amp; WD'!$A11, 'As-Built HV &amp; WD'!$C:$C, "Base")/COUNTIFS('As-Built HV &amp; WD'!$B:$B, 'Design HV &amp; WD'!$A11, 'As-Built HV &amp; WD'!$C:$C, "Base"),
    M11
)</f>
        <v>0.30120590963658073</v>
      </c>
      <c r="G11" s="145">
        <f>IFERROR(
    SUMIFS('As-Built HV &amp; WD'!H:H, 'As-Built HV &amp; WD'!$B:$B, 'Design HV &amp; WD'!$A11, 'As-Built HV &amp; WD'!$C:$C, "Base")/COUNTIFS('As-Built HV &amp; WD'!$B:$B, 'Design HV &amp; WD'!$A11, 'As-Built HV &amp; WD'!$C:$C, "Base"),
    N11
)</f>
        <v>0</v>
      </c>
      <c r="H11" s="146">
        <v>1.07</v>
      </c>
      <c r="I11" s="244"/>
      <c r="J11" s="149">
        <v>0</v>
      </c>
      <c r="K11" s="149">
        <v>4.1542500000000003E-2</v>
      </c>
      <c r="L11" s="149">
        <v>0.12905957731130199</v>
      </c>
      <c r="M11" s="149">
        <v>0.30120590963658073</v>
      </c>
      <c r="N11" s="149">
        <v>0</v>
      </c>
      <c r="O11" s="146">
        <v>1.07</v>
      </c>
    </row>
    <row r="12" spans="1:27" s="248" customFormat="1" ht="18" customHeight="1" x14ac:dyDescent="0.25">
      <c r="A12" s="144" t="s">
        <v>1</v>
      </c>
      <c r="B12" t="s">
        <v>482</v>
      </c>
      <c r="C12" s="145">
        <f>IFERROR(
    SUMIFS('As-Built HV &amp; WD'!D:D, 'As-Built HV &amp; WD'!$B:$B, 'Design HV &amp; WD'!$A12, 'As-Built HV &amp; WD'!$C:$C, "Base")/COUNTIFS('As-Built HV &amp; WD'!$B:$B, 'Design HV &amp; WD'!$A12, 'As-Built HV &amp; WD'!$C:$C, "Base"),
    J12
)</f>
        <v>0.53250740216149872</v>
      </c>
      <c r="D12" s="145">
        <f>IFERROR(
    SUMIFS('As-Built HV &amp; WD'!E:E, 'As-Built HV &amp; WD'!$B:$B, 'Design HV &amp; WD'!$A12, 'As-Built HV &amp; WD'!$C:$C, "Base")/COUNTIFS('As-Built HV &amp; WD'!$B:$B, 'Design HV &amp; WD'!$A12, 'As-Built HV &amp; WD'!$C:$C, "Base"),
    K12
)</f>
        <v>0.61029166666666668</v>
      </c>
      <c r="E12" s="145">
        <f>IFERROR(
    SUMIFS('As-Built HV &amp; WD'!F:F, 'As-Built HV &amp; WD'!$B:$B, 'Design HV &amp; WD'!$A12, 'As-Built HV &amp; WD'!$C:$C, "Base")/COUNTIFS('As-Built HV &amp; WD'!$B:$B, 'Design HV &amp; WD'!$A12, 'As-Built HV &amp; WD'!$C:$C, "Base"),
    L12
)</f>
        <v>0.115200970011628</v>
      </c>
      <c r="F12" s="145">
        <f>IFERROR(
    SUMIFS('As-Built HV &amp; WD'!G:G, 'As-Built HV &amp; WD'!$B:$B, 'Design HV &amp; WD'!$A12, 'As-Built HV &amp; WD'!$C:$C, "Base")/COUNTIFS('As-Built HV &amp; WD'!$B:$B, 'Design HV &amp; WD'!$A12, 'As-Built HV &amp; WD'!$C:$C, "Base"),
    M12
)</f>
        <v>0.47706131681367753</v>
      </c>
      <c r="G12" s="145">
        <f>IFERROR(
    SUMIFS('As-Built HV &amp; WD'!H:H, 'As-Built HV &amp; WD'!$B:$B, 'Design HV &amp; WD'!$A12, 'As-Built HV &amp; WD'!$C:$C, "Base")/COUNTIFS('As-Built HV &amp; WD'!$B:$B, 'Design HV &amp; WD'!$A12, 'As-Built HV &amp; WD'!$C:$C, "Base"),
    N12
)</f>
        <v>0</v>
      </c>
      <c r="H12" s="215">
        <v>3.86</v>
      </c>
      <c r="I12" s="244"/>
      <c r="J12" s="150">
        <v>0.53250740216149872</v>
      </c>
      <c r="K12" s="150">
        <v>0.61029166666666668</v>
      </c>
      <c r="L12" s="150">
        <v>0.115200970011628</v>
      </c>
      <c r="M12" s="150">
        <v>0.47706131681367753</v>
      </c>
      <c r="N12" s="150">
        <v>0</v>
      </c>
      <c r="O12" s="146">
        <v>4.0999999999999996</v>
      </c>
    </row>
    <row r="13" spans="1:27" s="248" customFormat="1" ht="18" customHeight="1" x14ac:dyDescent="0.25">
      <c r="A13" s="144" t="s">
        <v>2</v>
      </c>
      <c r="B13" t="s">
        <v>483</v>
      </c>
      <c r="C13" s="145">
        <f>IFERROR(
    SUMIFS('As-Built HV &amp; WD'!D:D, 'As-Built HV &amp; WD'!$B:$B, 'Design HV &amp; WD'!$A13, 'As-Built HV &amp; WD'!$C:$C, "Base")/COUNTIFS('As-Built HV &amp; WD'!$B:$B, 'Design HV &amp; WD'!$A13, 'As-Built HV &amp; WD'!$C:$C, "Base"),
    J13
)</f>
        <v>0</v>
      </c>
      <c r="D13" s="145">
        <f>IFERROR(
    SUMIFS('As-Built HV &amp; WD'!E:E, 'As-Built HV &amp; WD'!$B:$B, 'Design HV &amp; WD'!$A13, 'As-Built HV &amp; WD'!$C:$C, "Base")/COUNTIFS('As-Built HV &amp; WD'!$B:$B, 'Design HV &amp; WD'!$A13, 'As-Built HV &amp; WD'!$C:$C, "Base"),
    K13
)</f>
        <v>0.75500000000000012</v>
      </c>
      <c r="E13" s="145">
        <f>IFERROR(
    SUMIFS('As-Built HV &amp; WD'!F:F, 'As-Built HV &amp; WD'!$B:$B, 'Design HV &amp; WD'!$A13, 'As-Built HV &amp; WD'!$C:$C, "Base")/COUNTIFS('As-Built HV &amp; WD'!$B:$B, 'Design HV &amp; WD'!$A13, 'As-Built HV &amp; WD'!$C:$C, "Base"),
    L13
)</f>
        <v>0.1451441270859582</v>
      </c>
      <c r="F13" s="145">
        <f>IFERROR(
    SUMIFS('As-Built HV &amp; WD'!G:G, 'As-Built HV &amp; WD'!$B:$B, 'Design HV &amp; WD'!$A13, 'As-Built HV &amp; WD'!$C:$C, "Base")/COUNTIFS('As-Built HV &amp; WD'!$B:$B, 'Design HV &amp; WD'!$A13, 'As-Built HV &amp; WD'!$C:$C, "Base"),
    M13
)</f>
        <v>0.57019733426244634</v>
      </c>
      <c r="G13" s="145">
        <f>IFERROR(
    SUMIFS('As-Built HV &amp; WD'!H:H, 'As-Built HV &amp; WD'!$B:$B, 'Design HV &amp; WD'!$A13, 'As-Built HV &amp; WD'!$C:$C, "Base")/COUNTIFS('As-Built HV &amp; WD'!$B:$B, 'Design HV &amp; WD'!$A13, 'As-Built HV &amp; WD'!$C:$C, "Base"),
    N13
)</f>
        <v>0</v>
      </c>
      <c r="H13" s="215">
        <v>3.86</v>
      </c>
      <c r="I13" s="244"/>
      <c r="J13" s="150">
        <v>0</v>
      </c>
      <c r="K13" s="150">
        <v>0.75500000000000012</v>
      </c>
      <c r="L13" s="150">
        <v>0.1451441270859582</v>
      </c>
      <c r="M13" s="150">
        <v>0.57019733426244634</v>
      </c>
      <c r="N13" s="150">
        <v>0</v>
      </c>
      <c r="O13" s="146">
        <v>4.7099999999999991</v>
      </c>
    </row>
    <row r="14" spans="1:27" s="248" customFormat="1" ht="18" customHeight="1" x14ac:dyDescent="0.25">
      <c r="A14" s="144" t="s">
        <v>484</v>
      </c>
      <c r="B14" t="s">
        <v>485</v>
      </c>
      <c r="C14" s="145">
        <f>IFERROR(
    SUMIFS('As-Built HV &amp; WD'!D:D, 'As-Built HV &amp; WD'!$B:$B, 'Design HV &amp; WD'!$A14, 'As-Built HV &amp; WD'!$C:$C, "Base")/COUNTIFS('As-Built HV &amp; WD'!$B:$B, 'Design HV &amp; WD'!$A14, 'As-Built HV &amp; WD'!$C:$C, "Base"),
    J14
)</f>
        <v>0</v>
      </c>
      <c r="D14" s="145">
        <f>IFERROR(
    SUMIFS('As-Built HV &amp; WD'!E:E, 'As-Built HV &amp; WD'!$B:$B, 'Design HV &amp; WD'!$A14, 'As-Built HV &amp; WD'!$C:$C, "Base")/COUNTIFS('As-Built HV &amp; WD'!$B:$B, 'Design HV &amp; WD'!$A14, 'As-Built HV &amp; WD'!$C:$C, "Base"),
    K14
)</f>
        <v>0.27</v>
      </c>
      <c r="E14" s="145">
        <f>IFERROR(
    SUMIFS('As-Built HV &amp; WD'!F:F, 'As-Built HV &amp; WD'!$B:$B, 'Design HV &amp; WD'!$A14, 'As-Built HV &amp; WD'!$C:$C, "Base")/COUNTIFS('As-Built HV &amp; WD'!$B:$B, 'Design HV &amp; WD'!$A14, 'As-Built HV &amp; WD'!$C:$C, "Base"),
    L14
)</f>
        <v>0.53908469164528727</v>
      </c>
      <c r="F14" s="145">
        <f>IFERROR(
    SUMIFS('As-Built HV &amp; WD'!G:G, 'As-Built HV &amp; WD'!$B:$B, 'Design HV &amp; WD'!$A14, 'As-Built HV &amp; WD'!$C:$C, "Base")/COUNTIFS('As-Built HV &amp; WD'!$B:$B, 'Design HV &amp; WD'!$A14, 'As-Built HV &amp; WD'!$C:$C, "Base"),
    M14
)</f>
        <v>0.56124860801609122</v>
      </c>
      <c r="G14" s="145">
        <f>IFERROR(
    SUMIFS('As-Built HV &amp; WD'!H:H, 'As-Built HV &amp; WD'!$B:$B, 'Design HV &amp; WD'!$A14, 'As-Built HV &amp; WD'!$C:$C, "Base")/COUNTIFS('As-Built HV &amp; WD'!$B:$B, 'Design HV &amp; WD'!$A14, 'As-Built HV &amp; WD'!$C:$C, "Base"),
    N14
)</f>
        <v>0</v>
      </c>
      <c r="H14" s="215">
        <v>3.86</v>
      </c>
      <c r="I14" s="244"/>
      <c r="J14" s="150">
        <v>0</v>
      </c>
      <c r="K14" s="150">
        <v>0.27</v>
      </c>
      <c r="L14" s="150">
        <v>0.53908469164528727</v>
      </c>
      <c r="M14" s="150">
        <v>0.56124860801609122</v>
      </c>
      <c r="N14" s="150">
        <v>0</v>
      </c>
      <c r="O14" s="146">
        <v>3.46</v>
      </c>
    </row>
    <row r="15" spans="1:27" s="248" customFormat="1" ht="18" customHeight="1" x14ac:dyDescent="0.25">
      <c r="A15" s="144" t="s">
        <v>486</v>
      </c>
      <c r="B15" t="s">
        <v>487</v>
      </c>
      <c r="C15" s="145">
        <f>IFERROR(
    SUMIFS('As-Built HV &amp; WD'!D:D, 'As-Built HV &amp; WD'!$B:$B, 'Design HV &amp; WD'!$A15, 'As-Built HV &amp; WD'!$C:$C, "Base")/COUNTIFS('As-Built HV &amp; WD'!$B:$B, 'Design HV &amp; WD'!$A15, 'As-Built HV &amp; WD'!$C:$C, "Base"),
    J15
)</f>
        <v>0</v>
      </c>
      <c r="D15" s="145">
        <f>IFERROR(
    SUMIFS('As-Built HV &amp; WD'!E:E, 'As-Built HV &amp; WD'!$B:$B, 'Design HV &amp; WD'!$A15, 'As-Built HV &amp; WD'!$C:$C, "Base")/COUNTIFS('As-Built HV &amp; WD'!$B:$B, 'Design HV &amp; WD'!$A15, 'As-Built HV &amp; WD'!$C:$C, "Base"),
    K15
)</f>
        <v>7.7354999999999993E-2</v>
      </c>
      <c r="E15" s="145">
        <f>IFERROR(
    SUMIFS('As-Built HV &amp; WD'!F:F, 'As-Built HV &amp; WD'!$B:$B, 'Design HV &amp; WD'!$A15, 'As-Built HV &amp; WD'!$C:$C, "Base")/COUNTIFS('As-Built HV &amp; WD'!$B:$B, 'Design HV &amp; WD'!$A15, 'As-Built HV &amp; WD'!$C:$C, "Base"),
    L15
)</f>
        <v>0.52288362369902364</v>
      </c>
      <c r="F15" s="145">
        <f>IFERROR(
    SUMIFS('As-Built HV &amp; WD'!G:G, 'As-Built HV &amp; WD'!$B:$B, 'Design HV &amp; WD'!$A15, 'As-Built HV &amp; WD'!$C:$C, "Base")/COUNTIFS('As-Built HV &amp; WD'!$B:$B, 'Design HV &amp; WD'!$A15, 'As-Built HV &amp; WD'!$C:$C, "Base"),
    M15
)</f>
        <v>0.54847515896346666</v>
      </c>
      <c r="G15" s="145">
        <f>IFERROR(
    SUMIFS('As-Built HV &amp; WD'!H:H, 'As-Built HV &amp; WD'!$B:$B, 'Design HV &amp; WD'!$A15, 'As-Built HV &amp; WD'!$C:$C, "Base")/COUNTIFS('As-Built HV &amp; WD'!$B:$B, 'Design HV &amp; WD'!$A15, 'As-Built HV &amp; WD'!$C:$C, "Base"),
    N15
)</f>
        <v>0</v>
      </c>
      <c r="H15" s="215">
        <v>3.86</v>
      </c>
      <c r="I15" s="244"/>
      <c r="J15" s="150">
        <v>0</v>
      </c>
      <c r="K15" s="150">
        <v>7.7354999999999993E-2</v>
      </c>
      <c r="L15" s="150">
        <v>0.52288362369902364</v>
      </c>
      <c r="M15" s="150">
        <v>0.54847515896346666</v>
      </c>
      <c r="N15" s="150">
        <v>0</v>
      </c>
      <c r="O15" s="146">
        <v>3.46</v>
      </c>
    </row>
    <row r="16" spans="1:27" s="248" customFormat="1" ht="18" customHeight="1" x14ac:dyDescent="0.25">
      <c r="A16" s="144" t="s">
        <v>4</v>
      </c>
      <c r="B16" t="s">
        <v>488</v>
      </c>
      <c r="C16" s="145">
        <f>IFERROR(
    SUMIFS('As-Built HV &amp; WD'!D:D, 'As-Built HV &amp; WD'!$B:$B, 'Design HV &amp; WD'!$A16, 'As-Built HV &amp; WD'!$C:$C, "Base")/COUNTIFS('As-Built HV &amp; WD'!$B:$B, 'Design HV &amp; WD'!$A16, 'As-Built HV &amp; WD'!$C:$C, "Base"),
    J16
)</f>
        <v>0</v>
      </c>
      <c r="D16" s="145">
        <f>IFERROR(
    SUMIFS('As-Built HV &amp; WD'!E:E, 'As-Built HV &amp; WD'!$B:$B, 'Design HV &amp; WD'!$A16, 'As-Built HV &amp; WD'!$C:$C, "Base")/COUNTIFS('As-Built HV &amp; WD'!$B:$B, 'Design HV &amp; WD'!$A16, 'As-Built HV &amp; WD'!$C:$C, "Base"),
    K16
)</f>
        <v>0.35249999999999998</v>
      </c>
      <c r="E16" s="145">
        <f>IFERROR(
    SUMIFS('As-Built HV &amp; WD'!F:F, 'As-Built HV &amp; WD'!$B:$B, 'Design HV &amp; WD'!$A16, 'As-Built HV &amp; WD'!$C:$C, "Base")/COUNTIFS('As-Built HV &amp; WD'!$B:$B, 'Design HV &amp; WD'!$A16, 'As-Built HV &amp; WD'!$C:$C, "Base"),
    L16
)</f>
        <v>0.39216642887819259</v>
      </c>
      <c r="F16" s="145">
        <f>IFERROR(
    SUMIFS('As-Built HV &amp; WD'!G:G, 'As-Built HV &amp; WD'!$B:$B, 'Design HV &amp; WD'!$A16, 'As-Built HV &amp; WD'!$C:$C, "Base")/COUNTIFS('As-Built HV &amp; WD'!$B:$B, 'Design HV &amp; WD'!$A16, 'As-Built HV &amp; WD'!$C:$C, "Base"),
    M16
)</f>
        <v>0.89442719099991586</v>
      </c>
      <c r="G16" s="145">
        <f>IFERROR(
    SUMIFS('As-Built HV &amp; WD'!H:H, 'As-Built HV &amp; WD'!$B:$B, 'Design HV &amp; WD'!$A16, 'As-Built HV &amp; WD'!$C:$C, "Base")/COUNTIFS('As-Built HV &amp; WD'!$B:$B, 'Design HV &amp; WD'!$A16, 'As-Built HV &amp; WD'!$C:$C, "Base"),
    N16
)</f>
        <v>0</v>
      </c>
      <c r="H16" s="215">
        <v>3.86</v>
      </c>
      <c r="I16" s="244"/>
      <c r="J16" s="150">
        <v>0</v>
      </c>
      <c r="K16" s="150">
        <v>0.35249999999999998</v>
      </c>
      <c r="L16" s="150">
        <v>0.39216642887819259</v>
      </c>
      <c r="M16" s="150">
        <v>0.89442719099991586</v>
      </c>
      <c r="N16" s="150">
        <v>0</v>
      </c>
      <c r="O16" s="146">
        <v>4.7099999999999991</v>
      </c>
    </row>
    <row r="17" spans="1:15" s="248" customFormat="1" ht="18" customHeight="1" x14ac:dyDescent="0.25">
      <c r="A17" s="144" t="s">
        <v>5</v>
      </c>
      <c r="B17" t="s">
        <v>5</v>
      </c>
      <c r="C17" s="145">
        <f>IFERROR(
    SUMIFS('As-Built HV &amp; WD'!D:D, 'As-Built HV &amp; WD'!$B:$B, 'Design HV &amp; WD'!$A17, 'As-Built HV &amp; WD'!$C:$C, "Base")/COUNTIFS('As-Built HV &amp; WD'!$B:$B, 'Design HV &amp; WD'!$A17, 'As-Built HV &amp; WD'!$C:$C, "Base"),
    J17
)</f>
        <v>0.15383995416612359</v>
      </c>
      <c r="D17" s="145">
        <f>IFERROR(
    SUMIFS('As-Built HV &amp; WD'!E:E, 'As-Built HV &amp; WD'!$B:$B, 'Design HV &amp; WD'!$A17, 'As-Built HV &amp; WD'!$C:$C, "Base")/COUNTIFS('As-Built HV &amp; WD'!$B:$B, 'Design HV &amp; WD'!$A17, 'As-Built HV &amp; WD'!$C:$C, "Base"),
    K17
)</f>
        <v>0.02</v>
      </c>
      <c r="E17" s="145">
        <f>IFERROR(
    SUMIFS('As-Built HV &amp; WD'!F:F, 'As-Built HV &amp; WD'!$B:$B, 'Design HV &amp; WD'!$A17, 'As-Built HV &amp; WD'!$C:$C, "Base")/COUNTIFS('As-Built HV &amp; WD'!$B:$B, 'Design HV &amp; WD'!$A17, 'As-Built HV &amp; WD'!$C:$C, "Base"),
    L17
)</f>
        <v>0</v>
      </c>
      <c r="F17" s="145">
        <f>IFERROR(
    SUMIFS('As-Built HV &amp; WD'!G:G, 'As-Built HV &amp; WD'!$B:$B, 'Design HV &amp; WD'!$A17, 'As-Built HV &amp; WD'!$C:$C, "Base")/COUNTIFS('As-Built HV &amp; WD'!$B:$B, 'Design HV &amp; WD'!$A17, 'As-Built HV &amp; WD'!$C:$C, "Base"),
    M17
)</f>
        <v>0</v>
      </c>
      <c r="G17" s="145">
        <f>IFERROR(
    SUMIFS('As-Built HV &amp; WD'!H:H, 'As-Built HV &amp; WD'!$B:$B, 'Design HV &amp; WD'!$A17, 'As-Built HV &amp; WD'!$C:$C, "Base")/COUNTIFS('As-Built HV &amp; WD'!$B:$B, 'Design HV &amp; WD'!$A17, 'As-Built HV &amp; WD'!$C:$C, "Base"),
    N17
)</f>
        <v>0.97249999999999992</v>
      </c>
      <c r="H17" s="146">
        <v>1.49</v>
      </c>
      <c r="I17" s="244"/>
      <c r="J17" s="150">
        <v>0.15383995416612359</v>
      </c>
      <c r="K17" s="150">
        <v>0.02</v>
      </c>
      <c r="L17" s="150">
        <v>0</v>
      </c>
      <c r="M17" s="150">
        <v>0</v>
      </c>
      <c r="N17" s="150">
        <v>0.97249999999999992</v>
      </c>
      <c r="O17" s="146">
        <v>1.49</v>
      </c>
    </row>
    <row r="18" spans="1:15" s="248" customFormat="1" ht="18" customHeight="1" x14ac:dyDescent="0.25">
      <c r="A18" s="144" t="s">
        <v>55</v>
      </c>
      <c r="B18" t="s">
        <v>489</v>
      </c>
      <c r="C18" s="145">
        <f>IFERROR(
    SUMIFS('As-Built HV &amp; WD'!D:D, 'As-Built HV &amp; WD'!$B:$B, 'Design HV &amp; WD'!$A18, 'As-Built HV &amp; WD'!$C:$C, "Base")/COUNTIFS('As-Built HV &amp; WD'!$B:$B, 'Design HV &amp; WD'!$A18, 'As-Built HV &amp; WD'!$C:$C, "Base"),
    J18
)</f>
        <v>0</v>
      </c>
      <c r="D18" s="145">
        <f>IFERROR(
    SUMIFS('As-Built HV &amp; WD'!E:E, 'As-Built HV &amp; WD'!$B:$B, 'Design HV &amp; WD'!$A18, 'As-Built HV &amp; WD'!$C:$C, "Base")/COUNTIFS('As-Built HV &amp; WD'!$B:$B, 'Design HV &amp; WD'!$A18, 'As-Built HV &amp; WD'!$C:$C, "Base"),
    K18
)</f>
        <v>0.75500000000000012</v>
      </c>
      <c r="E18" s="145">
        <f>IFERROR(
    SUMIFS('As-Built HV &amp; WD'!F:F, 'As-Built HV &amp; WD'!$B:$B, 'Design HV &amp; WD'!$A18, 'As-Built HV &amp; WD'!$C:$C, "Base")/COUNTIFS('As-Built HV &amp; WD'!$B:$B, 'Design HV &amp; WD'!$A18, 'As-Built HV &amp; WD'!$C:$C, "Base"),
    L18
)</f>
        <v>0.15838514486573971</v>
      </c>
      <c r="F18" s="145">
        <f>IFERROR(
    SUMIFS('As-Built HV &amp; WD'!G:G, 'As-Built HV &amp; WD'!$B:$B, 'Design HV &amp; WD'!$A18, 'As-Built HV &amp; WD'!$C:$C, "Base")/COUNTIFS('As-Built HV &amp; WD'!$B:$B, 'Design HV &amp; WD'!$A18, 'As-Built HV &amp; WD'!$C:$C, "Base"),
    M18
)</f>
        <v>0.73201711496642863</v>
      </c>
      <c r="G18" s="145">
        <f>IFERROR(
    SUMIFS('As-Built HV &amp; WD'!H:H, 'As-Built HV &amp; WD'!$B:$B, 'Design HV &amp; WD'!$A18, 'As-Built HV &amp; WD'!$C:$C, "Base")/COUNTIFS('As-Built HV &amp; WD'!$B:$B, 'Design HV &amp; WD'!$A18, 'As-Built HV &amp; WD'!$C:$C, "Base"),
    N18
)</f>
        <v>0</v>
      </c>
      <c r="H18" s="215">
        <v>3.86</v>
      </c>
      <c r="I18" s="244"/>
      <c r="J18" s="150">
        <v>0</v>
      </c>
      <c r="K18" s="150">
        <v>0.75500000000000012</v>
      </c>
      <c r="L18" s="150">
        <v>0.15838514486573971</v>
      </c>
      <c r="M18" s="150">
        <v>0.73201711496642863</v>
      </c>
      <c r="N18" s="150">
        <v>0</v>
      </c>
      <c r="O18" s="146">
        <v>4.7099999999999991</v>
      </c>
    </row>
    <row r="19" spans="1:15" s="248" customFormat="1" ht="18" customHeight="1" x14ac:dyDescent="0.25">
      <c r="A19" s="144" t="s">
        <v>490</v>
      </c>
      <c r="B19" t="s">
        <v>491</v>
      </c>
      <c r="C19" s="145">
        <f>IFERROR(
    SUMIFS('As-Built HV &amp; WD'!D:D, 'As-Built HV &amp; WD'!$B:$B, 'Design HV &amp; WD'!$A19, 'As-Built HV &amp; WD'!$C:$C, "Base")/COUNTIFS('As-Built HV &amp; WD'!$B:$B, 'Design HV &amp; WD'!$A19, 'As-Built HV &amp; WD'!$C:$C, "Base"),
    J19
)</f>
        <v>0</v>
      </c>
      <c r="D19" s="145">
        <f>IFERROR(
    SUMIFS('As-Built HV &amp; WD'!E:E, 'As-Built HV &amp; WD'!$B:$B, 'Design HV &amp; WD'!$A19, 'As-Built HV &amp; WD'!$C:$C, "Base")/COUNTIFS('As-Built HV &amp; WD'!$B:$B, 'Design HV &amp; WD'!$A19, 'As-Built HV &amp; WD'!$C:$C, "Base"),
    K19
)</f>
        <v>0.12</v>
      </c>
      <c r="E19" s="145">
        <f>IFERROR(
    SUMIFS('As-Built HV &amp; WD'!F:F, 'As-Built HV &amp; WD'!$B:$B, 'Design HV &amp; WD'!$A19, 'As-Built HV &amp; WD'!$C:$C, "Base")/COUNTIFS('As-Built HV &amp; WD'!$B:$B, 'Design HV &amp; WD'!$A19, 'As-Built HV &amp; WD'!$C:$C, "Base"),
    L19
)</f>
        <v>0.53908469164528727</v>
      </c>
      <c r="F19" s="145">
        <f>IFERROR(
    SUMIFS('As-Built HV &amp; WD'!G:G, 'As-Built HV &amp; WD'!$B:$B, 'Design HV &amp; WD'!$A19, 'As-Built HV &amp; WD'!$C:$C, "Base")/COUNTIFS('As-Built HV &amp; WD'!$B:$B, 'Design HV &amp; WD'!$A19, 'As-Built HV &amp; WD'!$C:$C, "Base"),
    M19
)</f>
        <v>0.89442719099991586</v>
      </c>
      <c r="G19" s="145">
        <f>IFERROR(
    SUMIFS('As-Built HV &amp; WD'!H:H, 'As-Built HV &amp; WD'!$B:$B, 'Design HV &amp; WD'!$A19, 'As-Built HV &amp; WD'!$C:$C, "Base")/COUNTIFS('As-Built HV &amp; WD'!$B:$B, 'Design HV &amp; WD'!$A19, 'As-Built HV &amp; WD'!$C:$C, "Base"),
    N19
)</f>
        <v>0</v>
      </c>
      <c r="H19" s="215">
        <v>3.86</v>
      </c>
      <c r="I19" s="244"/>
      <c r="J19" s="150">
        <v>0</v>
      </c>
      <c r="K19" s="150">
        <v>0.12</v>
      </c>
      <c r="L19" s="150">
        <v>0.53908469164528727</v>
      </c>
      <c r="M19" s="150">
        <v>0.89442719099991586</v>
      </c>
      <c r="N19" s="150">
        <v>0</v>
      </c>
      <c r="O19" s="146">
        <v>4.7099999999999991</v>
      </c>
    </row>
    <row r="20" spans="1:15" s="248" customFormat="1" ht="18" customHeight="1" x14ac:dyDescent="0.25">
      <c r="A20" s="144" t="s">
        <v>492</v>
      </c>
      <c r="B20" t="s">
        <v>493</v>
      </c>
      <c r="C20" s="145">
        <f>IFERROR(
    SUMIFS('As-Built HV &amp; WD'!D:D, 'As-Built HV &amp; WD'!$B:$B, 'Design HV &amp; WD'!$A20, 'As-Built HV &amp; WD'!$C:$C, "Base")/COUNTIFS('As-Built HV &amp; WD'!$B:$B, 'Design HV &amp; WD'!$A20, 'As-Built HV &amp; WD'!$C:$C, "Base"),
    J20
)</f>
        <v>0</v>
      </c>
      <c r="D20" s="145">
        <f>IFERROR(
    SUMIFS('As-Built HV &amp; WD'!E:E, 'As-Built HV &amp; WD'!$B:$B, 'Design HV &amp; WD'!$A20, 'As-Built HV &amp; WD'!$C:$C, "Base")/COUNTIFS('As-Built HV &amp; WD'!$B:$B, 'Design HV &amp; WD'!$A20, 'As-Built HV &amp; WD'!$C:$C, "Base"),
    K20
)</f>
        <v>0.11459999999999999</v>
      </c>
      <c r="E20" s="145">
        <f>IFERROR(
    SUMIFS('As-Built HV &amp; WD'!F:F, 'As-Built HV &amp; WD'!$B:$B, 'Design HV &amp; WD'!$A20, 'As-Built HV &amp; WD'!$C:$C, "Base")/COUNTIFS('As-Built HV &amp; WD'!$B:$B, 'Design HV &amp; WD'!$A20, 'As-Built HV &amp; WD'!$C:$C, "Base"),
    L20
)</f>
        <v>0.52288362369902364</v>
      </c>
      <c r="F20" s="145">
        <f>IFERROR(
    SUMIFS('As-Built HV &amp; WD'!G:G, 'As-Built HV &amp; WD'!$B:$B, 'Design HV &amp; WD'!$A20, 'As-Built HV &amp; WD'!$C:$C, "Base")/COUNTIFS('As-Built HV &amp; WD'!$B:$B, 'Design HV &amp; WD'!$A20, 'As-Built HV &amp; WD'!$C:$C, "Base"),
    M20
)</f>
        <v>0.87407093533648628</v>
      </c>
      <c r="G20" s="145">
        <f>IFERROR(
    SUMIFS('As-Built HV &amp; WD'!H:H, 'As-Built HV &amp; WD'!$B:$B, 'Design HV &amp; WD'!$A20, 'As-Built HV &amp; WD'!$C:$C, "Base")/COUNTIFS('As-Built HV &amp; WD'!$B:$B, 'Design HV &amp; WD'!$A20, 'As-Built HV &amp; WD'!$C:$C, "Base"),
    N20
)</f>
        <v>0</v>
      </c>
      <c r="H20" s="215">
        <v>3.86</v>
      </c>
      <c r="I20" s="244"/>
      <c r="J20" s="150">
        <v>0</v>
      </c>
      <c r="K20" s="150">
        <v>0.11459999999999999</v>
      </c>
      <c r="L20" s="150">
        <v>0.52288362369902364</v>
      </c>
      <c r="M20" s="150">
        <v>0.87407093533648628</v>
      </c>
      <c r="N20" s="150">
        <v>0</v>
      </c>
      <c r="O20" s="146">
        <v>4.7099999999999991</v>
      </c>
    </row>
    <row r="21" spans="1:15" s="248" customFormat="1" ht="18" customHeight="1" x14ac:dyDescent="0.25">
      <c r="A21" s="144" t="s">
        <v>494</v>
      </c>
      <c r="B21" t="s">
        <v>495</v>
      </c>
      <c r="C21" s="145">
        <f>IFERROR(
    SUMIFS('As-Built HV &amp; WD'!D:D, 'As-Built HV &amp; WD'!$B:$B, 'Design HV &amp; WD'!$A21, 'As-Built HV &amp; WD'!$C:$C, "Base")/COUNTIFS('As-Built HV &amp; WD'!$B:$B, 'Design HV &amp; WD'!$A21, 'As-Built HV &amp; WD'!$C:$C, "Base"),
    J21
)</f>
        <v>0</v>
      </c>
      <c r="D21" s="145">
        <f>IFERROR(
    SUMIFS('As-Built HV &amp; WD'!E:E, 'As-Built HV &amp; WD'!$B:$B, 'Design HV &amp; WD'!$A21, 'As-Built HV &amp; WD'!$C:$C, "Base")/COUNTIFS('As-Built HV &amp; WD'!$B:$B, 'Design HV &amp; WD'!$A21, 'As-Built HV &amp; WD'!$C:$C, "Base"),
    K21
)</f>
        <v>0.38200000000000001</v>
      </c>
      <c r="E21" s="145">
        <f>IFERROR(
    SUMIFS('As-Built HV &amp; WD'!F:F, 'As-Built HV &amp; WD'!$B:$B, 'Design HV &amp; WD'!$A21, 'As-Built HV &amp; WD'!$C:$C, "Base")/COUNTIFS('As-Built HV &amp; WD'!$B:$B, 'Design HV &amp; WD'!$A21, 'As-Built HV &amp; WD'!$C:$C, "Base"),
    L21
)</f>
        <v>0.52288362369902364</v>
      </c>
      <c r="F21" s="145">
        <f>IFERROR(
    SUMIFS('As-Built HV &amp; WD'!G:G, 'As-Built HV &amp; WD'!$B:$B, 'Design HV &amp; WD'!$A21, 'As-Built HV &amp; WD'!$C:$C, "Base")/COUNTIFS('As-Built HV &amp; WD'!$B:$B, 'Design HV &amp; WD'!$A21, 'As-Built HV &amp; WD'!$C:$C, "Base"),
    M21
)</f>
        <v>0.87407093533648628</v>
      </c>
      <c r="G21" s="145">
        <f>IFERROR(
    SUMIFS('As-Built HV &amp; WD'!H:H, 'As-Built HV &amp; WD'!$B:$B, 'Design HV &amp; WD'!$A21, 'As-Built HV &amp; WD'!$C:$C, "Base")/COUNTIFS('As-Built HV &amp; WD'!$B:$B, 'Design HV &amp; WD'!$A21, 'As-Built HV &amp; WD'!$C:$C, "Base"),
    N21
)</f>
        <v>0</v>
      </c>
      <c r="H21" s="215">
        <v>3.86</v>
      </c>
      <c r="I21" s="244"/>
      <c r="J21" s="150">
        <v>0</v>
      </c>
      <c r="K21" s="150">
        <v>0.38200000000000001</v>
      </c>
      <c r="L21" s="150">
        <v>0.52288362369902364</v>
      </c>
      <c r="M21" s="150">
        <v>0.87407093533648628</v>
      </c>
      <c r="N21" s="150">
        <v>0</v>
      </c>
      <c r="O21" s="146">
        <v>4.7099999999999991</v>
      </c>
    </row>
    <row r="22" spans="1:15" s="248" customFormat="1" ht="18" customHeight="1" x14ac:dyDescent="0.25">
      <c r="A22" s="144" t="s">
        <v>496</v>
      </c>
      <c r="B22" t="s">
        <v>497</v>
      </c>
      <c r="C22" s="145">
        <f>IFERROR(
    SUMIFS('As-Built HV &amp; WD'!D:D, 'As-Built HV &amp; WD'!$B:$B, 'Design HV &amp; WD'!$A22, 'As-Built HV &amp; WD'!$C:$C, "Base")/COUNTIFS('As-Built HV &amp; WD'!$B:$B, 'Design HV &amp; WD'!$A22, 'As-Built HV &amp; WD'!$C:$C, "Base"),
    J22
)</f>
        <v>0</v>
      </c>
      <c r="D22" s="145">
        <f>IFERROR(
    SUMIFS('As-Built HV &amp; WD'!E:E, 'As-Built HV &amp; WD'!$B:$B, 'Design HV &amp; WD'!$A22, 'As-Built HV &amp; WD'!$C:$C, "Base")/COUNTIFS('As-Built HV &amp; WD'!$B:$B, 'Design HV &amp; WD'!$A22, 'As-Built HV &amp; WD'!$C:$C, "Base"),
    K22
)</f>
        <v>0.3726666666666667</v>
      </c>
      <c r="E22" s="145">
        <f>IFERROR(
    SUMIFS('As-Built HV &amp; WD'!F:F, 'As-Built HV &amp; WD'!$B:$B, 'Design HV &amp; WD'!$A22, 'As-Built HV &amp; WD'!$C:$C, "Base")/COUNTIFS('As-Built HV &amp; WD'!$B:$B, 'Design HV &amp; WD'!$A22, 'As-Built HV &amp; WD'!$C:$C, "Base"),
    L22
)</f>
        <v>0.50390843230817306</v>
      </c>
      <c r="F22" s="145">
        <f>IFERROR(
    SUMIFS('As-Built HV &amp; WD'!G:G, 'As-Built HV &amp; WD'!$B:$B, 'Design HV &amp; WD'!$A22, 'As-Built HV &amp; WD'!$C:$C, "Base")/COUNTIFS('As-Built HV &amp; WD'!$B:$B, 'Design HV &amp; WD'!$A22, 'As-Built HV &amp; WD'!$C:$C, "Base"),
    M22
)</f>
        <v>0.63196123298822693</v>
      </c>
      <c r="G22" s="145">
        <f>IFERROR(
    SUMIFS('As-Built HV &amp; WD'!H:H, 'As-Built HV &amp; WD'!$B:$B, 'Design HV &amp; WD'!$A22, 'As-Built HV &amp; WD'!$C:$C, "Base")/COUNTIFS('As-Built HV &amp; WD'!$B:$B, 'Design HV &amp; WD'!$A22, 'As-Built HV &amp; WD'!$C:$C, "Base"),
    N22
)</f>
        <v>0</v>
      </c>
      <c r="H22" s="215">
        <v>3.86</v>
      </c>
      <c r="I22" s="244"/>
      <c r="J22" s="150">
        <v>0</v>
      </c>
      <c r="K22" s="150">
        <v>0.3726666666666667</v>
      </c>
      <c r="L22" s="150">
        <v>0.50390843230817306</v>
      </c>
      <c r="M22" s="150">
        <v>0.63196123298822693</v>
      </c>
      <c r="N22" s="150">
        <v>0</v>
      </c>
      <c r="O22" s="146">
        <v>4.7099999999999991</v>
      </c>
    </row>
    <row r="23" spans="1:15" s="248" customFormat="1" ht="18" customHeight="1" x14ac:dyDescent="0.25">
      <c r="A23" s="144" t="s">
        <v>498</v>
      </c>
      <c r="B23" t="s">
        <v>499</v>
      </c>
      <c r="C23" s="145">
        <f>IFERROR(
    SUMIFS('As-Built HV &amp; WD'!D:D, 'As-Built HV &amp; WD'!$B:$B, 'Design HV &amp; WD'!$A23, 'As-Built HV &amp; WD'!$C:$C, "Base")/COUNTIFS('As-Built HV &amp; WD'!$B:$B, 'Design HV &amp; WD'!$A23, 'As-Built HV &amp; WD'!$C:$C, "Base"),
    J23
)</f>
        <v>0</v>
      </c>
      <c r="D23" s="145">
        <f>IFERROR(
    SUMIFS('As-Built HV &amp; WD'!E:E, 'As-Built HV &amp; WD'!$B:$B, 'Design HV &amp; WD'!$A23, 'As-Built HV &amp; WD'!$C:$C, "Base")/COUNTIFS('As-Built HV &amp; WD'!$B:$B, 'Design HV &amp; WD'!$A23, 'As-Built HV &amp; WD'!$C:$C, "Base"),
    K23
)</f>
        <v>0.35186666666666672</v>
      </c>
      <c r="E23" s="145">
        <f>IFERROR(
    SUMIFS('As-Built HV &amp; WD'!F:F, 'As-Built HV &amp; WD'!$B:$B, 'Design HV &amp; WD'!$A23, 'As-Built HV &amp; WD'!$C:$C, "Base")/COUNTIFS('As-Built HV &amp; WD'!$B:$B, 'Design HV &amp; WD'!$A23, 'As-Built HV &amp; WD'!$C:$C, "Base"),
    L23
)</f>
        <v>0.56982333691863019</v>
      </c>
      <c r="F23" s="145">
        <f>IFERROR(
    SUMIFS('As-Built HV &amp; WD'!G:G, 'As-Built HV &amp; WD'!$B:$B, 'Design HV &amp; WD'!$A23, 'As-Built HV &amp; WD'!$C:$C, "Base")/COUNTIFS('As-Built HV &amp; WD'!$B:$B, 'Design HV &amp; WD'!$A23, 'As-Built HV &amp; WD'!$C:$C, "Base"),
    M23
)</f>
        <v>0.61022536820423978</v>
      </c>
      <c r="G23" s="145">
        <f>IFERROR(
    SUMIFS('As-Built HV &amp; WD'!H:H, 'As-Built HV &amp; WD'!$B:$B, 'Design HV &amp; WD'!$A23, 'As-Built HV &amp; WD'!$C:$C, "Base")/COUNTIFS('As-Built HV &amp; WD'!$B:$B, 'Design HV &amp; WD'!$A23, 'As-Built HV &amp; WD'!$C:$C, "Base"),
    N23
)</f>
        <v>0</v>
      </c>
      <c r="H23" s="215">
        <v>3.86</v>
      </c>
      <c r="I23" s="244"/>
      <c r="J23" s="150">
        <v>0</v>
      </c>
      <c r="K23" s="150">
        <v>0.35186666666666672</v>
      </c>
      <c r="L23" s="150">
        <v>0.56982333691863019</v>
      </c>
      <c r="M23" s="150">
        <v>0.61022536820423978</v>
      </c>
      <c r="N23" s="150">
        <v>0</v>
      </c>
      <c r="O23" s="146">
        <v>4.7099999999999991</v>
      </c>
    </row>
    <row r="24" spans="1:15" s="248" customFormat="1" ht="18" customHeight="1" x14ac:dyDescent="0.25">
      <c r="A24" s="144" t="s">
        <v>500</v>
      </c>
      <c r="B24" t="s">
        <v>476</v>
      </c>
      <c r="C24" s="145">
        <f>IFERROR(
    SUMIFS('As-Built HV &amp; WD'!D:D, 'As-Built HV &amp; WD'!$B:$B, 'Design HV &amp; WD'!$A24, 'As-Built HV &amp; WD'!$C:$C, "Base")/COUNTIFS('As-Built HV &amp; WD'!$B:$B, 'Design HV &amp; WD'!$A24, 'As-Built HV &amp; WD'!$C:$C, "Base"),
    J24
)</f>
        <v>0</v>
      </c>
      <c r="D24" s="145">
        <f>IFERROR(
    SUMIFS('As-Built HV &amp; WD'!E:E, 'As-Built HV &amp; WD'!$B:$B, 'Design HV &amp; WD'!$A24, 'As-Built HV &amp; WD'!$C:$C, "Base")/COUNTIFS('As-Built HV &amp; WD'!$B:$B, 'Design HV &amp; WD'!$A24, 'As-Built HV &amp; WD'!$C:$C, "Base"),
    K24
)</f>
        <v>4.1542500000000003E-2</v>
      </c>
      <c r="E24" s="145">
        <f>IFERROR(
    SUMIFS('As-Built HV &amp; WD'!F:F, 'As-Built HV &amp; WD'!$B:$B, 'Design HV &amp; WD'!$A24, 'As-Built HV &amp; WD'!$C:$C, "Base")/COUNTIFS('As-Built HV &amp; WD'!$B:$B, 'Design HV &amp; WD'!$A24, 'As-Built HV &amp; WD'!$C:$C, "Base"),
    L24
)</f>
        <v>0.12905957731130199</v>
      </c>
      <c r="F24" s="145">
        <f>IFERROR(
    SUMIFS('As-Built HV &amp; WD'!G:G, 'As-Built HV &amp; WD'!$B:$B, 'Design HV &amp; WD'!$A24, 'As-Built HV &amp; WD'!$C:$C, "Base")/COUNTIFS('As-Built HV &amp; WD'!$B:$B, 'Design HV &amp; WD'!$A24, 'As-Built HV &amp; WD'!$C:$C, "Base"),
    M24
)</f>
        <v>0.30120590963658073</v>
      </c>
      <c r="G24" s="145">
        <f>IFERROR(
    SUMIFS('As-Built HV &amp; WD'!H:H, 'As-Built HV &amp; WD'!$B:$B, 'Design HV &amp; WD'!$A24, 'As-Built HV &amp; WD'!$C:$C, "Base")/COUNTIFS('As-Built HV &amp; WD'!$B:$B, 'Design HV &amp; WD'!$A24, 'As-Built HV &amp; WD'!$C:$C, "Base"),
    N24
)</f>
        <v>0</v>
      </c>
      <c r="H24" s="146">
        <v>0.98</v>
      </c>
      <c r="I24" s="244"/>
      <c r="J24" s="150">
        <v>0</v>
      </c>
      <c r="K24" s="150">
        <v>4.1542500000000003E-2</v>
      </c>
      <c r="L24" s="150">
        <v>0.12905957731130199</v>
      </c>
      <c r="M24" s="150">
        <v>0.30120590963658073</v>
      </c>
      <c r="N24" s="150">
        <v>0</v>
      </c>
      <c r="O24" s="146">
        <v>0.98</v>
      </c>
    </row>
    <row r="25" spans="1:15" s="248" customFormat="1" ht="18" customHeight="1" x14ac:dyDescent="0.25">
      <c r="A25" s="144" t="s">
        <v>79</v>
      </c>
      <c r="B25" t="s">
        <v>501</v>
      </c>
      <c r="C25" s="145">
        <f>IFERROR(
    SUMIFS('As-Built HV &amp; WD'!D:D, 'As-Built HV &amp; WD'!$B:$B, 'Design HV &amp; WD'!$A25, 'As-Built HV &amp; WD'!$C:$C, "Base")/COUNTIFS('As-Built HV &amp; WD'!$B:$B, 'Design HV &amp; WD'!$A25, 'As-Built HV &amp; WD'!$C:$C, "Base"),
    J25
)</f>
        <v>0</v>
      </c>
      <c r="D25" s="145">
        <f>IFERROR(
    SUMIFS('As-Built HV &amp; WD'!E:E, 'As-Built HV &amp; WD'!$B:$B, 'Design HV &amp; WD'!$A25, 'As-Built HV &amp; WD'!$C:$C, "Base")/COUNTIFS('As-Built HV &amp; WD'!$B:$B, 'Design HV &amp; WD'!$A25, 'As-Built HV &amp; WD'!$C:$C, "Base"),
    K25
)</f>
        <v>4.7272500000000002E-2</v>
      </c>
      <c r="E25" s="145">
        <f>IFERROR(
    SUMIFS('As-Built HV &amp; WD'!F:F, 'As-Built HV &amp; WD'!$B:$B, 'Design HV &amp; WD'!$A25, 'As-Built HV &amp; WD'!$C:$C, "Base")/COUNTIFS('As-Built HV &amp; WD'!$B:$B, 'Design HV &amp; WD'!$A25, 'As-Built HV &amp; WD'!$C:$C, "Base"),
    L25
)</f>
        <v>0.36071307787781948</v>
      </c>
      <c r="F25" s="145">
        <f>IFERROR(
    SUMIFS('As-Built HV &amp; WD'!G:G, 'As-Built HV &amp; WD'!$B:$B, 'Design HV &amp; WD'!$A25, 'As-Built HV &amp; WD'!$C:$C, "Base")/COUNTIFS('As-Built HV &amp; WD'!$B:$B, 'Design HV &amp; WD'!$A25, 'As-Built HV &amp; WD'!$C:$C, "Base"),
    M25
)</f>
        <v>0.39089640571384132</v>
      </c>
      <c r="G25" s="145">
        <f>IFERROR(
    SUMIFS('As-Built HV &amp; WD'!H:H, 'As-Built HV &amp; WD'!$B:$B, 'Design HV &amp; WD'!$A25, 'As-Built HV &amp; WD'!$C:$C, "Base")/COUNTIFS('As-Built HV &amp; WD'!$B:$B, 'Design HV &amp; WD'!$A25, 'As-Built HV &amp; WD'!$C:$C, "Base"),
    N25
)</f>
        <v>0</v>
      </c>
      <c r="H25" s="146">
        <v>3.59</v>
      </c>
      <c r="I25" s="244"/>
      <c r="J25" s="150">
        <v>0</v>
      </c>
      <c r="K25" s="150">
        <v>4.7272500000000002E-2</v>
      </c>
      <c r="L25" s="150">
        <v>0.36071307787781948</v>
      </c>
      <c r="M25" s="150">
        <v>0.39089640571384132</v>
      </c>
      <c r="N25" s="150">
        <v>0</v>
      </c>
      <c r="O25" s="146">
        <v>3.59</v>
      </c>
    </row>
    <row r="26" spans="1:15" s="248" customFormat="1" ht="18" customHeight="1" x14ac:dyDescent="0.25">
      <c r="A26" s="144" t="s">
        <v>502</v>
      </c>
      <c r="B26" t="s">
        <v>478</v>
      </c>
      <c r="C26" s="145">
        <f>IFERROR(
    SUMIFS('As-Built HV &amp; WD'!D:D, 'As-Built HV &amp; WD'!$B:$B, 'Design HV &amp; WD'!$A26, 'As-Built HV &amp; WD'!$C:$C, "Base")/COUNTIFS('As-Built HV &amp; WD'!$B:$B, 'Design HV &amp; WD'!$A26, 'As-Built HV &amp; WD'!$C:$C, "Base"),
    J26
)</f>
        <v>0</v>
      </c>
      <c r="D26" s="145">
        <f>IFERROR(
    SUMIFS('As-Built HV &amp; WD'!E:E, 'As-Built HV &amp; WD'!$B:$B, 'Design HV &amp; WD'!$A26, 'As-Built HV &amp; WD'!$C:$C, "Base")/COUNTIFS('As-Built HV &amp; WD'!$B:$B, 'Design HV &amp; WD'!$A26, 'As-Built HV &amp; WD'!$C:$C, "Base"),
    K26
)</f>
        <v>4.7750000000000001E-2</v>
      </c>
      <c r="E26" s="145">
        <f>IFERROR(
    SUMIFS('As-Built HV &amp; WD'!F:F, 'As-Built HV &amp; WD'!$B:$B, 'Design HV &amp; WD'!$A26, 'As-Built HV &amp; WD'!$C:$C, "Base")/COUNTIFS('As-Built HV &amp; WD'!$B:$B, 'Design HV &amp; WD'!$A26, 'As-Built HV &amp; WD'!$C:$C, "Base"),
    L26
)</f>
        <v>0.23384066538248741</v>
      </c>
      <c r="F26" s="145">
        <f>IFERROR(
    SUMIFS('As-Built HV &amp; WD'!G:G, 'As-Built HV &amp; WD'!$B:$B, 'Design HV &amp; WD'!$A26, 'As-Built HV &amp; WD'!$C:$C, "Base")/COUNTIFS('As-Built HV &amp; WD'!$B:$B, 'Design HV &amp; WD'!$A26, 'As-Built HV &amp; WD'!$C:$C, "Base"),
    M26
)</f>
        <v>0.33139855159611059</v>
      </c>
      <c r="G26" s="145">
        <f>IFERROR(
    SUMIFS('As-Built HV &amp; WD'!H:H, 'As-Built HV &amp; WD'!$B:$B, 'Design HV &amp; WD'!$A26, 'As-Built HV &amp; WD'!$C:$C, "Base")/COUNTIFS('As-Built HV &amp; WD'!$B:$B, 'Design HV &amp; WD'!$A26, 'As-Built HV &amp; WD'!$C:$C, "Base"),
    N26
)</f>
        <v>0</v>
      </c>
      <c r="H26" s="146">
        <v>1.51</v>
      </c>
      <c r="I26" s="244"/>
      <c r="J26" s="150">
        <v>0</v>
      </c>
      <c r="K26" s="150">
        <v>4.7750000000000001E-2</v>
      </c>
      <c r="L26" s="150">
        <v>0.23384066538248741</v>
      </c>
      <c r="M26" s="150">
        <v>0.33139855159611059</v>
      </c>
      <c r="N26" s="150">
        <v>0</v>
      </c>
      <c r="O26" s="146">
        <v>1.51</v>
      </c>
    </row>
    <row r="27" spans="1:15" s="248" customFormat="1" ht="18" customHeight="1" x14ac:dyDescent="0.25">
      <c r="A27" s="144" t="s">
        <v>97</v>
      </c>
      <c r="B27" t="s">
        <v>503</v>
      </c>
      <c r="C27" s="145">
        <f>IFERROR(
    SUMIFS('As-Built HV &amp; WD'!D:D, 'As-Built HV &amp; WD'!$B:$B, 'Design HV &amp; WD'!$A27, 'As-Built HV &amp; WD'!$C:$C, "Base")/COUNTIFS('As-Built HV &amp; WD'!$B:$B, 'Design HV &amp; WD'!$A27, 'As-Built HV &amp; WD'!$C:$C, "Base"),
    J27
)</f>
        <v>2.4812420178799491E-2</v>
      </c>
      <c r="D27" s="145">
        <f>IFERROR(
    SUMIFS('As-Built HV &amp; WD'!E:E, 'As-Built HV &amp; WD'!$B:$B, 'Design HV &amp; WD'!$A27, 'As-Built HV &amp; WD'!$C:$C, "Base")/COUNTIFS('As-Built HV &amp; WD'!$B:$B, 'Design HV &amp; WD'!$A27, 'As-Built HV &amp; WD'!$C:$C, "Base"),
    K27
)</f>
        <v>0.18416325299178959</v>
      </c>
      <c r="E27" s="145">
        <f>IFERROR(
    SUMIFS('As-Built HV &amp; WD'!F:F, 'As-Built HV &amp; WD'!$B:$B, 'Design HV &amp; WD'!$A27, 'As-Built HV &amp; WD'!$C:$C, "Base")/COUNTIFS('As-Built HV &amp; WD'!$B:$B, 'Design HV &amp; WD'!$A27, 'As-Built HV &amp; WD'!$C:$C, "Base"),
    L27
)</f>
        <v>0.23831196877328031</v>
      </c>
      <c r="F27" s="145">
        <f>IFERROR(
    SUMIFS('As-Built HV &amp; WD'!G:G, 'As-Built HV &amp; WD'!$B:$B, 'Design HV &amp; WD'!$A27, 'As-Built HV &amp; WD'!$C:$C, "Base")/COUNTIFS('As-Built HV &amp; WD'!$B:$B, 'Design HV &amp; WD'!$A27, 'As-Built HV &amp; WD'!$C:$C, "Base"),
    M27
)</f>
        <v>0.43011898699446188</v>
      </c>
      <c r="G27" s="145">
        <f>IFERROR(
    SUMIFS('As-Built HV &amp; WD'!H:H, 'As-Built HV &amp; WD'!$B:$B, 'Design HV &amp; WD'!$A27, 'As-Built HV &amp; WD'!$C:$C, "Base")/COUNTIFS('As-Built HV &amp; WD'!$B:$B, 'Design HV &amp; WD'!$A27, 'As-Built HV &amp; WD'!$C:$C, "Base"),
    N27
)</f>
        <v>8.6280155772984462E-3</v>
      </c>
      <c r="H27" s="214">
        <v>2.68</v>
      </c>
      <c r="I27" s="244"/>
      <c r="J27" s="145">
        <v>2.4812420178799491E-2</v>
      </c>
      <c r="K27" s="145">
        <v>0.18416325299178959</v>
      </c>
      <c r="L27" s="145">
        <v>0.23831196877328031</v>
      </c>
      <c r="M27" s="145">
        <v>0.43011898699446188</v>
      </c>
      <c r="N27" s="145">
        <v>8.6280155772984462E-3</v>
      </c>
      <c r="O27" s="146">
        <v>3</v>
      </c>
    </row>
    <row r="28" spans="1:15" s="248" customFormat="1" ht="18" customHeight="1" x14ac:dyDescent="0.25">
      <c r="A28" s="144" t="s">
        <v>34</v>
      </c>
      <c r="B28" t="s">
        <v>34</v>
      </c>
      <c r="C28" s="145">
        <f>IFERROR(
    SUMIFS('As-Built HV &amp; WD'!D:D, 'As-Built HV &amp; WD'!$B:$B, 'Design HV &amp; WD'!$A28, 'As-Built HV &amp; WD'!$C:$C, "Base")/COUNTIFS('As-Built HV &amp; WD'!$B:$B, 'Design HV &amp; WD'!$A28, 'As-Built HV &amp; WD'!$C:$C, "Base"),
    J28
)</f>
        <v>0</v>
      </c>
      <c r="D28" s="145">
        <v>0</v>
      </c>
      <c r="E28" s="145">
        <f>IFERROR(
    SUMIFS('As-Built HV &amp; WD'!F:F, 'As-Built HV &amp; WD'!$B:$B, 'Design HV &amp; WD'!$A28, 'As-Built HV &amp; WD'!$C:$C, "Base")/COUNTIFS('As-Built HV &amp; WD'!$B:$B, 'Design HV &amp; WD'!$A28, 'As-Built HV &amp; WD'!$C:$C, "Base"),
    L28
)</f>
        <v>0</v>
      </c>
      <c r="F28" s="145">
        <v>0</v>
      </c>
      <c r="G28" s="145">
        <v>0</v>
      </c>
      <c r="H28" s="146">
        <v>0</v>
      </c>
      <c r="I28" s="244"/>
      <c r="J28" s="145">
        <v>0</v>
      </c>
      <c r="K28" s="145">
        <v>0</v>
      </c>
      <c r="L28" s="145">
        <v>0</v>
      </c>
      <c r="M28" s="145">
        <v>0</v>
      </c>
      <c r="N28" s="145">
        <v>0</v>
      </c>
      <c r="O28" s="146">
        <v>0</v>
      </c>
    </row>
    <row r="29" spans="1:15" s="248" customFormat="1" ht="18" customHeight="1" x14ac:dyDescent="0.25">
      <c r="A29" s="144" t="s">
        <v>57</v>
      </c>
      <c r="B29" t="s">
        <v>57</v>
      </c>
      <c r="C29" s="145">
        <f>IFERROR(
    SUMIFS('As-Built HV &amp; WD'!D:D, 'As-Built HV &amp; WD'!$B:$B, 'Design HV &amp; WD'!$A29, 'As-Built HV &amp; WD'!$C:$C, "Base")/COUNTIFS('As-Built HV &amp; WD'!$B:$B, 'Design HV &amp; WD'!$A29, 'As-Built HV &amp; WD'!$C:$C, "Base"),
    J29
)</f>
        <v>0</v>
      </c>
      <c r="D29" s="145">
        <f>IFERROR(
    SUMIFS('As-Built HV &amp; WD'!E:E, 'As-Built HV &amp; WD'!$B:$B, 'Design HV &amp; WD'!$A29, 'As-Built HV &amp; WD'!$C:$C, "Base")/COUNTIFS('As-Built HV &amp; WD'!$B:$B, 'Design HV &amp; WD'!$A29, 'As-Built HV &amp; WD'!$C:$C, "Base"),
    K29
)</f>
        <v>0</v>
      </c>
      <c r="E29" s="145">
        <f>IFERROR(
    SUMIFS('As-Built HV &amp; WD'!F:F, 'As-Built HV &amp; WD'!$B:$B, 'Design HV &amp; WD'!$A29, 'As-Built HV &amp; WD'!$C:$C, "Base")/COUNTIFS('As-Built HV &amp; WD'!$B:$B, 'Design HV &amp; WD'!$A29, 'As-Built HV &amp; WD'!$C:$C, "Base"),
    L29
)</f>
        <v>0</v>
      </c>
      <c r="F29" s="145">
        <f>IFERROR(
    SUMIFS('As-Built HV &amp; WD'!G:G, 'As-Built HV &amp; WD'!$B:$B, 'Design HV &amp; WD'!$A29, 'As-Built HV &amp; WD'!$C:$C, "Base")/COUNTIFS('As-Built HV &amp; WD'!$B:$B, 'Design HV &amp; WD'!$A29, 'As-Built HV &amp; WD'!$C:$C, "Base"),
    M29
)</f>
        <v>0</v>
      </c>
      <c r="G29" s="145">
        <f>IFERROR(
    SUMIFS('As-Built HV &amp; WD'!H:H, 'As-Built HV &amp; WD'!$B:$B, 'Design HV &amp; WD'!$A29, 'As-Built HV &amp; WD'!$C:$C, "Base")/COUNTIFS('As-Built HV &amp; WD'!$B:$B, 'Design HV &amp; WD'!$A29, 'As-Built HV &amp; WD'!$C:$C, "Base"),
    N29
)</f>
        <v>0</v>
      </c>
      <c r="H29" s="146">
        <v>0</v>
      </c>
      <c r="I29" s="244"/>
      <c r="J29" s="145">
        <v>0</v>
      </c>
      <c r="K29" s="145">
        <v>0</v>
      </c>
      <c r="L29" s="145">
        <v>0</v>
      </c>
      <c r="M29" s="145">
        <v>0</v>
      </c>
      <c r="N29" s="145">
        <v>0</v>
      </c>
      <c r="O29" s="146">
        <v>0</v>
      </c>
    </row>
    <row r="30" spans="1:15" s="248" customFormat="1" ht="18" customHeight="1" x14ac:dyDescent="0.25">
      <c r="A30" s="144" t="s">
        <v>354</v>
      </c>
      <c r="B30" t="s">
        <v>354</v>
      </c>
      <c r="C30" s="145">
        <f>IFERROR(
    SUMIFS('As-Built HV &amp; WD'!D:D, 'As-Built HV &amp; WD'!$B:$B, 'Design HV &amp; WD'!$A30, 'As-Built HV &amp; WD'!$C:$C, "Base")/COUNTIFS('As-Built HV &amp; WD'!$B:$B, 'Design HV &amp; WD'!$A30, 'As-Built HV &amp; WD'!$C:$C, "Base"),
    J30
)</f>
        <v>0</v>
      </c>
      <c r="D30" s="145">
        <f>IFERROR(
    SUMIFS('As-Built HV &amp; WD'!E:E, 'As-Built HV &amp; WD'!$B:$B, 'Design HV &amp; WD'!$A30, 'As-Built HV &amp; WD'!$C:$C, "Base")/COUNTIFS('As-Built HV &amp; WD'!$B:$B, 'Design HV &amp; WD'!$A30, 'As-Built HV &amp; WD'!$C:$C, "Base"),
    K30
)</f>
        <v>0</v>
      </c>
      <c r="E30" s="145">
        <f>IFERROR(
    SUMIFS('As-Built HV &amp; WD'!F:F, 'As-Built HV &amp; WD'!$B:$B, 'Design HV &amp; WD'!$A30, 'As-Built HV &amp; WD'!$C:$C, "Base")/COUNTIFS('As-Built HV &amp; WD'!$B:$B, 'Design HV &amp; WD'!$A30, 'As-Built HV &amp; WD'!$C:$C, "Base"),
    L30
)</f>
        <v>0</v>
      </c>
      <c r="F30" s="145">
        <f>IFERROR(
    SUMIFS('As-Built HV &amp; WD'!G:G, 'As-Built HV &amp; WD'!$B:$B, 'Design HV &amp; WD'!$A30, 'As-Built HV &amp; WD'!$C:$C, "Base")/COUNTIFS('As-Built HV &amp; WD'!$B:$B, 'Design HV &amp; WD'!$A30, 'As-Built HV &amp; WD'!$C:$C, "Base"),
    M30
)</f>
        <v>0</v>
      </c>
      <c r="G30" s="145">
        <f>IFERROR(
    SUMIFS('As-Built HV &amp; WD'!H:H, 'As-Built HV &amp; WD'!$B:$B, 'Design HV &amp; WD'!$A30, 'As-Built HV &amp; WD'!$C:$C, "Base")/COUNTIFS('As-Built HV &amp; WD'!$B:$B, 'Design HV &amp; WD'!$A30, 'As-Built HV &amp; WD'!$C:$C, "Base"),
    N30
)</f>
        <v>0</v>
      </c>
      <c r="H30" s="146">
        <v>0</v>
      </c>
      <c r="I30" s="244"/>
      <c r="J30" s="145">
        <v>0</v>
      </c>
      <c r="K30" s="145">
        <v>0</v>
      </c>
      <c r="L30" s="145">
        <v>0</v>
      </c>
      <c r="M30" s="145">
        <v>0</v>
      </c>
      <c r="N30" s="145">
        <v>0</v>
      </c>
      <c r="O30" s="146">
        <v>0</v>
      </c>
    </row>
    <row r="31" spans="1:15" s="248" customFormat="1" ht="18" customHeight="1" x14ac:dyDescent="0.25">
      <c r="A31" s="144" t="s">
        <v>87</v>
      </c>
      <c r="B31" t="s">
        <v>87</v>
      </c>
      <c r="C31" s="145">
        <f>IFERROR(
    SUMIFS('As-Built HV &amp; WD'!D:D, 'As-Built HV &amp; WD'!$B:$B, 'Design HV &amp; WD'!$A31, 'As-Built HV &amp; WD'!$C:$C, "Base")/COUNTIFS('As-Built HV &amp; WD'!$B:$B, 'Design HV &amp; WD'!$A31, 'As-Built HV &amp; WD'!$C:$C, "Base"),
    J31
)</f>
        <v>0</v>
      </c>
      <c r="D31" s="145">
        <v>0</v>
      </c>
      <c r="E31" s="145">
        <v>0</v>
      </c>
      <c r="F31" s="145">
        <v>0</v>
      </c>
      <c r="G31" s="145">
        <v>0</v>
      </c>
      <c r="H31" s="146">
        <v>0</v>
      </c>
      <c r="I31" s="244"/>
      <c r="J31" s="145">
        <v>0</v>
      </c>
      <c r="K31" s="145">
        <v>4.9154589371980681E-2</v>
      </c>
      <c r="L31" s="145">
        <v>0.1537842190016103</v>
      </c>
      <c r="M31" s="145">
        <v>0.33055555555555549</v>
      </c>
      <c r="N31" s="145">
        <v>1.723027375201288E-2</v>
      </c>
      <c r="O31" s="146">
        <v>0</v>
      </c>
    </row>
    <row r="32" spans="1:15" s="248" customFormat="1" ht="18" customHeight="1" x14ac:dyDescent="0.25">
      <c r="A32" s="144" t="s">
        <v>52</v>
      </c>
      <c r="B32" t="s">
        <v>52</v>
      </c>
      <c r="C32" s="145">
        <f>IFERROR(
    SUMIFS('As-Built HV &amp; WD'!D:D, 'As-Built HV &amp; WD'!$B:$B, 'Design HV &amp; WD'!$A32, 'As-Built HV &amp; WD'!$C:$C, "Base")/COUNTIFS('As-Built HV &amp; WD'!$B:$B, 'Design HV &amp; WD'!$A32, 'As-Built HV &amp; WD'!$C:$C, "Base"),
    J32
)</f>
        <v>0</v>
      </c>
      <c r="D32" s="145">
        <f>IFERROR(
    SUMIFS('As-Built HV &amp; WD'!E:E, 'As-Built HV &amp; WD'!$B:$B, 'Design HV &amp; WD'!$A32, 'As-Built HV &amp; WD'!$C:$C, "Base")/COUNTIFS('As-Built HV &amp; WD'!$B:$B, 'Design HV &amp; WD'!$A32, 'As-Built HV &amp; WD'!$C:$C, "Base"),
    K32
)</f>
        <v>0</v>
      </c>
      <c r="E32" s="145">
        <v>0</v>
      </c>
      <c r="F32" s="145">
        <v>0</v>
      </c>
      <c r="G32" s="145">
        <v>0</v>
      </c>
      <c r="H32" s="146">
        <v>0</v>
      </c>
      <c r="I32" s="244"/>
      <c r="J32" s="145">
        <v>0</v>
      </c>
      <c r="K32" s="145">
        <v>0</v>
      </c>
      <c r="L32" s="145">
        <v>0</v>
      </c>
      <c r="M32" s="145">
        <v>4.8735408560311277E-2</v>
      </c>
      <c r="N32" s="145">
        <v>0</v>
      </c>
      <c r="O32" s="146">
        <v>0</v>
      </c>
    </row>
    <row r="33" spans="1:15" s="248" customFormat="1" ht="24" customHeight="1" x14ac:dyDescent="0.25">
      <c r="A33" s="144" t="s">
        <v>157</v>
      </c>
      <c r="B33" t="s">
        <v>157</v>
      </c>
      <c r="C33" s="145">
        <f>IFERROR(
    SUMIFS('As-Built HV &amp; WD'!D:D, 'As-Built HV &amp; WD'!$B:$B, 'Design HV &amp; WD'!$A33, 'As-Built HV &amp; WD'!$C:$C, "Base")/COUNTIFS('As-Built HV &amp; WD'!$B:$B, 'Design HV &amp; WD'!$A33, 'As-Built HV &amp; WD'!$C:$C, "Base"),
    J33
)</f>
        <v>0.34571304221674171</v>
      </c>
      <c r="D33" s="145">
        <f>IFERROR(
    SUMIFS('As-Built HV &amp; WD'!E:E, 'As-Built HV &amp; WD'!$B:$B, 'Design HV &amp; WD'!$A33, 'As-Built HV &amp; WD'!$C:$C, "Base")/COUNTIFS('As-Built HV &amp; WD'!$B:$B, 'Design HV &amp; WD'!$A33, 'As-Built HV &amp; WD'!$C:$C, "Base"),
    K33
)</f>
        <v>0.1741331785869723</v>
      </c>
      <c r="E33" s="145">
        <f>IFERROR(
    SUMIFS('As-Built HV &amp; WD'!F:F, 'As-Built HV &amp; WD'!$B:$B, 'Design HV &amp; WD'!$A33, 'As-Built HV &amp; WD'!$C:$C, "Base")/COUNTIFS('As-Built HV &amp; WD'!$B:$B, 'Design HV &amp; WD'!$A33, 'As-Built HV &amp; WD'!$C:$C, "Base"),
    L33
)</f>
        <v>5.4301465254606128E-2</v>
      </c>
      <c r="F33" s="145">
        <f>IFERROR(
    SUMIFS('As-Built HV &amp; WD'!G:G, 'As-Built HV &amp; WD'!$B:$B, 'Design HV &amp; WD'!$A33, 'As-Built HV &amp; WD'!$C:$C, "Base")/COUNTIFS('As-Built HV &amp; WD'!$B:$B, 'Design HV &amp; WD'!$A33, 'As-Built HV &amp; WD'!$C:$C, "Base"),
    M33
)</f>
        <v>0.23824169447265339</v>
      </c>
      <c r="G33" s="145">
        <f>IFERROR(
    SUMIFS('As-Built HV &amp; WD'!H:H, 'As-Built HV &amp; WD'!$B:$B, 'Design HV &amp; WD'!$A33, 'As-Built HV &amp; WD'!$C:$C, "Base")/COUNTIFS('As-Built HV &amp; WD'!$B:$B, 'Design HV &amp; WD'!$A33, 'As-Built HV &amp; WD'!$C:$C, "Base"),
    N33
)</f>
        <v>0.38427390105904541</v>
      </c>
      <c r="H33" s="146">
        <v>3.51</v>
      </c>
      <c r="I33" s="244"/>
      <c r="J33" s="145">
        <v>0.34571304221674171</v>
      </c>
      <c r="K33" s="145">
        <v>0.1741331785869723</v>
      </c>
      <c r="L33" s="145">
        <v>5.4301465254606128E-2</v>
      </c>
      <c r="M33" s="145">
        <v>0.23824169447265339</v>
      </c>
      <c r="N33" s="145">
        <v>0.38427390105904541</v>
      </c>
      <c r="O33" s="146">
        <v>3.51</v>
      </c>
    </row>
    <row r="34" spans="1:15" s="248" customFormat="1" ht="18" customHeight="1" x14ac:dyDescent="0.25">
      <c r="A34" s="144" t="s">
        <v>36</v>
      </c>
      <c r="B34" t="s">
        <v>36</v>
      </c>
      <c r="C34" s="145">
        <f>IFERROR(
    SUMIFS('As-Built HV &amp; WD'!D:D, 'As-Built HV &amp; WD'!$B:$B, 'Design HV &amp; WD'!$A34, 'As-Built HV &amp; WD'!$C:$C, "Base")/COUNTIFS('As-Built HV &amp; WD'!$B:$B, 'Design HV &amp; WD'!$A34, 'As-Built HV &amp; WD'!$C:$C, "Base"),
    J34
)</f>
        <v>2.1500920306960804E-2</v>
      </c>
      <c r="D34" s="145">
        <f>IFERROR(
    SUMIFS('As-Built HV &amp; WD'!E:E, 'As-Built HV &amp; WD'!$B:$B, 'Design HV &amp; WD'!$A34, 'As-Built HV &amp; WD'!$C:$C, "Base")/COUNTIFS('As-Built HV &amp; WD'!$B:$B, 'Design HV &amp; WD'!$A34, 'As-Built HV &amp; WD'!$C:$C, "Base"),
    K34
)</f>
        <v>9.3284458966783855E-3</v>
      </c>
      <c r="E34" s="145">
        <f>IFERROR(
    SUMIFS('As-Built HV &amp; WD'!F:F, 'As-Built HV &amp; WD'!$B:$B, 'Design HV &amp; WD'!$A34, 'As-Built HV &amp; WD'!$C:$C, "Base")/COUNTIFS('As-Built HV &amp; WD'!$B:$B, 'Design HV &amp; WD'!$A34, 'As-Built HV &amp; WD'!$C:$C, "Base"),
    L34
)</f>
        <v>1.4233725030394053E-2</v>
      </c>
      <c r="F34" s="145">
        <f>IFERROR(
    SUMIFS('As-Built HV &amp; WD'!G:G, 'As-Built HV &amp; WD'!$B:$B, 'Design HV &amp; WD'!$A34, 'As-Built HV &amp; WD'!$C:$C, "Base")/COUNTIFS('As-Built HV &amp; WD'!$B:$B, 'Design HV &amp; WD'!$A34, 'As-Built HV &amp; WD'!$C:$C, "Base"),
    M34
)</f>
        <v>0.1036635492855211</v>
      </c>
      <c r="G34" s="145">
        <f>IFERROR(
    SUMIFS('As-Built HV &amp; WD'!H:H, 'As-Built HV &amp; WD'!$B:$B, 'Design HV &amp; WD'!$A34, 'As-Built HV &amp; WD'!$C:$C, "Base")/COUNTIFS('As-Built HV &amp; WD'!$B:$B, 'Design HV &amp; WD'!$A34, 'As-Built HV &amp; WD'!$C:$C, "Base"),
    N34
)</f>
        <v>1.2317006328782522E-2</v>
      </c>
      <c r="H34" s="146">
        <v>0</v>
      </c>
      <c r="I34" s="244"/>
      <c r="J34" s="144">
        <v>0</v>
      </c>
      <c r="K34" s="144">
        <v>0</v>
      </c>
      <c r="L34" s="144">
        <v>0</v>
      </c>
      <c r="M34" s="144">
        <v>0</v>
      </c>
      <c r="N34" s="144">
        <v>0</v>
      </c>
      <c r="O34" s="146">
        <v>0</v>
      </c>
    </row>
    <row r="35" spans="1:15" s="248" customFormat="1" ht="12.75" customHeight="1" x14ac:dyDescent="0.2"/>
    <row r="36" spans="1:15" s="248" customFormat="1" ht="12.75" customHeight="1" x14ac:dyDescent="0.2">
      <c r="A36" s="248" t="s">
        <v>504</v>
      </c>
    </row>
  </sheetData>
  <mergeCells count="3">
    <mergeCell ref="C2:G2"/>
    <mergeCell ref="J2:N2"/>
    <mergeCell ref="R2:S2"/>
  </mergeCells>
  <printOptions horizontalCentered="1" verticalCentered="1"/>
  <pageMargins left="0.7" right="0.7" top="0.75" bottom="0.75" header="0.3" footer="0.3"/>
  <pageSetup scale="44" orientation="landscape" horizontalDpi="1200" verticalDpi="1200"/>
  <headerFooter>
    <oddHeader>&amp;C&amp;A</oddHeader>
    <oddFooter>&amp;R&amp;D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R44"/>
  <sheetViews>
    <sheetView topLeftCell="A2" workbookViewId="0">
      <selection activeCell="J31" sqref="J30:J31"/>
    </sheetView>
  </sheetViews>
  <sheetFormatPr defaultRowHeight="15" x14ac:dyDescent="0.25"/>
  <cols>
    <col min="5" max="5" width="42.5703125" style="245" customWidth="1"/>
    <col min="6" max="6" width="12.140625" style="245" customWidth="1"/>
    <col min="7" max="7" width="12.85546875" style="245" customWidth="1"/>
    <col min="9" max="9" width="37.42578125" style="245" customWidth="1"/>
    <col min="10" max="10" width="39.140625" style="245" customWidth="1"/>
    <col min="11" max="11" width="24.28515625" style="245" customWidth="1"/>
    <col min="12" max="12" width="43.140625" style="245" customWidth="1"/>
    <col min="14" max="14" width="35.85546875" style="245" customWidth="1"/>
    <col min="15" max="15" width="9.140625" style="245" customWidth="1"/>
    <col min="16" max="16" width="11.85546875" style="245" customWidth="1"/>
    <col min="17" max="17" width="19.85546875" style="245" customWidth="1"/>
    <col min="18" max="18" width="27.28515625" style="245" customWidth="1"/>
  </cols>
  <sheetData>
    <row r="1" spans="1:18" x14ac:dyDescent="0.25">
      <c r="A1" s="49" t="s">
        <v>505</v>
      </c>
      <c r="B1" s="49" t="s">
        <v>506</v>
      </c>
      <c r="C1" s="156" t="s">
        <v>507</v>
      </c>
      <c r="E1" s="49" t="s">
        <v>508</v>
      </c>
      <c r="F1" s="49" t="s">
        <v>509</v>
      </c>
      <c r="G1" s="49" t="s">
        <v>510</v>
      </c>
      <c r="I1" s="49" t="s">
        <v>511</v>
      </c>
      <c r="J1" s="49" t="s">
        <v>512</v>
      </c>
      <c r="K1" s="49" t="s">
        <v>513</v>
      </c>
      <c r="L1" s="49" t="s">
        <v>508</v>
      </c>
      <c r="N1" t="s">
        <v>514</v>
      </c>
    </row>
    <row r="2" spans="1:18" ht="30.75" customHeight="1" x14ac:dyDescent="0.25">
      <c r="A2" s="166">
        <v>0</v>
      </c>
      <c r="B2" s="164">
        <v>2000</v>
      </c>
      <c r="C2" s="164">
        <v>2017</v>
      </c>
      <c r="D2">
        <v>0</v>
      </c>
      <c r="E2" s="166" t="s">
        <v>515</v>
      </c>
      <c r="F2" s="212">
        <v>25</v>
      </c>
      <c r="G2" s="329">
        <f t="shared" ref="G2:G11" si="0">INDEX($N$3:$R$12, MATCH(E2, $N$3:$N$12, 0), 5)</f>
        <v>0.27873894655901577</v>
      </c>
      <c r="I2" s="166" t="s">
        <v>157</v>
      </c>
      <c r="J2" s="166" t="s">
        <v>157</v>
      </c>
      <c r="K2" s="166" t="s">
        <v>516</v>
      </c>
      <c r="L2" s="166" t="s">
        <v>517</v>
      </c>
      <c r="N2" s="62" t="s">
        <v>518</v>
      </c>
      <c r="O2" s="63" t="s">
        <v>519</v>
      </c>
      <c r="P2" s="63" t="s">
        <v>520</v>
      </c>
      <c r="Q2" s="63" t="s">
        <v>521</v>
      </c>
      <c r="R2" s="63" t="s">
        <v>522</v>
      </c>
    </row>
    <row r="3" spans="1:18" x14ac:dyDescent="0.25">
      <c r="A3" s="166">
        <v>1</v>
      </c>
      <c r="B3" s="164">
        <f>INDEX('10 YEAR PROJECTION'!E5:T5, MATCH(TRUE, INDEX('10 YEAR PROJECTION'!E6:T6&lt;&gt;0, ), 0))</f>
        <v>2018</v>
      </c>
      <c r="C3" s="164">
        <v>2023</v>
      </c>
      <c r="D3">
        <v>1</v>
      </c>
      <c r="E3" s="166" t="s">
        <v>467</v>
      </c>
      <c r="F3" s="212">
        <v>32</v>
      </c>
      <c r="G3" s="329">
        <f t="shared" si="0"/>
        <v>0.34503271861986917</v>
      </c>
      <c r="I3" s="166" t="s">
        <v>52</v>
      </c>
      <c r="J3" s="166" t="s">
        <v>52</v>
      </c>
      <c r="K3" s="166" t="s">
        <v>52</v>
      </c>
      <c r="L3" s="166" t="s">
        <v>523</v>
      </c>
      <c r="N3" s="166" t="s">
        <v>515</v>
      </c>
      <c r="O3" s="164">
        <f>INDEX('Area Summary'!$A$5:$B$15, MATCH(N3, 'Area Summary'!$A$5:$A$15, 0), 2)</f>
        <v>15.606</v>
      </c>
      <c r="P3" s="213">
        <v>0.15</v>
      </c>
      <c r="Q3" s="330">
        <f t="shared" ref="Q3:Q12" si="1">$Q$13*P3</f>
        <v>4.3499999999999996</v>
      </c>
      <c r="R3" s="330">
        <f t="shared" ref="R3:R12" si="2">Q3/O3</f>
        <v>0.27873894655901577</v>
      </c>
    </row>
    <row r="4" spans="1:18" x14ac:dyDescent="0.25">
      <c r="A4" s="166">
        <v>2</v>
      </c>
      <c r="B4" s="164">
        <f>INDEX('10 YEAR PROJECTION'!E$5:T$5, MATCH(TRUE, INDEX('10 YEAR PROJECTION'!E14:T14&lt;&gt;0, ), 0))</f>
        <v>2021</v>
      </c>
      <c r="C4" s="164">
        <v>2026</v>
      </c>
      <c r="D4">
        <v>2</v>
      </c>
      <c r="E4" s="166" t="s">
        <v>524</v>
      </c>
      <c r="F4" s="212">
        <v>36</v>
      </c>
      <c r="G4" s="329">
        <f t="shared" si="0"/>
        <v>1.6402714932126699</v>
      </c>
      <c r="I4" s="166" t="s">
        <v>1</v>
      </c>
      <c r="J4" s="166" t="s">
        <v>525</v>
      </c>
      <c r="K4" s="166" t="s">
        <v>1</v>
      </c>
      <c r="L4" s="166" t="s">
        <v>515</v>
      </c>
      <c r="N4" s="166" t="s">
        <v>467</v>
      </c>
      <c r="O4" s="164">
        <f>INDEX('Area Summary'!$A$5:$B$15, MATCH(N4, 'Area Summary'!$A$5:$A$15, 0), 2)</f>
        <v>11.766999999999999</v>
      </c>
      <c r="P4" s="213">
        <v>0.14000000000000001</v>
      </c>
      <c r="Q4" s="330">
        <f t="shared" si="1"/>
        <v>4.0600000000000005</v>
      </c>
      <c r="R4" s="330">
        <f t="shared" si="2"/>
        <v>0.34503271861986917</v>
      </c>
    </row>
    <row r="5" spans="1:18" x14ac:dyDescent="0.25">
      <c r="A5" s="166">
        <v>3</v>
      </c>
      <c r="B5" s="164">
        <f>INDEX('10 YEAR PROJECTION'!E$5:T$5, MATCH(TRUE, INDEX('10 YEAR PROJECTION'!E22:T22&lt;&gt;0, ), 0))</f>
        <v>2024</v>
      </c>
      <c r="C5" s="164">
        <v>2029</v>
      </c>
      <c r="D5">
        <v>3</v>
      </c>
      <c r="E5" s="166" t="s">
        <v>526</v>
      </c>
      <c r="F5" s="212">
        <v>36</v>
      </c>
      <c r="G5" s="329">
        <f t="shared" si="0"/>
        <v>2.3525073746312684</v>
      </c>
      <c r="I5" s="166" t="s">
        <v>41</v>
      </c>
      <c r="J5" s="166" t="s">
        <v>527</v>
      </c>
      <c r="K5" s="166" t="s">
        <v>41</v>
      </c>
      <c r="L5" s="166" t="s">
        <v>515</v>
      </c>
      <c r="N5" s="166" t="s">
        <v>524</v>
      </c>
      <c r="O5" s="164">
        <f>INDEX('Area Summary'!$A$5:$B$15, MATCH(N5, 'Area Summary'!$A$5:$A$15, 0), 2)</f>
        <v>3.536</v>
      </c>
      <c r="P5" s="213">
        <v>0.2</v>
      </c>
      <c r="Q5" s="330">
        <f t="shared" si="1"/>
        <v>5.8000000000000007</v>
      </c>
      <c r="R5" s="330">
        <f t="shared" si="2"/>
        <v>1.6402714932126699</v>
      </c>
    </row>
    <row r="6" spans="1:18" x14ac:dyDescent="0.25">
      <c r="A6" s="166">
        <v>4</v>
      </c>
      <c r="B6" s="164">
        <f>INDEX('10 YEAR PROJECTION'!E$5:T$5, MATCH(TRUE, INDEX('10 YEAR PROJECTION'!E30:T30&lt;&gt;0, ), 0))</f>
        <v>2027</v>
      </c>
      <c r="C6" s="164">
        <v>2032</v>
      </c>
      <c r="D6">
        <v>4</v>
      </c>
      <c r="E6" s="166" t="s">
        <v>34</v>
      </c>
      <c r="F6" s="212">
        <v>37</v>
      </c>
      <c r="G6" s="329">
        <f t="shared" si="0"/>
        <v>0.23293172690763056</v>
      </c>
      <c r="I6" s="166" t="s">
        <v>500</v>
      </c>
      <c r="J6" s="166" t="s">
        <v>528</v>
      </c>
      <c r="K6" s="166" t="s">
        <v>500</v>
      </c>
      <c r="L6" s="166" t="s">
        <v>515</v>
      </c>
      <c r="N6" s="166" t="s">
        <v>526</v>
      </c>
      <c r="O6" s="164">
        <f>INDEX('Area Summary'!$A$5:$B$15, MATCH(N6, 'Area Summary'!$A$5:$A$15, 0), 2)</f>
        <v>2.7120000000000002</v>
      </c>
      <c r="P6" s="213">
        <v>0.22</v>
      </c>
      <c r="Q6" s="330">
        <f t="shared" si="1"/>
        <v>6.38</v>
      </c>
      <c r="R6" s="330">
        <f t="shared" si="2"/>
        <v>2.3525073746312684</v>
      </c>
    </row>
    <row r="7" spans="1:18" x14ac:dyDescent="0.25">
      <c r="A7" s="166">
        <v>5</v>
      </c>
      <c r="B7" s="164">
        <f>INDEX('10 YEAR PROJECTION'!E$5:T$5, MATCH(TRUE, INDEX('10 YEAR PROJECTION'!E38:T38&lt;&gt;0, ), 0))</f>
        <v>2029</v>
      </c>
      <c r="C7" s="164">
        <v>2035</v>
      </c>
      <c r="D7">
        <v>5</v>
      </c>
      <c r="E7" s="166" t="s">
        <v>523</v>
      </c>
      <c r="F7" s="212">
        <v>22</v>
      </c>
      <c r="G7" s="329">
        <f t="shared" si="0"/>
        <v>0.68035190615835772</v>
      </c>
      <c r="I7" s="166" t="s">
        <v>42</v>
      </c>
      <c r="J7" s="166" t="s">
        <v>529</v>
      </c>
      <c r="K7" s="166" t="s">
        <v>42</v>
      </c>
      <c r="L7" s="166" t="s">
        <v>515</v>
      </c>
      <c r="N7" s="166" t="s">
        <v>34</v>
      </c>
      <c r="O7" s="164">
        <f>INDEX('Area Summary'!$A$5:$B$15, MATCH(N7, 'Area Summary'!$A$5:$A$15, 0), 2)</f>
        <v>6.2249999999999996</v>
      </c>
      <c r="P7" s="213">
        <v>0.05</v>
      </c>
      <c r="Q7" s="330">
        <f t="shared" si="1"/>
        <v>1.4500000000000002</v>
      </c>
      <c r="R7" s="330">
        <f t="shared" si="2"/>
        <v>0.23293172690763056</v>
      </c>
    </row>
    <row r="8" spans="1:18" x14ac:dyDescent="0.25">
      <c r="E8" s="166" t="s">
        <v>530</v>
      </c>
      <c r="F8" s="212">
        <v>1</v>
      </c>
      <c r="G8" s="329">
        <f t="shared" si="0"/>
        <v>1.4864172219374681</v>
      </c>
      <c r="I8" s="166" t="s">
        <v>100</v>
      </c>
      <c r="J8" s="166" t="s">
        <v>531</v>
      </c>
      <c r="K8" s="166" t="s">
        <v>100</v>
      </c>
      <c r="L8" s="166" t="s">
        <v>515</v>
      </c>
      <c r="N8" s="166" t="s">
        <v>523</v>
      </c>
      <c r="O8" s="164">
        <f>INDEX('Area Summary'!$A$5:$B$15, MATCH(N8, 'Area Summary'!$A$5:$A$15, 0), 2)</f>
        <v>3.41</v>
      </c>
      <c r="P8" s="213">
        <v>0.08</v>
      </c>
      <c r="Q8" s="330">
        <f t="shared" si="1"/>
        <v>2.3199999999999998</v>
      </c>
      <c r="R8" s="330">
        <f t="shared" si="2"/>
        <v>0.68035190615835772</v>
      </c>
    </row>
    <row r="9" spans="1:18" x14ac:dyDescent="0.25">
      <c r="E9" s="166" t="s">
        <v>532</v>
      </c>
      <c r="F9" s="212">
        <v>10</v>
      </c>
      <c r="G9" s="329">
        <f t="shared" si="0"/>
        <v>0.1124031007751938</v>
      </c>
      <c r="I9" s="166" t="s">
        <v>79</v>
      </c>
      <c r="J9" s="166" t="s">
        <v>533</v>
      </c>
      <c r="K9" s="166" t="s">
        <v>534</v>
      </c>
      <c r="L9" s="166" t="s">
        <v>515</v>
      </c>
      <c r="N9" s="166" t="s">
        <v>530</v>
      </c>
      <c r="O9" s="164">
        <f>INDEX('Area Summary'!$A$5:$B$15, MATCH(N9, 'Area Summary'!$A$5:$A$15, 0), 2)</f>
        <v>1.9510000000000001</v>
      </c>
      <c r="P9" s="213">
        <v>0.1</v>
      </c>
      <c r="Q9" s="330">
        <f t="shared" si="1"/>
        <v>2.9000000000000004</v>
      </c>
      <c r="R9" s="330">
        <f t="shared" si="2"/>
        <v>1.4864172219374681</v>
      </c>
    </row>
    <row r="10" spans="1:18" x14ac:dyDescent="0.25">
      <c r="E10" s="166" t="s">
        <v>87</v>
      </c>
      <c r="F10" s="212">
        <v>15</v>
      </c>
      <c r="G10" s="329">
        <f t="shared" si="0"/>
        <v>0.59793814432989689</v>
      </c>
      <c r="I10" s="166" t="s">
        <v>502</v>
      </c>
      <c r="J10" s="166" t="s">
        <v>535</v>
      </c>
      <c r="K10" s="166" t="s">
        <v>502</v>
      </c>
      <c r="L10" s="166" t="s">
        <v>515</v>
      </c>
      <c r="N10" s="166" t="s">
        <v>532</v>
      </c>
      <c r="O10" s="164">
        <f>INDEX('Area Summary'!$A$5:$B$15, MATCH(N10, 'Area Summary'!$A$5:$A$15, 0), 2)</f>
        <v>0.51600000000000001</v>
      </c>
      <c r="P10" s="213">
        <v>2E-3</v>
      </c>
      <c r="Q10" s="330">
        <f t="shared" si="1"/>
        <v>5.8000000000000003E-2</v>
      </c>
      <c r="R10" s="330">
        <f t="shared" si="2"/>
        <v>0.1124031007751938</v>
      </c>
    </row>
    <row r="11" spans="1:18" x14ac:dyDescent="0.25">
      <c r="E11" s="166" t="s">
        <v>517</v>
      </c>
      <c r="F11" s="212">
        <v>35</v>
      </c>
      <c r="G11" s="329">
        <f t="shared" si="0"/>
        <v>0.53074670571010252</v>
      </c>
      <c r="I11" s="166" t="s">
        <v>31</v>
      </c>
      <c r="J11" s="166" t="s">
        <v>536</v>
      </c>
      <c r="K11" s="166" t="s">
        <v>31</v>
      </c>
      <c r="L11" s="166" t="s">
        <v>532</v>
      </c>
      <c r="N11" s="166" t="s">
        <v>87</v>
      </c>
      <c r="O11" s="164">
        <f>INDEX('Area Summary'!$A$5:$B$15, MATCH(N11, 'Area Summary'!$A$5:$A$15, 0), 2)</f>
        <v>0.38800000000000001</v>
      </c>
      <c r="P11" s="213">
        <v>8.0000000000000002E-3</v>
      </c>
      <c r="Q11" s="330">
        <f t="shared" si="1"/>
        <v>0.23200000000000001</v>
      </c>
      <c r="R11" s="330">
        <f t="shared" si="2"/>
        <v>0.59793814432989689</v>
      </c>
    </row>
    <row r="12" spans="1:18" x14ac:dyDescent="0.25">
      <c r="E12" s="64" t="s">
        <v>537</v>
      </c>
      <c r="I12" s="166" t="s">
        <v>34</v>
      </c>
      <c r="J12" s="166" t="s">
        <v>34</v>
      </c>
      <c r="K12" s="166" t="s">
        <v>538</v>
      </c>
      <c r="L12" s="166" t="s">
        <v>34</v>
      </c>
      <c r="N12" s="166" t="s">
        <v>517</v>
      </c>
      <c r="O12" s="164">
        <f>INDEX('Area Summary'!$A$5:$B$15, MATCH(N12, 'Area Summary'!$A$5:$A$15, 0), 2)</f>
        <v>2.7320000000000002</v>
      </c>
      <c r="P12" s="213">
        <v>0.05</v>
      </c>
      <c r="Q12" s="330">
        <f t="shared" si="1"/>
        <v>1.4500000000000002</v>
      </c>
      <c r="R12" s="330">
        <f t="shared" si="2"/>
        <v>0.53074670571010252</v>
      </c>
    </row>
    <row r="13" spans="1:18" x14ac:dyDescent="0.25">
      <c r="E13" t="s">
        <v>539</v>
      </c>
      <c r="I13" s="166" t="s">
        <v>5</v>
      </c>
      <c r="J13" s="166" t="s">
        <v>5</v>
      </c>
      <c r="K13" s="166" t="s">
        <v>5</v>
      </c>
      <c r="L13" s="166" t="s">
        <v>526</v>
      </c>
      <c r="N13" s="166" t="s">
        <v>269</v>
      </c>
      <c r="O13" s="164">
        <f>SUM(O3:O12)</f>
        <v>48.842999999999996</v>
      </c>
      <c r="P13" s="166">
        <f>SUM(P3:P12)</f>
        <v>1</v>
      </c>
      <c r="Q13" s="212">
        <v>29</v>
      </c>
      <c r="R13" s="166"/>
    </row>
    <row r="14" spans="1:18" x14ac:dyDescent="0.25">
      <c r="E14" t="s">
        <v>540</v>
      </c>
      <c r="I14" s="166" t="s">
        <v>4</v>
      </c>
      <c r="J14" s="166" t="s">
        <v>541</v>
      </c>
      <c r="K14" s="166" t="s">
        <v>4</v>
      </c>
      <c r="L14" s="166" t="s">
        <v>517</v>
      </c>
    </row>
    <row r="15" spans="1:18" ht="15.75" customHeight="1" thickBot="1" x14ac:dyDescent="0.3">
      <c r="I15" s="166" t="s">
        <v>490</v>
      </c>
      <c r="J15" s="166" t="s">
        <v>542</v>
      </c>
      <c r="K15" s="166" t="s">
        <v>490</v>
      </c>
      <c r="L15" s="166" t="s">
        <v>517</v>
      </c>
    </row>
    <row r="16" spans="1:18" ht="15.75" customHeight="1" thickBot="1" x14ac:dyDescent="0.3">
      <c r="E16" s="209" t="s">
        <v>543</v>
      </c>
      <c r="I16" s="166" t="s">
        <v>492</v>
      </c>
      <c r="J16" s="166" t="s">
        <v>542</v>
      </c>
      <c r="K16" s="166" t="s">
        <v>492</v>
      </c>
      <c r="L16" s="166" t="s">
        <v>517</v>
      </c>
    </row>
    <row r="17" spans="5:12" ht="15.75" customHeight="1" thickBot="1" x14ac:dyDescent="0.3">
      <c r="E17" s="210" t="s">
        <v>14</v>
      </c>
      <c r="I17" s="166" t="s">
        <v>494</v>
      </c>
      <c r="J17" s="166" t="s">
        <v>542</v>
      </c>
      <c r="K17" s="166" t="s">
        <v>494</v>
      </c>
      <c r="L17" s="166" t="s">
        <v>517</v>
      </c>
    </row>
    <row r="18" spans="5:12" ht="15.75" customHeight="1" thickBot="1" x14ac:dyDescent="0.3">
      <c r="E18" s="211" t="s">
        <v>16</v>
      </c>
      <c r="I18" s="166" t="s">
        <v>2</v>
      </c>
      <c r="J18" s="166" t="s">
        <v>544</v>
      </c>
      <c r="K18" s="166" t="s">
        <v>2</v>
      </c>
      <c r="L18" s="166" t="s">
        <v>517</v>
      </c>
    </row>
    <row r="19" spans="5:12" x14ac:dyDescent="0.25">
      <c r="I19" s="166" t="s">
        <v>55</v>
      </c>
      <c r="J19" s="166" t="s">
        <v>545</v>
      </c>
      <c r="K19" s="166" t="s">
        <v>55</v>
      </c>
      <c r="L19" s="166" t="s">
        <v>517</v>
      </c>
    </row>
    <row r="20" spans="5:12" x14ac:dyDescent="0.25">
      <c r="I20" s="166" t="s">
        <v>496</v>
      </c>
      <c r="J20" s="166" t="s">
        <v>545</v>
      </c>
      <c r="K20" s="166" t="s">
        <v>496</v>
      </c>
      <c r="L20" s="166" t="s">
        <v>517</v>
      </c>
    </row>
    <row r="21" spans="5:12" x14ac:dyDescent="0.25">
      <c r="I21" s="166" t="s">
        <v>498</v>
      </c>
      <c r="J21" s="166" t="s">
        <v>545</v>
      </c>
      <c r="K21" s="166" t="s">
        <v>498</v>
      </c>
      <c r="L21" s="166" t="s">
        <v>517</v>
      </c>
    </row>
    <row r="22" spans="5:12" x14ac:dyDescent="0.25">
      <c r="I22" s="166" t="s">
        <v>36</v>
      </c>
      <c r="J22" s="166" t="s">
        <v>546</v>
      </c>
      <c r="K22" s="166" t="s">
        <v>36</v>
      </c>
      <c r="L22" s="166" t="s">
        <v>36</v>
      </c>
    </row>
    <row r="23" spans="5:12" x14ac:dyDescent="0.25">
      <c r="I23" s="166" t="s">
        <v>87</v>
      </c>
      <c r="J23" s="166" t="s">
        <v>87</v>
      </c>
      <c r="K23" s="166" t="s">
        <v>547</v>
      </c>
      <c r="L23" s="166" t="s">
        <v>87</v>
      </c>
    </row>
    <row r="24" spans="5:12" x14ac:dyDescent="0.25">
      <c r="I24" s="166" t="s">
        <v>48</v>
      </c>
      <c r="J24" s="166" t="s">
        <v>464</v>
      </c>
      <c r="K24" s="166" t="s">
        <v>48</v>
      </c>
      <c r="L24" s="166" t="s">
        <v>467</v>
      </c>
    </row>
    <row r="25" spans="5:12" x14ac:dyDescent="0.25">
      <c r="I25" s="166" t="s">
        <v>97</v>
      </c>
      <c r="J25" s="166" t="s">
        <v>548</v>
      </c>
      <c r="K25" s="166" t="s">
        <v>97</v>
      </c>
      <c r="L25" s="166" t="s">
        <v>467</v>
      </c>
    </row>
    <row r="26" spans="5:12" ht="15" customHeight="1" x14ac:dyDescent="0.25">
      <c r="I26" s="166" t="s">
        <v>40</v>
      </c>
      <c r="J26" s="166" t="s">
        <v>463</v>
      </c>
      <c r="K26" s="166" t="s">
        <v>40</v>
      </c>
      <c r="L26" s="166" t="s">
        <v>515</v>
      </c>
    </row>
    <row r="27" spans="5:12" ht="15" customHeight="1" x14ac:dyDescent="0.25">
      <c r="I27" s="166" t="s">
        <v>484</v>
      </c>
      <c r="J27" s="166" t="s">
        <v>485</v>
      </c>
      <c r="K27" s="166" t="s">
        <v>484</v>
      </c>
      <c r="L27" s="166" t="s">
        <v>517</v>
      </c>
    </row>
    <row r="28" spans="5:12" ht="15" customHeight="1" x14ac:dyDescent="0.25">
      <c r="I28" s="166" t="s">
        <v>486</v>
      </c>
      <c r="J28" s="166" t="s">
        <v>487</v>
      </c>
      <c r="K28" s="166" t="s">
        <v>486</v>
      </c>
      <c r="L28" s="166" t="s">
        <v>517</v>
      </c>
    </row>
    <row r="29" spans="5:12" ht="15" customHeight="1" x14ac:dyDescent="0.25">
      <c r="I29" s="166" t="s">
        <v>57</v>
      </c>
      <c r="J29" s="166" t="s">
        <v>57</v>
      </c>
      <c r="K29" s="166" t="s">
        <v>549</v>
      </c>
      <c r="L29" s="166" t="s">
        <v>530</v>
      </c>
    </row>
    <row r="30" spans="5:12" ht="15" customHeight="1" x14ac:dyDescent="0.25">
      <c r="I30" s="166" t="s">
        <v>354</v>
      </c>
      <c r="J30" s="166" t="s">
        <v>354</v>
      </c>
      <c r="K30" s="166" t="s">
        <v>550</v>
      </c>
      <c r="L30" s="166" t="s">
        <v>530</v>
      </c>
    </row>
    <row r="31" spans="5:12" ht="15" customHeight="1" x14ac:dyDescent="0.25">
      <c r="I31" s="166" t="s">
        <v>198</v>
      </c>
      <c r="J31" s="166" t="s">
        <v>466</v>
      </c>
      <c r="K31" s="166" t="s">
        <v>551</v>
      </c>
      <c r="L31" s="166" t="s">
        <v>524</v>
      </c>
    </row>
    <row r="32" spans="5:12" ht="15" customHeight="1" x14ac:dyDescent="0.25">
      <c r="I32" s="166" t="s">
        <v>105</v>
      </c>
      <c r="J32" s="166" t="s">
        <v>469</v>
      </c>
      <c r="K32" s="166" t="s">
        <v>552</v>
      </c>
      <c r="L32" s="166" t="s">
        <v>526</v>
      </c>
    </row>
    <row r="35" spans="6:9" x14ac:dyDescent="0.25">
      <c r="F35" s="382" t="s">
        <v>460</v>
      </c>
      <c r="G35" s="379"/>
    </row>
    <row r="36" spans="6:9" x14ac:dyDescent="0.25">
      <c r="F36" s="248"/>
      <c r="G36" s="241" t="s">
        <v>444</v>
      </c>
      <c r="H36" s="248"/>
    </row>
    <row r="37" spans="6:9" x14ac:dyDescent="0.25">
      <c r="F37" s="147" t="s">
        <v>464</v>
      </c>
      <c r="G37" s="148">
        <v>2.73</v>
      </c>
      <c r="H37" s="248"/>
    </row>
    <row r="38" spans="6:9" x14ac:dyDescent="0.25">
      <c r="F38" s="147" t="s">
        <v>467</v>
      </c>
      <c r="G38" s="148">
        <v>2.68</v>
      </c>
      <c r="H38" s="248"/>
      <c r="I38">
        <f>G37*3*640</f>
        <v>5241.5999999999995</v>
      </c>
    </row>
    <row r="39" spans="6:9" x14ac:dyDescent="0.25">
      <c r="F39" s="147" t="s">
        <v>470</v>
      </c>
      <c r="G39" s="148">
        <v>1.01</v>
      </c>
      <c r="H39" s="248"/>
    </row>
    <row r="40" spans="6:9" x14ac:dyDescent="0.25">
      <c r="F40" s="147" t="s">
        <v>472</v>
      </c>
      <c r="G40" s="148">
        <v>3.18</v>
      </c>
      <c r="H40" s="248"/>
    </row>
    <row r="41" spans="6:9" x14ac:dyDescent="0.25">
      <c r="F41" s="147" t="s">
        <v>474</v>
      </c>
      <c r="G41" s="148">
        <v>3.13</v>
      </c>
      <c r="H41" s="248"/>
    </row>
    <row r="42" spans="6:9" x14ac:dyDescent="0.25">
      <c r="F42" s="147" t="s">
        <v>477</v>
      </c>
      <c r="G42" s="148">
        <v>3.86</v>
      </c>
      <c r="H42" s="248" t="s">
        <v>475</v>
      </c>
    </row>
    <row r="43" spans="6:9" x14ac:dyDescent="0.25">
      <c r="F43" s="147" t="s">
        <v>479</v>
      </c>
      <c r="G43" s="148">
        <v>5.38</v>
      </c>
      <c r="H43" s="248"/>
    </row>
    <row r="44" spans="6:9" x14ac:dyDescent="0.25">
      <c r="H44" s="248" t="s">
        <v>480</v>
      </c>
    </row>
  </sheetData>
  <mergeCells count="1">
    <mergeCell ref="F35:G35"/>
  </mergeCell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W48"/>
  <sheetViews>
    <sheetView topLeftCell="A34" workbookViewId="0">
      <selection activeCell="G5" sqref="G5"/>
    </sheetView>
  </sheetViews>
  <sheetFormatPr defaultRowHeight="15" x14ac:dyDescent="0.25"/>
  <cols>
    <col min="1" max="1" width="18.5703125" style="245" customWidth="1"/>
    <col min="2" max="7" width="12.85546875" style="58" customWidth="1"/>
    <col min="8" max="8" width="7.85546875" style="245" customWidth="1"/>
    <col min="9" max="9" width="17.7109375" style="60" customWidth="1"/>
    <col min="10" max="15" width="12.85546875" style="245" customWidth="1"/>
  </cols>
  <sheetData>
    <row r="1" spans="1:23" ht="37.5" customHeight="1" x14ac:dyDescent="0.25">
      <c r="A1" s="61" t="s">
        <v>553</v>
      </c>
    </row>
    <row r="2" spans="1:23" ht="15.75" customHeight="1" thickBot="1" x14ac:dyDescent="0.3">
      <c r="B2" s="98" t="s">
        <v>554</v>
      </c>
      <c r="C2" s="98">
        <f>'10 YEAR PROJECTION'!I5</f>
        <v>2022</v>
      </c>
      <c r="D2" s="98">
        <f>'10 YEAR PROJECTION'!L5</f>
        <v>2025</v>
      </c>
      <c r="E2" s="98">
        <f>'10 YEAR PROJECTION'!O5</f>
        <v>2028</v>
      </c>
      <c r="F2" s="98">
        <f>'10 YEAR PROJECTION'!R5</f>
        <v>2031</v>
      </c>
      <c r="G2" s="98">
        <f>'10 YEAR PROJECTION'!T5</f>
        <v>2033</v>
      </c>
    </row>
    <row r="3" spans="1:23" ht="26.25" customHeight="1" x14ac:dyDescent="0.25">
      <c r="A3" s="393" t="s">
        <v>518</v>
      </c>
      <c r="B3" s="391" t="s">
        <v>555</v>
      </c>
      <c r="C3" s="391" t="s">
        <v>556</v>
      </c>
      <c r="D3" s="391" t="s">
        <v>557</v>
      </c>
      <c r="E3" s="391" t="s">
        <v>558</v>
      </c>
      <c r="F3" s="391" t="s">
        <v>559</v>
      </c>
      <c r="G3" s="391" t="s">
        <v>560</v>
      </c>
      <c r="I3" s="393" t="s">
        <v>561</v>
      </c>
      <c r="J3" s="391" t="s">
        <v>562</v>
      </c>
      <c r="K3" s="391" t="s">
        <v>563</v>
      </c>
      <c r="L3" s="391" t="s">
        <v>564</v>
      </c>
      <c r="M3" s="391" t="s">
        <v>565</v>
      </c>
      <c r="N3" s="391" t="s">
        <v>566</v>
      </c>
      <c r="O3" s="391" t="s">
        <v>567</v>
      </c>
      <c r="Q3" s="109" t="s">
        <v>13</v>
      </c>
      <c r="R3" s="109"/>
      <c r="S3" s="109"/>
      <c r="T3" s="109"/>
      <c r="U3" s="109"/>
      <c r="V3" s="109"/>
    </row>
    <row r="4" spans="1:23" ht="26.25" customHeight="1" thickBot="1" x14ac:dyDescent="0.3">
      <c r="A4" s="394"/>
      <c r="B4" s="392"/>
      <c r="C4" s="392"/>
      <c r="D4" s="392"/>
      <c r="E4" s="392"/>
      <c r="F4" s="392"/>
      <c r="G4" s="392"/>
      <c r="I4" s="394"/>
      <c r="J4" s="392"/>
      <c r="K4" s="392"/>
      <c r="L4" s="392"/>
      <c r="M4" s="392"/>
      <c r="N4" s="392"/>
      <c r="O4" s="392"/>
      <c r="Q4" s="114" t="s">
        <v>16</v>
      </c>
      <c r="R4" s="115"/>
      <c r="S4" s="114"/>
      <c r="T4" s="115"/>
      <c r="U4" s="114"/>
      <c r="V4" s="114"/>
    </row>
    <row r="5" spans="1:23" s="59" customFormat="1" ht="32.25" customHeight="1" thickBot="1" x14ac:dyDescent="0.25">
      <c r="A5" s="65" t="s">
        <v>523</v>
      </c>
      <c r="B5" s="152">
        <v>3.41</v>
      </c>
      <c r="C5" s="152">
        <v>3.41</v>
      </c>
      <c r="D5" s="152">
        <v>4.0019999999999998</v>
      </c>
      <c r="E5" s="152">
        <v>4.5739999999999998</v>
      </c>
      <c r="F5" s="152">
        <v>4.5739999999999998</v>
      </c>
      <c r="G5" s="152">
        <v>4.5739999999999998</v>
      </c>
      <c r="I5" s="65" t="s">
        <v>157</v>
      </c>
      <c r="J5" s="153">
        <v>1.073</v>
      </c>
      <c r="K5" s="153">
        <v>1.073</v>
      </c>
      <c r="L5" s="153">
        <v>1.073</v>
      </c>
      <c r="M5" s="153">
        <v>1.073</v>
      </c>
      <c r="N5" s="153">
        <v>1.073</v>
      </c>
      <c r="O5" s="153">
        <v>1.073</v>
      </c>
      <c r="Q5" s="112" t="s">
        <v>15</v>
      </c>
      <c r="R5" s="112"/>
      <c r="S5" s="112"/>
      <c r="T5" s="112"/>
      <c r="U5" s="112"/>
      <c r="V5" s="112"/>
    </row>
    <row r="6" spans="1:23" s="59" customFormat="1" ht="32.25" customHeight="1" thickBot="1" x14ac:dyDescent="0.25">
      <c r="A6" s="65" t="s">
        <v>532</v>
      </c>
      <c r="B6" s="163">
        <v>0.51600000000000001</v>
      </c>
      <c r="C6" s="152">
        <v>0.51600000000000001</v>
      </c>
      <c r="D6" s="152">
        <v>0.51600000000000001</v>
      </c>
      <c r="E6" s="152">
        <v>0.51600000000000001</v>
      </c>
      <c r="F6" s="152">
        <v>0.51600000000000001</v>
      </c>
      <c r="G6" s="152">
        <v>0.51600000000000001</v>
      </c>
      <c r="I6" s="65" t="s">
        <v>52</v>
      </c>
      <c r="J6" s="153">
        <v>3.41</v>
      </c>
      <c r="K6" s="153">
        <v>3.41</v>
      </c>
      <c r="L6" s="153">
        <v>4.0019999999999998</v>
      </c>
      <c r="M6" s="153">
        <v>4.5739999999999998</v>
      </c>
      <c r="N6" s="153">
        <v>4.5739999999999998</v>
      </c>
      <c r="O6" s="153">
        <v>4.5739999999999998</v>
      </c>
    </row>
    <row r="7" spans="1:23" s="59" customFormat="1" ht="32.25" customHeight="1" thickBot="1" x14ac:dyDescent="0.25">
      <c r="A7" s="65" t="s">
        <v>34</v>
      </c>
      <c r="B7" s="163">
        <v>6.2249999999999996</v>
      </c>
      <c r="C7" s="152">
        <v>8.0559999999999992</v>
      </c>
      <c r="D7" s="152">
        <v>8.6210000000000004</v>
      </c>
      <c r="E7" s="152">
        <v>8.6210000000000004</v>
      </c>
      <c r="F7" s="152">
        <v>8.8919999999999995</v>
      </c>
      <c r="G7" s="152">
        <v>8.8919999999999995</v>
      </c>
      <c r="I7" s="65" t="s">
        <v>1</v>
      </c>
      <c r="J7" s="153">
        <v>1.0940000000000001</v>
      </c>
      <c r="K7" s="153">
        <v>1.0940000000000001</v>
      </c>
      <c r="L7" s="153">
        <v>1.0940000000000001</v>
      </c>
      <c r="M7" s="153">
        <v>1.0940000000000001</v>
      </c>
      <c r="N7" s="153">
        <v>1.0940000000000001</v>
      </c>
      <c r="O7" s="153">
        <v>1.0940000000000001</v>
      </c>
    </row>
    <row r="8" spans="1:23" s="59" customFormat="1" ht="32.25" customHeight="1" thickBot="1" x14ac:dyDescent="0.25">
      <c r="A8" s="65" t="s">
        <v>517</v>
      </c>
      <c r="B8" s="163">
        <v>2.7320000000000002</v>
      </c>
      <c r="C8" s="152">
        <v>3.8849999999999998</v>
      </c>
      <c r="D8" s="152">
        <v>5.7110000000000003</v>
      </c>
      <c r="E8" s="152">
        <v>8.0540000000000003</v>
      </c>
      <c r="F8" s="152">
        <v>9.8879999999999999</v>
      </c>
      <c r="G8" s="152">
        <v>11.709</v>
      </c>
      <c r="I8" s="65" t="s">
        <v>41</v>
      </c>
      <c r="J8" s="153">
        <v>1.7589999999999999</v>
      </c>
      <c r="K8" s="153">
        <v>1.7589999999999999</v>
      </c>
      <c r="L8" s="153">
        <v>1.7589999999999999</v>
      </c>
      <c r="M8" s="153">
        <v>1.4570000000000001</v>
      </c>
      <c r="N8" s="153">
        <v>1.329</v>
      </c>
      <c r="O8" s="153">
        <v>1.0940000000000001</v>
      </c>
    </row>
    <row r="9" spans="1:23" s="59" customFormat="1" ht="32.25" customHeight="1" thickBot="1" x14ac:dyDescent="0.25">
      <c r="A9" s="65" t="s">
        <v>524</v>
      </c>
      <c r="B9" s="163">
        <v>3.536</v>
      </c>
      <c r="C9" s="152">
        <v>3.3149999999999999</v>
      </c>
      <c r="D9" s="152">
        <v>1.5660000000000001</v>
      </c>
      <c r="E9" s="152">
        <v>0.879</v>
      </c>
      <c r="F9" s="152">
        <v>0.879</v>
      </c>
      <c r="G9" s="152">
        <v>0.879</v>
      </c>
      <c r="I9" s="65" t="s">
        <v>500</v>
      </c>
      <c r="J9" s="153">
        <v>0</v>
      </c>
      <c r="K9" s="153">
        <v>0</v>
      </c>
      <c r="L9" s="153">
        <v>0</v>
      </c>
      <c r="M9" s="153">
        <v>0</v>
      </c>
      <c r="N9" s="153">
        <v>0</v>
      </c>
      <c r="O9" s="153">
        <v>0</v>
      </c>
    </row>
    <row r="10" spans="1:23" s="59" customFormat="1" ht="32.25" customHeight="1" thickBot="1" x14ac:dyDescent="0.25">
      <c r="A10" s="65" t="s">
        <v>526</v>
      </c>
      <c r="B10" s="163">
        <v>2.7120000000000002</v>
      </c>
      <c r="C10" s="152">
        <v>2.7120000000000002</v>
      </c>
      <c r="D10" s="152">
        <v>2.7120000000000002</v>
      </c>
      <c r="E10" s="152">
        <v>2.5979999999999999</v>
      </c>
      <c r="F10" s="152">
        <v>2.5979999999999999</v>
      </c>
      <c r="G10" s="152">
        <v>2.5979999999999999</v>
      </c>
      <c r="I10" s="65" t="s">
        <v>42</v>
      </c>
      <c r="J10" s="153">
        <v>3.6280000000000001</v>
      </c>
      <c r="K10" s="153">
        <v>3.2440000000000002</v>
      </c>
      <c r="L10" s="153">
        <v>3.1949999999999998</v>
      </c>
      <c r="M10" s="153">
        <v>2.3740000000000001</v>
      </c>
      <c r="N10" s="153">
        <v>2.847</v>
      </c>
      <c r="O10" s="153">
        <v>2.3809999999999998</v>
      </c>
    </row>
    <row r="11" spans="1:23" s="59" customFormat="1" ht="32.25" customHeight="1" thickBot="1" x14ac:dyDescent="0.25">
      <c r="A11" s="65" t="s">
        <v>87</v>
      </c>
      <c r="B11" s="163">
        <v>0.38800000000000001</v>
      </c>
      <c r="C11" s="152">
        <v>0.38800000000000001</v>
      </c>
      <c r="D11" s="152">
        <v>0.38800000000000001</v>
      </c>
      <c r="E11" s="152">
        <v>0.38800000000000001</v>
      </c>
      <c r="F11" s="152">
        <v>0.38800000000000001</v>
      </c>
      <c r="G11" s="152">
        <v>0.38800000000000001</v>
      </c>
      <c r="I11" s="65" t="s">
        <v>100</v>
      </c>
      <c r="J11" s="153">
        <v>1.3140000000000001</v>
      </c>
      <c r="K11" s="153">
        <v>1.3140000000000001</v>
      </c>
      <c r="L11" s="153">
        <v>1.3140000000000001</v>
      </c>
      <c r="M11" s="153">
        <v>1.3140000000000001</v>
      </c>
      <c r="N11" s="153">
        <v>0.182</v>
      </c>
      <c r="O11" s="153">
        <v>0</v>
      </c>
    </row>
    <row r="12" spans="1:23" s="59" customFormat="1" ht="32.25" customHeight="1" thickBot="1" x14ac:dyDescent="0.25">
      <c r="A12" s="65" t="s">
        <v>467</v>
      </c>
      <c r="B12" s="163">
        <v>11.766999999999999</v>
      </c>
      <c r="C12" s="152">
        <v>10.976000000000001</v>
      </c>
      <c r="D12" s="152">
        <v>8.5399999999999991</v>
      </c>
      <c r="E12" s="152">
        <v>7.9359999999999999</v>
      </c>
      <c r="F12" s="152">
        <v>6.7119999999999997</v>
      </c>
      <c r="G12" s="152">
        <v>5.3819999999999997</v>
      </c>
      <c r="I12" s="65" t="s">
        <v>79</v>
      </c>
      <c r="J12" s="153">
        <v>1.7529999999999999</v>
      </c>
      <c r="K12" s="153">
        <v>1.7529999999999999</v>
      </c>
      <c r="L12" s="153">
        <v>1.7529999999999999</v>
      </c>
      <c r="M12" s="153">
        <v>1.7529999999999999</v>
      </c>
      <c r="N12" s="153">
        <v>0.93899999999999995</v>
      </c>
      <c r="O12" s="153">
        <v>0</v>
      </c>
    </row>
    <row r="13" spans="1:23" s="59" customFormat="1" ht="32.25" customHeight="1" thickBot="1" x14ac:dyDescent="0.25">
      <c r="A13" s="65" t="s">
        <v>530</v>
      </c>
      <c r="B13" s="163">
        <v>1.9510000000000001</v>
      </c>
      <c r="C13" s="152">
        <v>2.3319999999999999</v>
      </c>
      <c r="D13" s="152">
        <v>3.6110000000000002</v>
      </c>
      <c r="E13" s="152">
        <v>5.7480000000000002</v>
      </c>
      <c r="F13" s="152">
        <v>6.74</v>
      </c>
      <c r="G13" s="152">
        <v>8.0690000000000008</v>
      </c>
      <c r="I13" s="65" t="s">
        <v>502</v>
      </c>
      <c r="J13" s="153">
        <v>0</v>
      </c>
      <c r="K13" s="153">
        <v>0</v>
      </c>
      <c r="L13" s="153">
        <v>0</v>
      </c>
      <c r="M13" s="153">
        <v>0</v>
      </c>
      <c r="N13" s="153">
        <v>0</v>
      </c>
      <c r="O13" s="153">
        <v>0</v>
      </c>
    </row>
    <row r="14" spans="1:23" s="59" customFormat="1" ht="32.25" customHeight="1" thickBot="1" x14ac:dyDescent="0.25">
      <c r="A14" s="65" t="s">
        <v>515</v>
      </c>
      <c r="B14" s="159">
        <v>15.606</v>
      </c>
      <c r="C14" s="152">
        <v>13.253</v>
      </c>
      <c r="D14" s="152">
        <v>13.204000000000001</v>
      </c>
      <c r="E14" s="152">
        <v>9.5549999999999997</v>
      </c>
      <c r="F14" s="152">
        <v>7.6849999999999996</v>
      </c>
      <c r="G14" s="152">
        <v>5.8639999999999999</v>
      </c>
      <c r="I14" s="65" t="s">
        <v>31</v>
      </c>
      <c r="J14" s="153">
        <v>0.51600000000000001</v>
      </c>
      <c r="K14" s="153">
        <v>0.51600000000000001</v>
      </c>
      <c r="L14" s="153">
        <v>0.51600000000000001</v>
      </c>
      <c r="M14" s="153">
        <v>0.51600000000000001</v>
      </c>
      <c r="N14" s="153">
        <v>0.51600000000000001</v>
      </c>
      <c r="O14" s="153">
        <v>0.51600000000000001</v>
      </c>
    </row>
    <row r="15" spans="1:23" s="59" customFormat="1" ht="32.25" customHeight="1" thickBot="1" x14ac:dyDescent="0.25">
      <c r="A15" s="65" t="s">
        <v>568</v>
      </c>
      <c r="B15" s="160">
        <v>48.87</v>
      </c>
      <c r="C15" s="152">
        <v>48.87</v>
      </c>
      <c r="D15" s="152">
        <v>48.87</v>
      </c>
      <c r="E15" s="152">
        <v>48.87</v>
      </c>
      <c r="F15" s="152">
        <v>48.87</v>
      </c>
      <c r="G15" s="152">
        <v>48.87</v>
      </c>
      <c r="I15" s="65" t="s">
        <v>34</v>
      </c>
      <c r="J15" s="153">
        <v>6.2249999999999996</v>
      </c>
      <c r="K15" s="153">
        <v>8.0559999999999992</v>
      </c>
      <c r="L15" s="153">
        <v>8.6210000000000004</v>
      </c>
      <c r="M15" s="153">
        <v>8.6210000000000004</v>
      </c>
      <c r="N15" s="153">
        <v>8.8919999999999995</v>
      </c>
      <c r="O15" s="153">
        <v>8.8919999999999995</v>
      </c>
    </row>
    <row r="16" spans="1:23" ht="32.25" customHeight="1" thickBot="1" x14ac:dyDescent="0.4">
      <c r="A16" s="397" t="s">
        <v>569</v>
      </c>
      <c r="B16" s="398"/>
      <c r="C16" s="398"/>
      <c r="D16" s="398"/>
      <c r="E16" s="398"/>
      <c r="F16" s="398"/>
      <c r="G16" s="398"/>
      <c r="I16" s="65" t="s">
        <v>5</v>
      </c>
      <c r="J16" s="153">
        <v>2.3610000000000002</v>
      </c>
      <c r="K16" s="153">
        <v>2.3610000000000002</v>
      </c>
      <c r="L16" s="153">
        <v>2.3610000000000002</v>
      </c>
      <c r="M16" s="153">
        <v>2.3610000000000002</v>
      </c>
      <c r="N16" s="153">
        <v>2.3610000000000002</v>
      </c>
      <c r="O16" s="153">
        <v>2.3610000000000002</v>
      </c>
      <c r="R16" s="59"/>
      <c r="S16" s="59"/>
      <c r="T16" s="59"/>
      <c r="U16" s="59"/>
      <c r="V16" s="59"/>
      <c r="W16" s="59"/>
    </row>
    <row r="17" spans="1:23" ht="32.25" customHeight="1" thickBot="1" x14ac:dyDescent="0.3">
      <c r="A17" s="99"/>
      <c r="B17" s="100" t="s">
        <v>570</v>
      </c>
      <c r="C17" s="100" t="s">
        <v>571</v>
      </c>
      <c r="D17" s="100" t="s">
        <v>572</v>
      </c>
      <c r="E17" s="100" t="s">
        <v>573</v>
      </c>
      <c r="F17" s="100" t="s">
        <v>574</v>
      </c>
      <c r="G17" s="101" t="s">
        <v>575</v>
      </c>
      <c r="I17" s="65" t="s">
        <v>4</v>
      </c>
      <c r="J17" s="153">
        <v>0</v>
      </c>
      <c r="K17" s="153">
        <v>1.153</v>
      </c>
      <c r="L17" s="153">
        <v>2.9790000000000001</v>
      </c>
      <c r="M17" s="153">
        <v>4.8739999999999997</v>
      </c>
      <c r="N17" s="153">
        <v>5.9539999999999997</v>
      </c>
      <c r="O17" s="153">
        <v>7.359</v>
      </c>
      <c r="R17" s="59"/>
      <c r="S17" s="59"/>
      <c r="T17" s="59"/>
      <c r="U17" s="59"/>
      <c r="V17" s="59"/>
      <c r="W17" s="59"/>
    </row>
    <row r="18" spans="1:23" ht="32.25" customHeight="1" thickBot="1" x14ac:dyDescent="0.3">
      <c r="A18" s="102" t="str">
        <f t="shared" ref="A18:A27" si="0">A5</f>
        <v>Brine with BACM Backup</v>
      </c>
      <c r="B18" s="154" t="s">
        <v>576</v>
      </c>
      <c r="C18" s="155">
        <f>IF((C5-B5)&gt;0,(C5-B5)*INDEX('Cost Analysis Input'!$E$2:$G$11, MATCH('Area Summary'!$A18, 'Cost Analysis Input'!$E$2:$E$11, 0), 2),0)</f>
        <v>0</v>
      </c>
      <c r="D18" s="155">
        <f>IF((D5-C5)&gt;0,(D5-C5)*INDEX('Cost Analysis Input'!$E$2:$G$11, MATCH('Area Summary'!$A18, 'Cost Analysis Input'!$E$2:$E$11, 0), 2),0)</f>
        <v>13.023999999999992</v>
      </c>
      <c r="E18" s="155">
        <f>IF((E5-D5)&gt;0,(E5-D5)*INDEX('Cost Analysis Input'!$E$2:$G$11, MATCH('Area Summary'!$A18, 'Cost Analysis Input'!$E$2:$E$11, 0), 2),0)</f>
        <v>12.584000000000001</v>
      </c>
      <c r="F18" s="155">
        <f>IF((F5-E5)&gt;0,(F5-E5)*INDEX('Cost Analysis Input'!$E$2:$G$11, MATCH('Area Summary'!$A18, 'Cost Analysis Input'!$E$2:$E$11, 0), 2),0)</f>
        <v>0</v>
      </c>
      <c r="G18" s="155">
        <f>IF((G5-F5)&gt;0,(G5-F5)*INDEX('Cost Analysis Input'!$E$2:$G$11, MATCH('Area Summary'!$A18, 'Cost Analysis Input'!$E$2:$E$11, 0), 2),0)</f>
        <v>0</v>
      </c>
      <c r="I18" s="65" t="s">
        <v>490</v>
      </c>
      <c r="J18" s="153">
        <v>0</v>
      </c>
      <c r="K18" s="153">
        <v>0</v>
      </c>
      <c r="L18" s="153">
        <v>0</v>
      </c>
      <c r="M18" s="153">
        <v>0</v>
      </c>
      <c r="N18" s="153">
        <v>0</v>
      </c>
      <c r="O18" s="153">
        <v>0</v>
      </c>
      <c r="R18" s="59"/>
      <c r="S18" s="59"/>
      <c r="T18" s="59"/>
      <c r="U18" s="59"/>
      <c r="V18" s="59"/>
      <c r="W18" s="59"/>
    </row>
    <row r="19" spans="1:23" ht="32.25" customHeight="1" thickBot="1" x14ac:dyDescent="0.3">
      <c r="A19" s="102" t="str">
        <f t="shared" si="0"/>
        <v>Channel Areas Reduced MDCE BACM</v>
      </c>
      <c r="B19" s="154" t="s">
        <v>576</v>
      </c>
      <c r="C19" s="155">
        <f>IF((C6-B6)&gt;0,(C6-B6)*INDEX('Cost Analysis Input'!$E$2:$G$11, MATCH('Area Summary'!$A19, 'Cost Analysis Input'!$E$2:$E$11, 0), 2),0)</f>
        <v>0</v>
      </c>
      <c r="D19" s="155">
        <f>IF((D6-C6)&gt;0,(D6-C6)*INDEX('Cost Analysis Input'!$E$2:$G$11, MATCH('Area Summary'!$A19, 'Cost Analysis Input'!$E$2:$E$11, 0), 2),0)</f>
        <v>0</v>
      </c>
      <c r="E19" s="155">
        <f>IF((E6-D6)&gt;0,(E6-D6)*INDEX('Cost Analysis Input'!$E$2:$G$11, MATCH('Area Summary'!$A19, 'Cost Analysis Input'!$E$2:$E$11, 0), 2),0)</f>
        <v>0</v>
      </c>
      <c r="F19" s="155">
        <f>IF((F6-E6)&gt;0,(F6-E6)*INDEX('Cost Analysis Input'!$E$2:$G$11, MATCH('Area Summary'!$A19, 'Cost Analysis Input'!$E$2:$E$11, 0), 2),0)</f>
        <v>0</v>
      </c>
      <c r="G19" s="155">
        <f>IF((G6-F6)&gt;0,(G6-F6)*INDEX('Cost Analysis Input'!$E$2:$G$11, MATCH('Area Summary'!$A19, 'Cost Analysis Input'!$E$2:$E$11, 0), 2),0)</f>
        <v>0</v>
      </c>
      <c r="I19" s="65" t="s">
        <v>492</v>
      </c>
      <c r="J19" s="153">
        <v>0</v>
      </c>
      <c r="K19" s="153">
        <v>0</v>
      </c>
      <c r="L19" s="153">
        <v>0</v>
      </c>
      <c r="M19" s="153">
        <v>0</v>
      </c>
      <c r="N19" s="153">
        <v>0</v>
      </c>
      <c r="O19" s="153">
        <v>0</v>
      </c>
      <c r="R19" s="59"/>
      <c r="S19" s="59"/>
      <c r="T19" s="59"/>
      <c r="U19" s="59"/>
      <c r="V19" s="59"/>
      <c r="W19" s="59"/>
    </row>
    <row r="20" spans="1:23" ht="32.25" customHeight="1" thickBot="1" x14ac:dyDescent="0.3">
      <c r="A20" s="102" t="str">
        <f t="shared" si="0"/>
        <v>Gravel</v>
      </c>
      <c r="B20" s="154" t="s">
        <v>576</v>
      </c>
      <c r="C20" s="155">
        <f>IF((C7-B7)&gt;0,(C7-B7)*INDEX('Cost Analysis Input'!$E$2:$G$11, MATCH('Area Summary'!$A20, 'Cost Analysis Input'!$E$2:$E$11, 0), 2),0)</f>
        <v>67.746999999999986</v>
      </c>
      <c r="D20" s="155">
        <f>IF((D7-C7)&gt;0,(D7-C7)*INDEX('Cost Analysis Input'!$E$2:$G$11, MATCH('Area Summary'!$A20, 'Cost Analysis Input'!$E$2:$E$11, 0), 2),0)</f>
        <v>20.905000000000047</v>
      </c>
      <c r="E20" s="155">
        <f>IF((E7-D7)&gt;0,(E7-D7)*INDEX('Cost Analysis Input'!$E$2:$G$11, MATCH('Area Summary'!$A20, 'Cost Analysis Input'!$E$2:$E$11, 0), 2),0)</f>
        <v>0</v>
      </c>
      <c r="F20" s="155">
        <f>IF((F7-E7)&gt;0,(F7-E7)*INDEX('Cost Analysis Input'!$E$2:$G$11, MATCH('Area Summary'!$A20, 'Cost Analysis Input'!$E$2:$E$11, 0), 2),0)</f>
        <v>10.026999999999964</v>
      </c>
      <c r="G20" s="155">
        <f>IF((G7-F7)&gt;0,(G7-F7)*INDEX('Cost Analysis Input'!$E$2:$G$11, MATCH('Area Summary'!$A20, 'Cost Analysis Input'!$E$2:$E$11, 0), 2),0)</f>
        <v>0</v>
      </c>
      <c r="I20" s="65" t="s">
        <v>494</v>
      </c>
      <c r="J20" s="153">
        <v>0</v>
      </c>
      <c r="K20" s="153">
        <v>0</v>
      </c>
      <c r="L20" s="153">
        <v>0</v>
      </c>
      <c r="M20" s="153">
        <v>0</v>
      </c>
      <c r="N20" s="153">
        <v>0</v>
      </c>
      <c r="O20" s="153">
        <v>0</v>
      </c>
      <c r="R20" s="59"/>
      <c r="S20" s="59"/>
      <c r="T20" s="59"/>
      <c r="U20" s="59"/>
      <c r="V20" s="59"/>
      <c r="W20" s="59"/>
    </row>
    <row r="21" spans="1:23" ht="32.25" customHeight="1" thickBot="1" x14ac:dyDescent="0.3">
      <c r="A21" s="102" t="str">
        <f t="shared" si="0"/>
        <v>Habitat DCM</v>
      </c>
      <c r="B21" s="154" t="s">
        <v>576</v>
      </c>
      <c r="C21" s="155">
        <f>IF((C8-B8)&gt;0,(C8-B8)*INDEX('Cost Analysis Input'!$E$2:$G$11, MATCH('Area Summary'!$A21, 'Cost Analysis Input'!$E$2:$E$11, 0), 2),0)</f>
        <v>40.354999999999983</v>
      </c>
      <c r="D21" s="155">
        <f>IF((D8-C8)&gt;0,(D8-C8)*INDEX('Cost Analysis Input'!$E$2:$G$11, MATCH('Area Summary'!$A21, 'Cost Analysis Input'!$E$2:$E$11, 0), 2),0)</f>
        <v>63.910000000000018</v>
      </c>
      <c r="E21" s="155">
        <f>IF((E8-D8)&gt;0,(E8-D8)*INDEX('Cost Analysis Input'!$E$2:$G$11, MATCH('Area Summary'!$A21, 'Cost Analysis Input'!$E$2:$E$11, 0), 2),0)</f>
        <v>82.004999999999995</v>
      </c>
      <c r="F21" s="155">
        <f>IF((F8-E8)&gt;0,(F8-E8)*INDEX('Cost Analysis Input'!$E$2:$G$11, MATCH('Area Summary'!$A21, 'Cost Analysis Input'!$E$2:$E$11, 0), 2),0)</f>
        <v>64.189999999999984</v>
      </c>
      <c r="G21" s="155">
        <f>IF((G8-F8)&gt;0,(G8-F8)*INDEX('Cost Analysis Input'!$E$2:$G$11, MATCH('Area Summary'!$A21, 'Cost Analysis Input'!$E$2:$E$11, 0), 2),0)</f>
        <v>63.734999999999992</v>
      </c>
      <c r="I21" s="65" t="s">
        <v>2</v>
      </c>
      <c r="J21" s="153">
        <v>0</v>
      </c>
      <c r="K21" s="153">
        <v>0</v>
      </c>
      <c r="L21" s="153">
        <v>0</v>
      </c>
      <c r="M21" s="153">
        <v>0</v>
      </c>
      <c r="N21" s="153">
        <v>0.52</v>
      </c>
      <c r="O21" s="153">
        <v>0.52</v>
      </c>
    </row>
    <row r="22" spans="1:23" ht="32.25" customHeight="1" thickBot="1" x14ac:dyDescent="0.3">
      <c r="A22" s="102" t="str">
        <f t="shared" si="0"/>
        <v>Managed Vegetation Farm</v>
      </c>
      <c r="B22" s="154" t="s">
        <v>576</v>
      </c>
      <c r="C22" s="155">
        <f>IF((C9-B9)&gt;0,(C9-B9)*INDEX('Cost Analysis Input'!$E$2:$G$11, MATCH('Area Summary'!$A22, 'Cost Analysis Input'!$E$2:$E$11, 0), 2),0)</f>
        <v>0</v>
      </c>
      <c r="D22" s="155">
        <f>IF((D9-C9)&gt;0,(D9-C9)*INDEX('Cost Analysis Input'!$E$2:$G$11, MATCH('Area Summary'!$A22, 'Cost Analysis Input'!$E$2:$E$11, 0), 2),0)</f>
        <v>0</v>
      </c>
      <c r="E22" s="155">
        <f>IF((E9-D9)&gt;0,(E9-D9)*INDEX('Cost Analysis Input'!$E$2:$G$11, MATCH('Area Summary'!$A22, 'Cost Analysis Input'!$E$2:$E$11, 0), 2),0)</f>
        <v>0</v>
      </c>
      <c r="F22" s="155">
        <f>IF((F9-E9)&gt;0,(F9-E9)*INDEX('Cost Analysis Input'!$E$2:$G$11, MATCH('Area Summary'!$A22, 'Cost Analysis Input'!$E$2:$E$11, 0), 2),0)</f>
        <v>0</v>
      </c>
      <c r="G22" s="155">
        <f>IF((G9-F9)&gt;0,(G9-F9)*INDEX('Cost Analysis Input'!$E$2:$G$11, MATCH('Area Summary'!$A22, 'Cost Analysis Input'!$E$2:$E$11, 0), 2),0)</f>
        <v>0</v>
      </c>
      <c r="I22" s="65" t="s">
        <v>55</v>
      </c>
      <c r="J22" s="153">
        <v>1.659</v>
      </c>
      <c r="K22" s="153">
        <v>1.659</v>
      </c>
      <c r="L22" s="153">
        <v>1.659</v>
      </c>
      <c r="M22" s="153">
        <v>2.1070000000000002</v>
      </c>
      <c r="N22" s="153">
        <v>2.3410000000000002</v>
      </c>
      <c r="O22" s="153">
        <v>2.7570000000000001</v>
      </c>
    </row>
    <row r="23" spans="1:23" ht="32.25" customHeight="1" thickBot="1" x14ac:dyDescent="0.3">
      <c r="A23" s="102" t="str">
        <f t="shared" si="0"/>
        <v>Managed Vegetation Phase 7a, 9 and 10</v>
      </c>
      <c r="B23" s="154" t="s">
        <v>576</v>
      </c>
      <c r="C23" s="155">
        <f>IF((C10-B10)&gt;0,(C10-B10)*INDEX('Cost Analysis Input'!$E$2:$G$11, MATCH('Area Summary'!$A23, 'Cost Analysis Input'!$E$2:$E$11, 0), 2),0)</f>
        <v>0</v>
      </c>
      <c r="D23" s="155">
        <f>IF((D10-C10)&gt;0,(D10-C10)*INDEX('Cost Analysis Input'!$E$2:$G$11, MATCH('Area Summary'!$A23, 'Cost Analysis Input'!$E$2:$E$11, 0), 2),0)</f>
        <v>0</v>
      </c>
      <c r="E23" s="155">
        <f>IF((E10-D10)&gt;0,(E10-D10)*INDEX('Cost Analysis Input'!$E$2:$G$11, MATCH('Area Summary'!$A23, 'Cost Analysis Input'!$E$2:$E$11, 0), 2),0)</f>
        <v>0</v>
      </c>
      <c r="F23" s="155">
        <f>IF((F10-E10)&gt;0,(F10-E10)*INDEX('Cost Analysis Input'!$E$2:$G$11, MATCH('Area Summary'!$A23, 'Cost Analysis Input'!$E$2:$E$11, 0), 2),0)</f>
        <v>0</v>
      </c>
      <c r="G23" s="155">
        <f>IF((G10-F10)&gt;0,(G10-F10)*INDEX('Cost Analysis Input'!$E$2:$G$11, MATCH('Area Summary'!$A23, 'Cost Analysis Input'!$E$2:$E$11, 0), 2),0)</f>
        <v>0</v>
      </c>
      <c r="I23" s="65" t="s">
        <v>496</v>
      </c>
      <c r="J23" s="153">
        <v>0</v>
      </c>
      <c r="K23" s="153">
        <v>0</v>
      </c>
      <c r="L23" s="153">
        <v>0</v>
      </c>
      <c r="M23" s="153">
        <v>0</v>
      </c>
      <c r="N23" s="153">
        <v>0</v>
      </c>
      <c r="O23" s="153">
        <v>0</v>
      </c>
    </row>
    <row r="24" spans="1:23" ht="32.25" customHeight="1" thickBot="1" x14ac:dyDescent="0.3">
      <c r="A24" s="102" t="str">
        <f t="shared" si="0"/>
        <v>Sand Fences</v>
      </c>
      <c r="B24" s="154" t="s">
        <v>576</v>
      </c>
      <c r="C24" s="155">
        <f>IF((C11-B11)&gt;0,(C11-B11)*INDEX('Cost Analysis Input'!$E$2:$G$11, MATCH('Area Summary'!$A24, 'Cost Analysis Input'!$E$2:$E$11, 0), 2),0)</f>
        <v>0</v>
      </c>
      <c r="D24" s="155">
        <f>IF((D11-C11)&gt;0,(D11-C11)*INDEX('Cost Analysis Input'!$E$2:$G$11, MATCH('Area Summary'!$A24, 'Cost Analysis Input'!$E$2:$E$11, 0), 2),0)</f>
        <v>0</v>
      </c>
      <c r="E24" s="155">
        <f>IF((E11-D11)&gt;0,(E11-D11)*INDEX('Cost Analysis Input'!$E$2:$G$11, MATCH('Area Summary'!$A24, 'Cost Analysis Input'!$E$2:$E$11, 0), 2),0)</f>
        <v>0</v>
      </c>
      <c r="F24" s="155">
        <f>IF((F11-E11)&gt;0,(F11-E11)*INDEX('Cost Analysis Input'!$E$2:$G$11, MATCH('Area Summary'!$A24, 'Cost Analysis Input'!$E$2:$E$11, 0), 2),0)</f>
        <v>0</v>
      </c>
      <c r="G24" s="155">
        <f>IF((G11-F11)&gt;0,(G11-F11)*INDEX('Cost Analysis Input'!$E$2:$G$11, MATCH('Area Summary'!$A24, 'Cost Analysis Input'!$E$2:$E$11, 0), 2),0)</f>
        <v>0</v>
      </c>
      <c r="I24" s="65" t="s">
        <v>498</v>
      </c>
      <c r="J24" s="153">
        <v>0</v>
      </c>
      <c r="K24" s="153">
        <v>0</v>
      </c>
      <c r="L24" s="153">
        <v>0</v>
      </c>
      <c r="M24" s="153">
        <v>0</v>
      </c>
      <c r="N24" s="153">
        <v>0</v>
      </c>
      <c r="O24" s="153">
        <v>0</v>
      </c>
    </row>
    <row r="25" spans="1:23" ht="32.25" customHeight="1" thickBot="1" x14ac:dyDescent="0.3">
      <c r="A25" s="102" t="str">
        <f t="shared" si="0"/>
        <v>Sprinkler Shallow Flood</v>
      </c>
      <c r="B25" s="154" t="s">
        <v>576</v>
      </c>
      <c r="C25" s="155">
        <f>IF((C12-B12)&gt;0,(C12-B12)*INDEX('Cost Analysis Input'!$E$2:$G$11, MATCH('Area Summary'!$A25, 'Cost Analysis Input'!$E$2:$E$11, 0), 2),0)</f>
        <v>0</v>
      </c>
      <c r="D25" s="155">
        <f>IF((D12-C12)&gt;0,(D12-C12)*INDEX('Cost Analysis Input'!$E$2:$G$11, MATCH('Area Summary'!$A25, 'Cost Analysis Input'!$E$2:$E$11, 0), 2),0)</f>
        <v>0</v>
      </c>
      <c r="E25" s="155">
        <f>IF((E12-D12)&gt;0,(E12-D12)*INDEX('Cost Analysis Input'!$E$2:$G$11, MATCH('Area Summary'!$A25, 'Cost Analysis Input'!$E$2:$E$11, 0), 2),0)</f>
        <v>0</v>
      </c>
      <c r="F25" s="155">
        <f>IF((F12-E12)&gt;0,(F12-E12)*INDEX('Cost Analysis Input'!$E$2:$G$11, MATCH('Area Summary'!$A25, 'Cost Analysis Input'!$E$2:$E$11, 0), 2),0)</f>
        <v>0</v>
      </c>
      <c r="G25" s="155">
        <f>IF((G12-F12)&gt;0,(G12-F12)*INDEX('Cost Analysis Input'!$E$2:$G$11, MATCH('Area Summary'!$A25, 'Cost Analysis Input'!$E$2:$E$11, 0), 2),0)</f>
        <v>0</v>
      </c>
      <c r="I25" s="65" t="s">
        <v>87</v>
      </c>
      <c r="J25" s="153">
        <v>0.38800000000000001</v>
      </c>
      <c r="K25" s="153">
        <v>0.38800000000000001</v>
      </c>
      <c r="L25" s="153">
        <v>0.38800000000000001</v>
      </c>
      <c r="M25" s="153">
        <v>0.38800000000000001</v>
      </c>
      <c r="N25" s="153">
        <v>0.38800000000000001</v>
      </c>
      <c r="O25" s="153">
        <v>0.38800000000000001</v>
      </c>
    </row>
    <row r="26" spans="1:23" ht="32.25" customHeight="1" thickBot="1" x14ac:dyDescent="0.3">
      <c r="A26" s="102" t="str">
        <f t="shared" si="0"/>
        <v>Tillage with BACM Backup</v>
      </c>
      <c r="B26" s="154" t="s">
        <v>576</v>
      </c>
      <c r="C26" s="155">
        <f>IF((C13-B13)&gt;0,(C13-B13)*INDEX('Cost Analysis Input'!$E$2:$G$11, MATCH('Area Summary'!$A26, 'Cost Analysis Input'!$E$2:$E$11, 0), 2),0)</f>
        <v>0.38099999999999978</v>
      </c>
      <c r="D26" s="155">
        <f>IF((D13-C13)&gt;0,(D13-C13)*INDEX('Cost Analysis Input'!$E$2:$G$11, MATCH('Area Summary'!$A26, 'Cost Analysis Input'!$E$2:$E$11, 0), 2),0)</f>
        <v>1.2790000000000004</v>
      </c>
      <c r="E26" s="155">
        <f>IF((E13-D13)&gt;0,(E13-D13)*INDEX('Cost Analysis Input'!$E$2:$G$11, MATCH('Area Summary'!$A26, 'Cost Analysis Input'!$E$2:$E$11, 0), 2),0)</f>
        <v>2.137</v>
      </c>
      <c r="F26" s="155">
        <f>IF((F13-E13)&gt;0,(F13-E13)*INDEX('Cost Analysis Input'!$E$2:$G$11, MATCH('Area Summary'!$A26, 'Cost Analysis Input'!$E$2:$E$11, 0), 2),0)</f>
        <v>0.99199999999999999</v>
      </c>
      <c r="G26" s="155">
        <f>IF((G13-F13)&gt;0,(G13-F13)*INDEX('Cost Analysis Input'!$E$2:$G$11, MATCH('Area Summary'!$A26, 'Cost Analysis Input'!$E$2:$E$11, 0), 2),0)</f>
        <v>1.3290000000000006</v>
      </c>
      <c r="I26" s="65" t="s">
        <v>48</v>
      </c>
      <c r="J26" s="153">
        <v>9.7210000000000001</v>
      </c>
      <c r="K26" s="153">
        <v>8.9290000000000003</v>
      </c>
      <c r="L26" s="153">
        <v>6.4939999999999998</v>
      </c>
      <c r="M26" s="153">
        <v>5.89</v>
      </c>
      <c r="N26" s="153">
        <v>4.665</v>
      </c>
      <c r="O26" s="153">
        <v>3.3359999999999999</v>
      </c>
    </row>
    <row r="27" spans="1:23" ht="32.25" customHeight="1" thickBot="1" x14ac:dyDescent="0.3">
      <c r="A27" s="102" t="str">
        <f t="shared" si="0"/>
        <v>Traditional Shallow Flood</v>
      </c>
      <c r="B27" s="154" t="s">
        <v>576</v>
      </c>
      <c r="C27" s="155">
        <f>IF((C14-B14)&gt;0,(C14-B14)*INDEX('Cost Analysis Input'!$E$2:$G$11, MATCH('Area Summary'!$A27, 'Cost Analysis Input'!$E$2:$E$11, 0), 2),0)</f>
        <v>0</v>
      </c>
      <c r="D27" s="155">
        <f>IF((D14-C14)&gt;0,(D14-C14)*INDEX('Cost Analysis Input'!$E$2:$G$11, MATCH('Area Summary'!$A27, 'Cost Analysis Input'!$E$2:$E$11, 0), 2),0)</f>
        <v>0</v>
      </c>
      <c r="E27" s="155">
        <f>IF((E14-D14)&gt;0,(E14-D14)*INDEX('Cost Analysis Input'!$E$2:$G$11, MATCH('Area Summary'!$A27, 'Cost Analysis Input'!$E$2:$E$11, 0), 2),0)</f>
        <v>0</v>
      </c>
      <c r="F27" s="155">
        <f>IF((F14-E14)&gt;0,(F14-E14)*INDEX('Cost Analysis Input'!$E$2:$G$11, MATCH('Area Summary'!$A27, 'Cost Analysis Input'!$E$2:$E$11, 0), 2),0)</f>
        <v>0</v>
      </c>
      <c r="G27" s="155">
        <f>IF((G14-F14)&gt;0,(G14-F14)*INDEX('Cost Analysis Input'!$E$2:$G$11, MATCH('Area Summary'!$A27, 'Cost Analysis Input'!$E$2:$E$11, 0), 2),0)</f>
        <v>0</v>
      </c>
      <c r="I27" s="65" t="s">
        <v>97</v>
      </c>
      <c r="J27" s="153">
        <v>2.0459999999999998</v>
      </c>
      <c r="K27" s="153">
        <v>2.0459999999999998</v>
      </c>
      <c r="L27" s="153">
        <v>2.0459999999999998</v>
      </c>
      <c r="M27" s="153">
        <v>2.0459999999999998</v>
      </c>
      <c r="N27" s="153">
        <v>2.0459999999999998</v>
      </c>
      <c r="O27" s="153">
        <v>2.0459999999999998</v>
      </c>
    </row>
    <row r="28" spans="1:23" ht="32.25" customHeight="1" thickBot="1" x14ac:dyDescent="0.3">
      <c r="A28" s="395" t="s">
        <v>577</v>
      </c>
      <c r="B28" s="396"/>
      <c r="C28" s="216">
        <f>SUM(C18:C27)</f>
        <v>108.48299999999998</v>
      </c>
      <c r="D28" s="216">
        <f>SUM(D18:D27)</f>
        <v>99.118000000000052</v>
      </c>
      <c r="E28" s="216">
        <f>SUM(E18:E27)</f>
        <v>96.725999999999999</v>
      </c>
      <c r="F28" s="216">
        <f>SUM(F18:F27)</f>
        <v>75.208999999999946</v>
      </c>
      <c r="G28" s="217">
        <f>SUM(G18:G27)</f>
        <v>65.063999999999993</v>
      </c>
      <c r="I28" s="65" t="s">
        <v>40</v>
      </c>
      <c r="J28" s="153">
        <v>6.0579999999999998</v>
      </c>
      <c r="K28" s="153">
        <v>4.0880000000000001</v>
      </c>
      <c r="L28" s="153">
        <v>4.0880000000000001</v>
      </c>
      <c r="M28" s="153">
        <v>1.5640000000000001</v>
      </c>
      <c r="N28" s="153">
        <v>1.294</v>
      </c>
      <c r="O28" s="153">
        <v>1.294</v>
      </c>
    </row>
    <row r="29" spans="1:23" ht="32.25" customHeight="1" thickBot="1" x14ac:dyDescent="0.4">
      <c r="A29" s="397" t="s">
        <v>578</v>
      </c>
      <c r="B29" s="398"/>
      <c r="C29" s="398"/>
      <c r="D29" s="398"/>
      <c r="E29" s="398"/>
      <c r="F29" s="398"/>
      <c r="G29" s="398"/>
      <c r="I29" s="65" t="s">
        <v>484</v>
      </c>
      <c r="J29" s="153">
        <v>0</v>
      </c>
      <c r="K29" s="153">
        <v>0</v>
      </c>
      <c r="L29" s="153">
        <v>0</v>
      </c>
      <c r="M29" s="153">
        <v>0</v>
      </c>
      <c r="N29" s="153">
        <v>0</v>
      </c>
      <c r="O29" s="153">
        <v>0</v>
      </c>
    </row>
    <row r="30" spans="1:23" ht="32.25" customHeight="1" thickBot="1" x14ac:dyDescent="0.3">
      <c r="A30" s="99"/>
      <c r="B30" s="100" t="s">
        <v>579</v>
      </c>
      <c r="C30" s="100" t="s">
        <v>580</v>
      </c>
      <c r="D30" s="100" t="s">
        <v>581</v>
      </c>
      <c r="E30" s="100" t="s">
        <v>582</v>
      </c>
      <c r="F30" s="100" t="s">
        <v>583</v>
      </c>
      <c r="G30" s="101" t="s">
        <v>584</v>
      </c>
      <c r="I30" s="65" t="s">
        <v>486</v>
      </c>
      <c r="J30" s="153">
        <v>0</v>
      </c>
      <c r="K30" s="153">
        <v>0</v>
      </c>
      <c r="L30" s="153">
        <v>0</v>
      </c>
      <c r="M30" s="153">
        <v>0</v>
      </c>
      <c r="N30" s="153">
        <v>0</v>
      </c>
      <c r="O30" s="153">
        <v>0</v>
      </c>
    </row>
    <row r="31" spans="1:23" ht="32.25" customHeight="1" thickBot="1" x14ac:dyDescent="0.3">
      <c r="A31" s="102" t="str">
        <f t="shared" ref="A31:A40" si="1">A5</f>
        <v>Brine with BACM Backup</v>
      </c>
      <c r="B31" s="154">
        <v>0</v>
      </c>
      <c r="C31" s="154">
        <f>(C5-B5)*INDEX('Cost Analysis Input'!$E$2:$G$11,MATCH('Area Summary'!$A31,'Cost Analysis Input'!$E$2:$E$11,0),3)</f>
        <v>0</v>
      </c>
      <c r="D31" s="154">
        <f>(D5-C5)*INDEX('Cost Analysis Input'!$E$2:$G$11,MATCH('Area Summary'!$A31,'Cost Analysis Input'!$E$2:$E$11,0),3)</f>
        <v>0.4027683284457475</v>
      </c>
      <c r="E31" s="154">
        <f>(E5-D5)*INDEX('Cost Analysis Input'!$E$2:$G$11,MATCH('Area Summary'!$A31,'Cost Analysis Input'!$E$2:$E$11,0),3)</f>
        <v>0.38916129032258068</v>
      </c>
      <c r="F31" s="154">
        <f>(F5-E5)*INDEX('Cost Analysis Input'!$E$2:$G$11,MATCH('Area Summary'!$A31,'Cost Analysis Input'!$E$2:$E$11,0),3)</f>
        <v>0</v>
      </c>
      <c r="G31" s="154">
        <f>(G5-F5)*INDEX('Cost Analysis Input'!$E$2:$G$11,MATCH('Area Summary'!$A31,'Cost Analysis Input'!$E$2:$E$11,0),3)</f>
        <v>0</v>
      </c>
      <c r="I31" s="65" t="s">
        <v>57</v>
      </c>
      <c r="J31" s="153">
        <v>1.9510000000000001</v>
      </c>
      <c r="K31" s="153">
        <v>2.3319999999999999</v>
      </c>
      <c r="L31" s="153">
        <v>3.6110000000000002</v>
      </c>
      <c r="M31" s="153">
        <v>5.7480000000000002</v>
      </c>
      <c r="N31" s="153">
        <v>6.74</v>
      </c>
      <c r="O31" s="153">
        <v>8.0690000000000008</v>
      </c>
    </row>
    <row r="32" spans="1:23" ht="32.25" customHeight="1" thickBot="1" x14ac:dyDescent="0.3">
      <c r="A32" s="102" t="str">
        <f t="shared" si="1"/>
        <v>Channel Areas Reduced MDCE BACM</v>
      </c>
      <c r="B32" s="154">
        <v>0</v>
      </c>
      <c r="C32" s="154">
        <f>(C6-B6)*INDEX('Cost Analysis Input'!$E$2:$G$11,MATCH('Area Summary'!$A32,'Cost Analysis Input'!$E$2:$E$11,0),3)</f>
        <v>0</v>
      </c>
      <c r="D32" s="154">
        <f>(D6-C6)*INDEX('Cost Analysis Input'!$E$2:$G$11,MATCH('Area Summary'!$A32,'Cost Analysis Input'!$E$2:$E$11,0),3)</f>
        <v>0</v>
      </c>
      <c r="E32" s="154">
        <f>(E6-D6)*INDEX('Cost Analysis Input'!$E$2:$G$11,MATCH('Area Summary'!$A32,'Cost Analysis Input'!$E$2:$E$11,0),3)</f>
        <v>0</v>
      </c>
      <c r="F32" s="154">
        <f>(F6-E6)*INDEX('Cost Analysis Input'!$E$2:$G$11,MATCH('Area Summary'!$A32,'Cost Analysis Input'!$E$2:$E$11,0),3)</f>
        <v>0</v>
      </c>
      <c r="G32" s="154">
        <f>(G6-F6)*INDEX('Cost Analysis Input'!$E$2:$G$11,MATCH('Area Summary'!$A32,'Cost Analysis Input'!$E$2:$E$11,0),3)</f>
        <v>0</v>
      </c>
      <c r="I32" s="65" t="s">
        <v>354</v>
      </c>
      <c r="J32" s="153">
        <v>0</v>
      </c>
      <c r="K32" s="153">
        <v>0</v>
      </c>
      <c r="L32" s="153">
        <v>0</v>
      </c>
      <c r="M32" s="153">
        <v>0</v>
      </c>
      <c r="N32" s="153">
        <v>0</v>
      </c>
      <c r="O32" s="153">
        <v>0</v>
      </c>
    </row>
    <row r="33" spans="1:15" ht="32.25" customHeight="1" thickBot="1" x14ac:dyDescent="0.3">
      <c r="A33" s="102" t="str">
        <f t="shared" si="1"/>
        <v>Gravel</v>
      </c>
      <c r="B33" s="154">
        <v>0</v>
      </c>
      <c r="C33" s="154">
        <f>(C7-B7)*INDEX('Cost Analysis Input'!$E$2:$G$11,MATCH('Area Summary'!$A33,'Cost Analysis Input'!$E$2:$E$11,0),3)</f>
        <v>0.42649799196787141</v>
      </c>
      <c r="D33" s="154">
        <f>(D7-C7)*INDEX('Cost Analysis Input'!$E$2:$G$11,MATCH('Area Summary'!$A33,'Cost Analysis Input'!$E$2:$E$11,0),3)</f>
        <v>0.13160642570281156</v>
      </c>
      <c r="E33" s="154">
        <f>(E7-D7)*INDEX('Cost Analysis Input'!$E$2:$G$11,MATCH('Area Summary'!$A33,'Cost Analysis Input'!$E$2:$E$11,0),3)</f>
        <v>0</v>
      </c>
      <c r="F33" s="154">
        <f>(F7-E7)*INDEX('Cost Analysis Input'!$E$2:$G$11,MATCH('Area Summary'!$A33,'Cost Analysis Input'!$E$2:$E$11,0),3)</f>
        <v>6.3124497991967649E-2</v>
      </c>
      <c r="G33" s="154">
        <f>(G7-F7)*INDEX('Cost Analysis Input'!$E$2:$G$11,MATCH('Area Summary'!$A33,'Cost Analysis Input'!$E$2:$E$11,0),3)</f>
        <v>0</v>
      </c>
      <c r="I33" s="65" t="s">
        <v>198</v>
      </c>
      <c r="J33" s="153">
        <v>3.536</v>
      </c>
      <c r="K33" s="153">
        <v>3.3149999999999999</v>
      </c>
      <c r="L33" s="153">
        <v>1.5660000000000001</v>
      </c>
      <c r="M33" s="153">
        <v>0.879</v>
      </c>
      <c r="N33" s="153">
        <v>0.879</v>
      </c>
      <c r="O33" s="153">
        <v>0.879</v>
      </c>
    </row>
    <row r="34" spans="1:15" ht="33" customHeight="1" thickBot="1" x14ac:dyDescent="0.3">
      <c r="A34" s="102" t="str">
        <f t="shared" si="1"/>
        <v>Habitat DCM</v>
      </c>
      <c r="B34" s="154">
        <v>0</v>
      </c>
      <c r="C34" s="154">
        <f>(C8-B8)*INDEX('Cost Analysis Input'!$E$2:$G$11,MATCH('Area Summary'!$A34,'Cost Analysis Input'!$E$2:$E$11,0),3)</f>
        <v>0.61195095168374802</v>
      </c>
      <c r="D34" s="154">
        <f>(D8-C8)*INDEX('Cost Analysis Input'!$E$2:$G$11,MATCH('Area Summary'!$A34,'Cost Analysis Input'!$E$2:$E$11,0),3)</f>
        <v>0.96914348462664746</v>
      </c>
      <c r="E34" s="154">
        <f>(E8-D8)*INDEX('Cost Analysis Input'!$E$2:$G$11,MATCH('Area Summary'!$A34,'Cost Analysis Input'!$E$2:$E$11,0),3)</f>
        <v>1.2435395314787703</v>
      </c>
      <c r="F34" s="154">
        <f>(F8-E8)*INDEX('Cost Analysis Input'!$E$2:$G$11,MATCH('Area Summary'!$A34,'Cost Analysis Input'!$E$2:$E$11,0),3)</f>
        <v>0.97338945827232781</v>
      </c>
      <c r="G34" s="154">
        <f>(G8-F8)*INDEX('Cost Analysis Input'!$E$2:$G$11,MATCH('Area Summary'!$A34,'Cost Analysis Input'!$E$2:$E$11,0),3)</f>
        <v>0.96648975109809654</v>
      </c>
      <c r="I34" s="65" t="s">
        <v>105</v>
      </c>
      <c r="J34" s="153">
        <v>0.35099999999999998</v>
      </c>
      <c r="K34" s="153">
        <v>0.35099999999999998</v>
      </c>
      <c r="L34" s="153">
        <v>0.35099999999999998</v>
      </c>
      <c r="M34" s="153">
        <v>0.23699999999999999</v>
      </c>
      <c r="N34" s="153">
        <v>0.23699999999999999</v>
      </c>
      <c r="O34" s="153">
        <v>0.23699999999999999</v>
      </c>
    </row>
    <row r="35" spans="1:15" ht="33" customHeight="1" thickBot="1" x14ac:dyDescent="0.3">
      <c r="A35" s="102" t="str">
        <f t="shared" si="1"/>
        <v>Managed Vegetation Farm</v>
      </c>
      <c r="B35" s="154">
        <v>0</v>
      </c>
      <c r="C35" s="154">
        <f>(C9-B9)*INDEX('Cost Analysis Input'!$E$2:$G$11,MATCH('Area Summary'!$A35,'Cost Analysis Input'!$E$2:$E$11,0),3)</f>
        <v>-0.36250000000000016</v>
      </c>
      <c r="D35" s="154">
        <f>(D9-C9)*INDEX('Cost Analysis Input'!$E$2:$G$11,MATCH('Area Summary'!$A35,'Cost Analysis Input'!$E$2:$E$11,0),3)</f>
        <v>-2.8688348416289595</v>
      </c>
      <c r="E35" s="154">
        <f>(E9-D9)*INDEX('Cost Analysis Input'!$E$2:$G$11,MATCH('Area Summary'!$A35,'Cost Analysis Input'!$E$2:$E$11,0),3)</f>
        <v>-1.1268665158371043</v>
      </c>
      <c r="F35" s="154">
        <f>(F9-E9)*INDEX('Cost Analysis Input'!$E$2:$G$11,MATCH('Area Summary'!$A35,'Cost Analysis Input'!$E$2:$E$11,0),3)</f>
        <v>0</v>
      </c>
      <c r="G35" s="154">
        <f>(G9-F9)*INDEX('Cost Analysis Input'!$E$2:$G$11,MATCH('Area Summary'!$A35,'Cost Analysis Input'!$E$2:$E$11,0),3)</f>
        <v>0</v>
      </c>
      <c r="I35" s="65" t="s">
        <v>568</v>
      </c>
      <c r="J35" s="153">
        <v>48.87</v>
      </c>
      <c r="K35" s="153">
        <v>48.87</v>
      </c>
      <c r="L35" s="153">
        <v>48.87</v>
      </c>
      <c r="M35" s="153">
        <v>48.87</v>
      </c>
      <c r="N35" s="153">
        <v>48.87</v>
      </c>
      <c r="O35" s="153">
        <v>48.87</v>
      </c>
    </row>
    <row r="36" spans="1:15" ht="33" customHeight="1" x14ac:dyDescent="0.25">
      <c r="A36" s="102" t="str">
        <f t="shared" si="1"/>
        <v>Managed Vegetation Phase 7a, 9 and 10</v>
      </c>
      <c r="B36" s="154">
        <v>0</v>
      </c>
      <c r="C36" s="154">
        <f>(C10-B10)*INDEX('Cost Analysis Input'!$E$2:$G$11,MATCH('Area Summary'!$A36,'Cost Analysis Input'!$E$2:$E$11,0),3)</f>
        <v>0</v>
      </c>
      <c r="D36" s="154">
        <f>(D10-C10)*INDEX('Cost Analysis Input'!$E$2:$G$11,MATCH('Area Summary'!$A36,'Cost Analysis Input'!$E$2:$E$11,0),3)</f>
        <v>0</v>
      </c>
      <c r="E36" s="154">
        <f>(E10-D10)*INDEX('Cost Analysis Input'!$E$2:$G$11,MATCH('Area Summary'!$A36,'Cost Analysis Input'!$E$2:$E$11,0),3)</f>
        <v>-0.26818584070796536</v>
      </c>
      <c r="F36" s="154">
        <f>(F10-E10)*INDEX('Cost Analysis Input'!$E$2:$G$11,MATCH('Area Summary'!$A36,'Cost Analysis Input'!$E$2:$E$11,0),3)</f>
        <v>0</v>
      </c>
      <c r="G36" s="154">
        <f>(G10-F10)*INDEX('Cost Analysis Input'!$E$2:$G$11,MATCH('Area Summary'!$A36,'Cost Analysis Input'!$E$2:$E$11,0),3)</f>
        <v>0</v>
      </c>
    </row>
    <row r="37" spans="1:15" ht="33" customHeight="1" x14ac:dyDescent="0.25">
      <c r="A37" s="102" t="str">
        <f t="shared" si="1"/>
        <v>Sand Fences</v>
      </c>
      <c r="B37" s="154">
        <v>0</v>
      </c>
      <c r="C37" s="154">
        <f>(C11-B11)*INDEX('Cost Analysis Input'!$E$2:$G$11,MATCH('Area Summary'!$A37,'Cost Analysis Input'!$E$2:$E$11,0),3)</f>
        <v>0</v>
      </c>
      <c r="D37" s="154">
        <f>(D11-C11)*INDEX('Cost Analysis Input'!$E$2:$G$11,MATCH('Area Summary'!$A37,'Cost Analysis Input'!$E$2:$E$11,0),3)</f>
        <v>0</v>
      </c>
      <c r="E37" s="154">
        <f>(E11-D11)*INDEX('Cost Analysis Input'!$E$2:$G$11,MATCH('Area Summary'!$A37,'Cost Analysis Input'!$E$2:$E$11,0),3)</f>
        <v>0</v>
      </c>
      <c r="F37" s="154">
        <f>(F11-E11)*INDEX('Cost Analysis Input'!$E$2:$G$11,MATCH('Area Summary'!$A37,'Cost Analysis Input'!$E$2:$E$11,0),3)</f>
        <v>0</v>
      </c>
      <c r="G37" s="154">
        <f>(G11-F11)*INDEX('Cost Analysis Input'!$E$2:$G$11,MATCH('Area Summary'!$A37,'Cost Analysis Input'!$E$2:$E$11,0),3)</f>
        <v>0</v>
      </c>
    </row>
    <row r="38" spans="1:15" ht="33" customHeight="1" x14ac:dyDescent="0.25">
      <c r="A38" s="102" t="str">
        <f t="shared" si="1"/>
        <v>Sprinkler Shallow Flood</v>
      </c>
      <c r="B38" s="154">
        <v>0</v>
      </c>
      <c r="C38" s="154">
        <f>(C12-B12)*INDEX('Cost Analysis Input'!$E$2:$G$11,MATCH('Area Summary'!$A38,'Cost Analysis Input'!$E$2:$E$11,0),3)</f>
        <v>-0.27292088042831603</v>
      </c>
      <c r="D38" s="154">
        <f>(D12-C12)*INDEX('Cost Analysis Input'!$E$2:$G$11,MATCH('Area Summary'!$A38,'Cost Analysis Input'!$E$2:$E$11,0),3)</f>
        <v>-0.84049970255800188</v>
      </c>
      <c r="E38" s="154">
        <f>(E12-D12)*INDEX('Cost Analysis Input'!$E$2:$G$11,MATCH('Area Summary'!$A38,'Cost Analysis Input'!$E$2:$E$11,0),3)</f>
        <v>-0.20839976204640071</v>
      </c>
      <c r="F38" s="154">
        <f>(F12-E12)*INDEX('Cost Analysis Input'!$E$2:$G$11,MATCH('Area Summary'!$A38,'Cost Analysis Input'!$E$2:$E$11,0),3)</f>
        <v>-0.42232004759071995</v>
      </c>
      <c r="G38" s="154">
        <f>(G12-F12)*INDEX('Cost Analysis Input'!$E$2:$G$11,MATCH('Area Summary'!$A38,'Cost Analysis Input'!$E$2:$E$11,0),3)</f>
        <v>-0.458893515764426</v>
      </c>
    </row>
    <row r="39" spans="1:15" ht="33" customHeight="1" x14ac:dyDescent="0.25">
      <c r="A39" s="102" t="str">
        <f t="shared" si="1"/>
        <v>Tillage with BACM Backup</v>
      </c>
      <c r="B39" s="154">
        <v>0</v>
      </c>
      <c r="C39" s="154">
        <f>(C13-B13)*INDEX('Cost Analysis Input'!$E$2:$G$11,MATCH('Area Summary'!$A39,'Cost Analysis Input'!$E$2:$E$11,0),3)</f>
        <v>0.56632496155817502</v>
      </c>
      <c r="D39" s="154">
        <f>(D13-C13)*INDEX('Cost Analysis Input'!$E$2:$G$11,MATCH('Area Summary'!$A39,'Cost Analysis Input'!$E$2:$E$11,0),3)</f>
        <v>1.9011276268580222</v>
      </c>
      <c r="E39" s="154">
        <f>(E13-D13)*INDEX('Cost Analysis Input'!$E$2:$G$11,MATCH('Area Summary'!$A39,'Cost Analysis Input'!$E$2:$E$11,0),3)</f>
        <v>3.1764736032803693</v>
      </c>
      <c r="F39" s="154">
        <f>(F13-E13)*INDEX('Cost Analysis Input'!$E$2:$G$11,MATCH('Area Summary'!$A39,'Cost Analysis Input'!$E$2:$E$11,0),3)</f>
        <v>1.4745258841619684</v>
      </c>
      <c r="G39" s="154">
        <f>(G13-F13)*INDEX('Cost Analysis Input'!$E$2:$G$11,MATCH('Area Summary'!$A39,'Cost Analysis Input'!$E$2:$E$11,0),3)</f>
        <v>1.9754484879548959</v>
      </c>
    </row>
    <row r="40" spans="1:15" ht="33" customHeight="1" x14ac:dyDescent="0.25">
      <c r="A40" s="102" t="str">
        <f t="shared" si="1"/>
        <v>Traditional Shallow Flood</v>
      </c>
      <c r="B40" s="154">
        <v>0</v>
      </c>
      <c r="C40" s="154">
        <f>(C14-B14)*INDEX('Cost Analysis Input'!$E$2:$G$11,MATCH('Area Summary'!$A40,'Cost Analysis Input'!$E$2:$E$11,0),3)</f>
        <v>-0.65587274125336403</v>
      </c>
      <c r="D40" s="154">
        <f>(D14-C14)*INDEX('Cost Analysis Input'!$E$2:$G$11,MATCH('Area Summary'!$A40,'Cost Analysis Input'!$E$2:$E$11,0),3)</f>
        <v>-1.365820838139163E-2</v>
      </c>
      <c r="E40" s="154">
        <f>(E14-D14)*INDEX('Cost Analysis Input'!$E$2:$G$11,MATCH('Area Summary'!$A40,'Cost Analysis Input'!$E$2:$E$11,0),3)</f>
        <v>-1.0171184159938489</v>
      </c>
      <c r="F40" s="154">
        <f>(F14-E14)*INDEX('Cost Analysis Input'!$E$2:$G$11,MATCH('Area Summary'!$A40,'Cost Analysis Input'!$E$2:$E$11,0),3)</f>
        <v>-0.52124183006535951</v>
      </c>
      <c r="G40" s="154">
        <f>(G14-F14)*INDEX('Cost Analysis Input'!$E$2:$G$11,MATCH('Area Summary'!$A40,'Cost Analysis Input'!$E$2:$E$11,0),3)</f>
        <v>-0.50758362168396765</v>
      </c>
    </row>
    <row r="41" spans="1:15" ht="33" customHeight="1" thickBot="1" x14ac:dyDescent="0.3">
      <c r="A41" s="252" t="s">
        <v>585</v>
      </c>
      <c r="B41" s="165">
        <f t="shared" ref="B41:G41" si="2">SUMIF(B31:B40, "&gt;0")</f>
        <v>0</v>
      </c>
      <c r="C41" s="165">
        <f t="shared" si="2"/>
        <v>1.6047739052097945</v>
      </c>
      <c r="D41" s="165">
        <f t="shared" si="2"/>
        <v>3.4046458656332286</v>
      </c>
      <c r="E41" s="165">
        <f t="shared" si="2"/>
        <v>4.8091744250817205</v>
      </c>
      <c r="F41" s="165">
        <f t="shared" si="2"/>
        <v>2.5110398404262639</v>
      </c>
      <c r="G41" s="165">
        <f t="shared" si="2"/>
        <v>2.9419382390529925</v>
      </c>
    </row>
    <row r="42" spans="1:15" ht="33" customHeight="1" thickBot="1" x14ac:dyDescent="0.3">
      <c r="A42" s="252" t="s">
        <v>586</v>
      </c>
      <c r="B42" s="216">
        <f t="shared" ref="B42:G42" si="3">SUM(B31:B40)</f>
        <v>0</v>
      </c>
      <c r="C42" s="216">
        <f t="shared" si="3"/>
        <v>0.31348028352811408</v>
      </c>
      <c r="D42" s="216">
        <f t="shared" si="3"/>
        <v>-0.31834688693512447</v>
      </c>
      <c r="E42" s="216">
        <f t="shared" si="3"/>
        <v>2.1886038904964007</v>
      </c>
      <c r="F42" s="216">
        <f t="shared" si="3"/>
        <v>1.5674779627701847</v>
      </c>
      <c r="G42" s="216">
        <f t="shared" si="3"/>
        <v>1.9754611016045986</v>
      </c>
    </row>
    <row r="43" spans="1:15" ht="36.75" customHeight="1" thickBot="1" x14ac:dyDescent="0.4">
      <c r="A43" s="389" t="s">
        <v>587</v>
      </c>
      <c r="B43" s="390"/>
      <c r="C43" s="390"/>
      <c r="D43" s="390"/>
      <c r="E43" s="390"/>
      <c r="F43" s="390"/>
      <c r="G43" s="390"/>
    </row>
    <row r="44" spans="1:15" ht="36.75" customHeight="1" x14ac:dyDescent="0.25">
      <c r="A44" s="99"/>
      <c r="B44" s="100" t="s">
        <v>579</v>
      </c>
      <c r="C44" s="100" t="s">
        <v>580</v>
      </c>
      <c r="D44" s="100" t="s">
        <v>581</v>
      </c>
      <c r="E44" s="100" t="s">
        <v>582</v>
      </c>
      <c r="F44" s="100" t="s">
        <v>583</v>
      </c>
      <c r="G44" s="101" t="s">
        <v>584</v>
      </c>
    </row>
    <row r="45" spans="1:15" ht="36.75" customHeight="1" x14ac:dyDescent="0.25">
      <c r="A45" s="102" t="s">
        <v>588</v>
      </c>
      <c r="B45" s="154">
        <f t="shared" ref="B45:G45" si="4">B41</f>
        <v>0</v>
      </c>
      <c r="C45" s="154">
        <f t="shared" si="4"/>
        <v>1.6047739052097945</v>
      </c>
      <c r="D45" s="154">
        <f t="shared" si="4"/>
        <v>3.4046458656332286</v>
      </c>
      <c r="E45" s="154">
        <f t="shared" si="4"/>
        <v>4.8091744250817205</v>
      </c>
      <c r="F45" s="154">
        <f t="shared" si="4"/>
        <v>2.5110398404262639</v>
      </c>
      <c r="G45" s="154">
        <f t="shared" si="4"/>
        <v>2.9419382390529925</v>
      </c>
    </row>
    <row r="46" spans="1:15" ht="36.75" customHeight="1" x14ac:dyDescent="0.25">
      <c r="A46" s="102" t="s">
        <v>589</v>
      </c>
      <c r="B46" s="154">
        <f>B41</f>
        <v>0</v>
      </c>
      <c r="C46" s="154">
        <f>C41 + B46</f>
        <v>1.6047739052097945</v>
      </c>
      <c r="D46" s="154">
        <f>D41 + C46</f>
        <v>5.0094197708430226</v>
      </c>
      <c r="E46" s="154">
        <f>E41 + D46</f>
        <v>9.8185941959247423</v>
      </c>
      <c r="F46" s="154">
        <f>F41 + E46</f>
        <v>12.329634036351006</v>
      </c>
      <c r="G46" s="154">
        <f>G41 + F46</f>
        <v>15.271572275403999</v>
      </c>
    </row>
    <row r="47" spans="1:15" ht="36.75" customHeight="1" x14ac:dyDescent="0.25">
      <c r="A47" s="102" t="s">
        <v>590</v>
      </c>
      <c r="B47" s="154">
        <f t="shared" ref="B47:G47" si="5">B48-B46</f>
        <v>29</v>
      </c>
      <c r="C47" s="154">
        <f t="shared" si="5"/>
        <v>27.708706378318322</v>
      </c>
      <c r="D47" s="154">
        <f t="shared" si="5"/>
        <v>23.985713625749966</v>
      </c>
      <c r="E47" s="154">
        <f t="shared" si="5"/>
        <v>21.365143091164651</v>
      </c>
      <c r="F47" s="154">
        <f t="shared" si="5"/>
        <v>20.421581213508571</v>
      </c>
      <c r="G47" s="154">
        <f t="shared" si="5"/>
        <v>19.455104076060181</v>
      </c>
    </row>
    <row r="48" spans="1:15" ht="36.75" customHeight="1" x14ac:dyDescent="0.25">
      <c r="A48" s="102" t="s">
        <v>269</v>
      </c>
      <c r="B48" s="154">
        <f>'Cost Analysis Input'!Q13</f>
        <v>29</v>
      </c>
      <c r="C48" s="155">
        <f>B48 + C42</f>
        <v>29.313480283528115</v>
      </c>
      <c r="D48" s="155">
        <f>C48 + D42</f>
        <v>28.99513339659299</v>
      </c>
      <c r="E48" s="155">
        <f>D48 + E42</f>
        <v>31.183737287089393</v>
      </c>
      <c r="F48" s="155">
        <f>E48 + F42</f>
        <v>32.751215249859577</v>
      </c>
      <c r="G48" s="155">
        <f>F48 + G42</f>
        <v>34.726676351464178</v>
      </c>
    </row>
  </sheetData>
  <mergeCells count="18">
    <mergeCell ref="O3:O4"/>
    <mergeCell ref="E3:E4"/>
    <mergeCell ref="F3:F4"/>
    <mergeCell ref="G3:G4"/>
    <mergeCell ref="I3:I4"/>
    <mergeCell ref="J3:J4"/>
    <mergeCell ref="K3:K4"/>
    <mergeCell ref="L3:L4"/>
    <mergeCell ref="M3:M4"/>
    <mergeCell ref="N3:N4"/>
    <mergeCell ref="A43:G43"/>
    <mergeCell ref="D3:D4"/>
    <mergeCell ref="A3:A4"/>
    <mergeCell ref="B3:B4"/>
    <mergeCell ref="C3:C4"/>
    <mergeCell ref="A28:B28"/>
    <mergeCell ref="A16:G16"/>
    <mergeCell ref="A29:G29"/>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Z83"/>
  <sheetViews>
    <sheetView workbookViewId="0">
      <selection activeCell="Q5" sqref="Q5"/>
    </sheetView>
  </sheetViews>
  <sheetFormatPr defaultRowHeight="15" x14ac:dyDescent="0.25"/>
  <cols>
    <col min="1" max="1" width="11.28515625" style="193" customWidth="1"/>
    <col min="2" max="2" width="12.7109375" style="193" customWidth="1"/>
    <col min="3" max="3" width="17.140625" style="193" customWidth="1"/>
    <col min="4" max="4" width="13.140625" style="193" customWidth="1"/>
    <col min="5" max="5" width="10.85546875" style="193" customWidth="1"/>
    <col min="6" max="6" width="11.140625" style="193" bestFit="1" customWidth="1"/>
    <col min="7" max="7" width="9.85546875" style="193" customWidth="1"/>
    <col min="8" max="10" width="9.7109375" style="193" bestFit="1" customWidth="1"/>
    <col min="11" max="11" width="13.140625" style="193" customWidth="1"/>
    <col min="12" max="12" width="10.28515625" style="193" bestFit="1" customWidth="1"/>
    <col min="13" max="13" width="11.7109375" style="193" bestFit="1" customWidth="1"/>
    <col min="14" max="14" width="12.28515625" style="193" customWidth="1"/>
    <col min="15" max="15" width="10.28515625" style="193" bestFit="1" customWidth="1"/>
    <col min="16" max="16" width="11.5703125" style="193" customWidth="1"/>
    <col min="17" max="17" width="11.7109375" style="193" bestFit="1" customWidth="1"/>
    <col min="18" max="18" width="13.28515625" style="193" customWidth="1"/>
    <col min="19" max="19" width="11.42578125" style="193" customWidth="1"/>
    <col min="20" max="20" width="13.5703125" style="193" bestFit="1" customWidth="1"/>
    <col min="21" max="22" width="13.5703125" style="193" customWidth="1"/>
    <col min="23" max="23" width="11.7109375" style="193" customWidth="1"/>
    <col min="24" max="24" width="11.140625" style="193" customWidth="1"/>
    <col min="25" max="25" width="15" style="193" customWidth="1"/>
    <col min="26" max="26" width="11.42578125" style="193" customWidth="1"/>
    <col min="27" max="27" width="10.42578125" style="193" bestFit="1" customWidth="1"/>
    <col min="28" max="28" width="11.28515625" style="193" customWidth="1"/>
    <col min="29" max="29" width="11.28515625" style="133" customWidth="1"/>
    <col min="30" max="30" width="15.85546875" style="245" customWidth="1"/>
    <col min="31" max="34" width="9.28515625" style="245" customWidth="1"/>
    <col min="35" max="35" width="12" style="245" customWidth="1"/>
    <col min="37" max="37" width="13.5703125" style="245" customWidth="1"/>
    <col min="40" max="40" width="13.5703125" style="245" customWidth="1"/>
    <col min="42" max="42" width="11.7109375" style="245" customWidth="1"/>
    <col min="43" max="78" width="9.140625" style="245" customWidth="1"/>
    <col min="79" max="82" width="9.140625" style="193" customWidth="1"/>
    <col min="83" max="16384" width="9.140625" style="193"/>
  </cols>
  <sheetData>
    <row r="1" spans="1:78" ht="42.75" customHeight="1" thickBot="1" x14ac:dyDescent="0.3">
      <c r="A1" s="61" t="s">
        <v>591</v>
      </c>
      <c r="B1" s="331"/>
      <c r="E1" s="61"/>
      <c r="F1" s="61"/>
      <c r="G1" s="61"/>
      <c r="I1" s="205">
        <v>1</v>
      </c>
      <c r="J1" s="61"/>
      <c r="N1" s="192"/>
      <c r="S1" s="194"/>
      <c r="AA1" s="133"/>
      <c r="BY1" s="193"/>
      <c r="BZ1" s="193"/>
    </row>
    <row r="2" spans="1:78" ht="32.25" customHeight="1" thickBot="1" x14ac:dyDescent="0.3">
      <c r="A2" s="342" t="s">
        <v>262</v>
      </c>
      <c r="B2" s="399"/>
      <c r="C2" s="400"/>
      <c r="D2" s="402" t="s">
        <v>592</v>
      </c>
      <c r="E2" s="403"/>
      <c r="F2" s="403"/>
      <c r="G2" s="403"/>
      <c r="H2" s="403"/>
      <c r="I2" s="403"/>
      <c r="J2" s="403"/>
      <c r="K2" s="403"/>
      <c r="L2" s="403"/>
      <c r="M2" s="403"/>
      <c r="N2" s="403"/>
      <c r="O2" s="403"/>
      <c r="P2" s="403"/>
      <c r="Q2" s="403"/>
      <c r="R2" s="403"/>
      <c r="S2" s="403"/>
      <c r="T2" s="403"/>
      <c r="AA2" s="133"/>
      <c r="BY2" s="193"/>
      <c r="BZ2" s="193"/>
    </row>
    <row r="3" spans="1:78" s="20" customFormat="1" ht="40.5" customHeight="1" thickBot="1" x14ac:dyDescent="0.3">
      <c r="A3" s="344" t="s">
        <v>263</v>
      </c>
      <c r="B3" s="399"/>
      <c r="C3" s="400"/>
      <c r="D3" s="52"/>
      <c r="E3" s="53"/>
      <c r="F3" s="404" t="s">
        <v>593</v>
      </c>
      <c r="G3" s="405"/>
      <c r="H3" s="406" t="s">
        <v>594</v>
      </c>
      <c r="I3" s="406"/>
      <c r="J3" s="407"/>
      <c r="K3" s="408" t="s">
        <v>595</v>
      </c>
      <c r="L3" s="409"/>
      <c r="M3" s="410"/>
      <c r="N3" s="407" t="s">
        <v>596</v>
      </c>
      <c r="O3" s="411"/>
      <c r="P3" s="412"/>
      <c r="Q3" s="413" t="s">
        <v>597</v>
      </c>
      <c r="R3" s="414"/>
      <c r="S3" s="415" t="s">
        <v>598</v>
      </c>
      <c r="T3" s="416"/>
      <c r="AA3" s="134"/>
    </row>
    <row r="4" spans="1:78" s="20" customFormat="1" ht="51.75" customHeight="1" thickBot="1" x14ac:dyDescent="0.3">
      <c r="A4" s="195" t="s">
        <v>678</v>
      </c>
      <c r="B4" s="195" t="s">
        <v>599</v>
      </c>
      <c r="C4" s="195" t="s">
        <v>600</v>
      </c>
      <c r="D4" s="42" t="s">
        <v>601</v>
      </c>
      <c r="E4" s="43" t="s">
        <v>602</v>
      </c>
      <c r="F4" s="36" t="s">
        <v>603</v>
      </c>
      <c r="G4" s="45" t="s">
        <v>604</v>
      </c>
      <c r="H4" s="44" t="s">
        <v>605</v>
      </c>
      <c r="I4" s="35" t="s">
        <v>606</v>
      </c>
      <c r="J4" s="35" t="s">
        <v>607</v>
      </c>
      <c r="K4" s="42" t="s">
        <v>608</v>
      </c>
      <c r="L4" s="34" t="s">
        <v>609</v>
      </c>
      <c r="M4" s="43" t="s">
        <v>610</v>
      </c>
      <c r="N4" s="38" t="s">
        <v>611</v>
      </c>
      <c r="O4" s="33" t="s">
        <v>612</v>
      </c>
      <c r="P4" s="37" t="s">
        <v>613</v>
      </c>
      <c r="Q4" s="42" t="s">
        <v>614</v>
      </c>
      <c r="R4" s="43" t="s">
        <v>615</v>
      </c>
      <c r="S4" s="50" t="s">
        <v>616</v>
      </c>
      <c r="T4" s="51" t="s">
        <v>617</v>
      </c>
      <c r="AA4" s="134"/>
      <c r="AK4" s="255" t="s">
        <v>618</v>
      </c>
    </row>
    <row r="5" spans="1:78" s="20" customFormat="1" ht="15.75" customHeight="1" thickBot="1" x14ac:dyDescent="0.3">
      <c r="A5" s="338">
        <f>MAX(AA9:AA51)</f>
        <v>2032</v>
      </c>
      <c r="B5" s="332">
        <f>Y52-Q52</f>
        <v>347.11185534234727</v>
      </c>
      <c r="C5" s="332">
        <f>MAX(R9:R51)*1000000/U52</f>
        <v>687.22378750697419</v>
      </c>
      <c r="D5" s="196">
        <v>2018</v>
      </c>
      <c r="E5" s="196">
        <v>2018</v>
      </c>
      <c r="F5" s="197">
        <v>2018</v>
      </c>
      <c r="G5" s="198">
        <v>4.2500000000000003E-2</v>
      </c>
      <c r="H5" s="198">
        <v>2.9000000000000001E-2</v>
      </c>
      <c r="I5" s="198">
        <v>0.03</v>
      </c>
      <c r="J5" s="198">
        <v>0.04</v>
      </c>
      <c r="K5" s="199">
        <v>0</v>
      </c>
      <c r="L5" s="200">
        <v>30</v>
      </c>
      <c r="M5" s="333">
        <v>0.05</v>
      </c>
      <c r="N5" s="334" t="s">
        <v>619</v>
      </c>
      <c r="O5" s="201">
        <v>475</v>
      </c>
      <c r="P5" s="202">
        <v>15</v>
      </c>
      <c r="Q5" s="203" t="s">
        <v>681</v>
      </c>
      <c r="R5" s="333">
        <v>0.05</v>
      </c>
      <c r="S5" s="335" t="s">
        <v>620</v>
      </c>
      <c r="T5" s="204">
        <v>73</v>
      </c>
      <c r="AA5" s="134"/>
    </row>
    <row r="6" spans="1:78" s="20" customFormat="1" ht="15" customHeight="1" thickBot="1" x14ac:dyDescent="0.3">
      <c r="C6" s="39"/>
      <c r="D6" s="47"/>
      <c r="E6" s="47"/>
      <c r="F6" s="336"/>
      <c r="G6" s="336"/>
      <c r="H6" s="336"/>
      <c r="I6" s="336"/>
      <c r="J6" s="336"/>
      <c r="K6" s="47"/>
      <c r="L6" s="47"/>
      <c r="M6" s="47"/>
      <c r="N6" s="47"/>
      <c r="O6" s="48"/>
      <c r="P6" s="48"/>
      <c r="Q6" s="336"/>
      <c r="R6" s="47"/>
      <c r="S6" s="337"/>
      <c r="T6" s="337"/>
      <c r="U6" s="337"/>
      <c r="V6" s="337"/>
      <c r="W6" s="39"/>
      <c r="X6" s="337"/>
      <c r="Y6" s="32"/>
      <c r="Z6" s="31"/>
      <c r="AB6" s="218"/>
      <c r="AC6" s="135"/>
    </row>
    <row r="7" spans="1:78" ht="13.5" customHeight="1" thickBot="1" x14ac:dyDescent="0.3">
      <c r="C7" s="421" t="str">
        <f>"Projected Annual Cost
"&amp;D5&amp;" Dollar Year" &amp;"
($Million)"</f>
        <v>Projected Annual Cost
2018 Dollar Year
($Million)</v>
      </c>
      <c r="D7" s="424"/>
      <c r="E7" s="422"/>
      <c r="F7" s="424" t="s">
        <v>621</v>
      </c>
      <c r="G7" s="424"/>
      <c r="H7" s="422"/>
      <c r="I7" s="425" t="str">
        <f>"Projected Annual Cost with Financing
($Million; NPV=$"&amp;ROUND(Q52,3)&amp;")"</f>
        <v>Projected Annual Cost with Financing
($Million; NPV=$242.422)</v>
      </c>
      <c r="J7" s="426"/>
      <c r="K7" s="426"/>
      <c r="L7" s="426"/>
      <c r="M7" s="426"/>
      <c r="N7" s="426"/>
      <c r="O7" s="426"/>
      <c r="P7" s="426"/>
      <c r="Q7" s="426"/>
      <c r="R7" s="427"/>
      <c r="S7" s="421" t="str">
        <f>"Avoided MWD Purchase 
 ($Million; NPV=$"&amp;ROUND(Y52,3)&amp;")"</f>
        <v>Avoided MWD Purchase 
 ($Million; NPV=$589.534)</v>
      </c>
      <c r="T7" s="424"/>
      <c r="U7" s="424"/>
      <c r="V7" s="424"/>
      <c r="W7" s="424"/>
      <c r="X7" s="422"/>
      <c r="Y7" s="421" t="s">
        <v>622</v>
      </c>
      <c r="Z7" s="422"/>
      <c r="AA7" s="136"/>
      <c r="AH7" s="417" t="s">
        <v>623</v>
      </c>
      <c r="AI7" s="418"/>
      <c r="AJ7" s="13"/>
      <c r="AK7" s="419" t="s">
        <v>624</v>
      </c>
      <c r="AL7" s="398"/>
      <c r="AM7" s="398"/>
      <c r="AN7" s="418"/>
      <c r="AP7" s="420" t="s">
        <v>625</v>
      </c>
      <c r="AQ7" s="348"/>
      <c r="AS7" s="401" t="s">
        <v>626</v>
      </c>
      <c r="AT7" s="347"/>
      <c r="AU7" s="347"/>
      <c r="AV7" s="347"/>
      <c r="AW7" s="347"/>
      <c r="AX7" s="347"/>
      <c r="AY7" s="347"/>
      <c r="AZ7" s="347"/>
      <c r="BA7" s="347"/>
      <c r="BB7" s="348"/>
      <c r="BD7" s="420" t="s">
        <v>627</v>
      </c>
      <c r="BE7" s="348"/>
      <c r="BF7" s="193"/>
      <c r="BG7" s="401" t="s">
        <v>628</v>
      </c>
      <c r="BH7" s="347"/>
      <c r="BI7" s="347"/>
      <c r="BY7" s="193"/>
      <c r="BZ7" s="193"/>
    </row>
    <row r="8" spans="1:78" ht="38.25" customHeight="1" thickBot="1" x14ac:dyDescent="0.3">
      <c r="A8" s="7" t="s">
        <v>629</v>
      </c>
      <c r="B8" s="25" t="s">
        <v>630</v>
      </c>
      <c r="C8" s="46" t="s">
        <v>631</v>
      </c>
      <c r="D8" s="3" t="s">
        <v>632</v>
      </c>
      <c r="E8" s="4" t="s">
        <v>633</v>
      </c>
      <c r="F8" s="46" t="s">
        <v>634</v>
      </c>
      <c r="G8" s="3" t="s">
        <v>635</v>
      </c>
      <c r="H8" s="4" t="s">
        <v>636</v>
      </c>
      <c r="I8" s="6" t="s">
        <v>637</v>
      </c>
      <c r="J8" s="7" t="s">
        <v>638</v>
      </c>
      <c r="K8" s="7" t="s">
        <v>639</v>
      </c>
      <c r="L8" s="46" t="s">
        <v>640</v>
      </c>
      <c r="M8" s="3" t="s">
        <v>641</v>
      </c>
      <c r="N8" s="7" t="s">
        <v>642</v>
      </c>
      <c r="O8" s="12" t="s">
        <v>643</v>
      </c>
      <c r="P8" s="3" t="s">
        <v>644</v>
      </c>
      <c r="Q8" s="6" t="s">
        <v>645</v>
      </c>
      <c r="R8" s="254" t="s">
        <v>646</v>
      </c>
      <c r="S8" s="253" t="s">
        <v>647</v>
      </c>
      <c r="T8" s="4" t="s">
        <v>648</v>
      </c>
      <c r="U8" s="46" t="s">
        <v>649</v>
      </c>
      <c r="V8" s="3" t="s">
        <v>650</v>
      </c>
      <c r="W8" s="3" t="s">
        <v>651</v>
      </c>
      <c r="X8" s="4" t="s">
        <v>652</v>
      </c>
      <c r="Y8" s="46" t="s">
        <v>653</v>
      </c>
      <c r="Z8" s="4" t="s">
        <v>654</v>
      </c>
      <c r="AA8" s="137" t="s">
        <v>655</v>
      </c>
      <c r="AB8" s="4" t="s">
        <v>656</v>
      </c>
      <c r="AH8" s="8" t="s">
        <v>657</v>
      </c>
      <c r="AI8" s="10" t="str">
        <f>IF(Q5= "Treated","Tier 1 Treated     ($/Acre-Ft)", IF(Q5 = "Untreated", "Tier 1 Untreated         ($/Acre-Ft)",0))</f>
        <v>Tier 1 Untreated         ($/Acre-Ft)</v>
      </c>
      <c r="AK8" s="8" t="s">
        <v>657</v>
      </c>
      <c r="AL8" s="9" t="s">
        <v>658</v>
      </c>
      <c r="AM8" s="9" t="s">
        <v>659</v>
      </c>
      <c r="AN8" s="10" t="s">
        <v>660</v>
      </c>
      <c r="AP8" s="26" t="s">
        <v>657</v>
      </c>
      <c r="AQ8" s="27" t="str">
        <f t="shared" ref="AQ8:AQ50" si="0">IF($L$5=5,AT8,IF($L$5=10,AU8,IF($L$5=15,AV8,IF($L$5=18,AW8,IF($L$5=20,AX8,IF($L$5=25,AY8,IF($L$5=30,AZ8,IF($L$5=35,BA8,IF($L$5=40,BB8)))))))))</f>
        <v>30 Year 
Borrowing
Term</v>
      </c>
      <c r="AS8" s="26" t="s">
        <v>657</v>
      </c>
      <c r="AT8" s="27" t="s">
        <v>661</v>
      </c>
      <c r="AU8" s="27" t="s">
        <v>662</v>
      </c>
      <c r="AV8" s="27" t="s">
        <v>663</v>
      </c>
      <c r="AW8" s="27" t="s">
        <v>664</v>
      </c>
      <c r="AX8" s="27" t="s">
        <v>665</v>
      </c>
      <c r="AY8" s="27" t="s">
        <v>666</v>
      </c>
      <c r="AZ8" s="27" t="s">
        <v>667</v>
      </c>
      <c r="BA8" s="27" t="s">
        <v>668</v>
      </c>
      <c r="BB8" s="27" t="s">
        <v>669</v>
      </c>
      <c r="BD8" s="26" t="s">
        <v>657</v>
      </c>
      <c r="BE8" s="27" t="str">
        <f>IF(P5=15,BH8,IF(P5=25,BI8,0))</f>
        <v>15 Year Term</v>
      </c>
      <c r="BF8" s="21"/>
      <c r="BG8" s="26" t="s">
        <v>657</v>
      </c>
      <c r="BH8" s="27" t="s">
        <v>670</v>
      </c>
      <c r="BI8" s="27" t="s">
        <v>671</v>
      </c>
      <c r="BY8" s="193"/>
      <c r="BZ8" s="193"/>
    </row>
    <row r="9" spans="1:78" ht="18.75" customHeight="1" x14ac:dyDescent="0.25">
      <c r="A9" s="193" t="b">
        <v>1</v>
      </c>
      <c r="B9" s="41">
        <f>$E$5</f>
        <v>2018</v>
      </c>
      <c r="C9" s="219">
        <f>IF(B9&gt;MAX('10 YEAR PROJECTION'!$Y$4:$AN$4),
    0,
    IF(INDEX('10 YEAR PROJECTION'!$X$5:$AN$9, MATCH($I$1, '10 YEAR PROJECTION'!$X$5:$X$9, 0), MATCH(B9, '10 YEAR PROJECTION'!$X$4:$AN$4, 0)) &gt; 0,
        INDEX('10 YEAR PROJECTION'!$X$5:$AN$9, MATCH($I$1, '10 YEAR PROJECTION'!$X$5:$X$9, 0), MATCH(B9, '10 YEAR PROJECTION'!$X$4:$AN$4, 0))/1000000,
        0)
    )</f>
        <v>1.5</v>
      </c>
      <c r="D9" s="219">
        <f>IF(A9, IF(B9&gt;MAX('10 YEAR PROJECTION'!$Y$12:$AN$12),
    D8,
    IF(INDEX('10 YEAR PROJECTION'!$X$13:$AN$17, MATCH($I$1, '10 YEAR PROJECTION'!$X$13:$X$17, 0), MATCH(B9, '10 YEAR PROJECTION'!$X$12:$AN$12, 0)) &gt; 0,
        INDEX('10 YEAR PROJECTION'!$X$13:$AN$17, MATCH($I$1, '10 YEAR PROJECTION'!$X$13:$X$17, 0), MATCH(B9, '10 YEAR PROJECTION'!$X$12:$AN$12, 0))/1000000,
        0)
    ), 0)</f>
        <v>0</v>
      </c>
      <c r="E9" s="220">
        <f t="shared" ref="E9:E51" si="1">IF(A9, IF( $S$5="Yes", ($T$5)*T9, 0)/1000000, 0)</f>
        <v>0</v>
      </c>
      <c r="F9" s="220">
        <f t="shared" ref="F9:F51" si="2">IF(C9=0,C9, (C9)*(1+$H$5)^(B9-$D$5))</f>
        <v>1.5</v>
      </c>
      <c r="G9" s="221">
        <f t="shared" ref="G9:G51" si="3">IF(D9=0, D9, (D9)*(1+$I$5)^(B9-$D$5))</f>
        <v>0</v>
      </c>
      <c r="H9" s="222">
        <f t="shared" ref="H9:H51" si="4">IF(E9=0,E9,(E9)*(1+$J$5)^(B9-$D$5))</f>
        <v>0</v>
      </c>
      <c r="I9" s="220">
        <f t="shared" ref="I9:I51" si="5">F9*(1-$K$5)</f>
        <v>1.5</v>
      </c>
      <c r="J9" s="221">
        <f t="shared" ref="J9:J51" si="6">G9</f>
        <v>0</v>
      </c>
      <c r="K9" s="222">
        <f t="shared" ref="K9:K51" si="7">H9</f>
        <v>0</v>
      </c>
      <c r="L9" s="220">
        <f t="shared" ref="L9:L51" si="8">(F9)*($K$5)</f>
        <v>0</v>
      </c>
      <c r="M9" s="223">
        <f t="shared" ref="M9:M51" si="9">ABS(PMT($M$5,$L$5,L9))</f>
        <v>0</v>
      </c>
      <c r="N9" s="223">
        <f t="shared" ref="N9:N50" si="10">AQ9</f>
        <v>0</v>
      </c>
      <c r="O9" s="224">
        <f>IF($N$5="Yes", IF( U9&gt;0, U9*$O$5/1000000,0),0)</f>
        <v>0</v>
      </c>
      <c r="P9" s="221">
        <f t="shared" ref="P9:P50" si="11">BE9</f>
        <v>0</v>
      </c>
      <c r="Q9" s="221">
        <f t="shared" ref="Q9:Q51" si="12">(I9+J9+K9+ N9)-P9</f>
        <v>1.5</v>
      </c>
      <c r="R9" s="225">
        <f>Q9</f>
        <v>1.5</v>
      </c>
      <c r="S9" s="158">
        <f>IF(A9,
    IF(NOT(C9=0),
        IF(B9&lt;2020,
             INDEX(MP_new!$A$4:$J$9, INDEX('Cost Analysis Input'!$B$2:$D$7, IF(MATCH(B9, 'Cost Analysis Input'!$C$2:$C$7, 1)&gt;$I$1, $I$1, MATCH(B9, 'Cost Analysis Input'!$C$2:$C$7, 1)), 3)+1, 7),
             INDEX(MP_new!$A$4:$J$9, INDEX('Cost Analysis Input'!$B$2:$D$7, IF(MATCH(B9, 'Cost Analysis Input'!$C$2:$C$7, 1)&gt;$I$1, $I$1, MATCH(B9, 'Cost Analysis Input'!$C$2:$C$7, 1)), 3)+1, 7)-5000),
        INDEX(MP_new!$A$4:$J$9, $I$1+1, 7)),
    0)</f>
        <v>64619.055153407739</v>
      </c>
      <c r="T9" s="157">
        <v>0</v>
      </c>
      <c r="U9" s="1">
        <f>IF(A9, (MP_new!$G$4-S9)+T9, 0)</f>
        <v>0</v>
      </c>
      <c r="V9" s="1">
        <f t="shared" ref="V9:V51" si="13">IF(A9, IF(EXACT($Q$5,"Treated"),AM9,AN9), 0)</f>
        <v>695</v>
      </c>
      <c r="W9" s="223">
        <f t="shared" ref="W9:W51" si="14">(U9*V9)/1000000</f>
        <v>0</v>
      </c>
      <c r="X9" s="224">
        <f>W9</f>
        <v>0</v>
      </c>
      <c r="Y9" s="224">
        <v>0</v>
      </c>
      <c r="Z9" s="224">
        <v>0</v>
      </c>
      <c r="AA9" s="224">
        <v>0</v>
      </c>
      <c r="AB9" s="224">
        <v>0</v>
      </c>
      <c r="AH9" s="17">
        <v>2018</v>
      </c>
      <c r="AI9" s="186">
        <v>0</v>
      </c>
      <c r="AJ9" s="184"/>
      <c r="AK9" s="17">
        <v>2018</v>
      </c>
      <c r="AL9" s="226"/>
      <c r="AM9" s="187">
        <v>1015</v>
      </c>
      <c r="AN9" s="18">
        <v>695</v>
      </c>
      <c r="AP9" s="5">
        <f t="shared" ref="AP9:AP50" si="15">AS9</f>
        <v>2018</v>
      </c>
      <c r="AQ9" s="28">
        <f t="shared" si="0"/>
        <v>0</v>
      </c>
      <c r="AS9" s="57">
        <f t="shared" ref="AS9:AS50" si="16">B9</f>
        <v>2018</v>
      </c>
      <c r="AT9" s="28">
        <v>0</v>
      </c>
      <c r="AU9" s="28">
        <v>0</v>
      </c>
      <c r="AV9" s="28">
        <v>0</v>
      </c>
      <c r="AW9" s="28">
        <v>0</v>
      </c>
      <c r="AX9" s="28">
        <v>0</v>
      </c>
      <c r="AY9" s="28">
        <v>0</v>
      </c>
      <c r="AZ9" s="28">
        <v>0</v>
      </c>
      <c r="BA9" s="28">
        <v>0</v>
      </c>
      <c r="BB9" s="28">
        <v>0</v>
      </c>
      <c r="BD9" s="5">
        <f t="shared" ref="BD9:BD50" si="17">BG9</f>
        <v>2018</v>
      </c>
      <c r="BE9" s="28">
        <f t="shared" ref="BE9:BE50" si="18">IF($P$5=15,BH9,IF($P$5=25,BI9,))</f>
        <v>0</v>
      </c>
      <c r="BF9" s="193"/>
      <c r="BG9" s="5">
        <f t="shared" ref="BG9:BG50" si="19">B9</f>
        <v>2018</v>
      </c>
      <c r="BH9" s="28">
        <v>0</v>
      </c>
      <c r="BI9" s="28">
        <f>0</f>
        <v>0</v>
      </c>
      <c r="BY9" s="193"/>
      <c r="BZ9" s="193"/>
    </row>
    <row r="10" spans="1:78" x14ac:dyDescent="0.25">
      <c r="A10" s="193" t="b">
        <f>IF(B9+1&lt;INDEX('Step Analysis'!$B$9:$B$51, MATCH(TRUE, INDEX('Step Analysis'!$C$9:$C$51=0,), 0))+100, TRUE, FALSE)</f>
        <v>1</v>
      </c>
      <c r="B10" s="40">
        <f t="shared" ref="B10:B51" si="20">B9+1</f>
        <v>2019</v>
      </c>
      <c r="C10" s="219">
        <f>IF(B10&gt;MAX('10 YEAR PROJECTION'!$Y$4:$AN$4),
    0,
    IF(INDEX('10 YEAR PROJECTION'!$X$5:$AN$9, MATCH($I$1, '10 YEAR PROJECTION'!$X$5:$X$9, 0), MATCH(B10, '10 YEAR PROJECTION'!$X$4:$AN$4, 0)) &gt; 0,
        INDEX('10 YEAR PROJECTION'!$X$5:$AN$9, MATCH($I$1, '10 YEAR PROJECTION'!$X$5:$X$9, 0), MATCH(B10, '10 YEAR PROJECTION'!$X$4:$AN$4, 0))/1000000,
        0)
    )</f>
        <v>3.8187619999999995</v>
      </c>
      <c r="D10" s="219">
        <f>IF(A10, IF(B10&gt;MAX('10 YEAR PROJECTION'!$Y$12:$AN$12),
    D9,
    IF(INDEX('10 YEAR PROJECTION'!$X$13:$AN$17, MATCH($I$1, '10 YEAR PROJECTION'!$X$13:$X$17, 0), MATCH(B10, '10 YEAR PROJECTION'!$X$12:$AN$12, 0)) &gt; 0,
        INDEX('10 YEAR PROJECTION'!$X$13:$AN$17, MATCH($I$1, '10 YEAR PROJECTION'!$X$13:$X$17, 0), MATCH(B10, '10 YEAR PROJECTION'!$X$12:$AN$12, 0))/1000000,
        0)
    ), 0)</f>
        <v>0</v>
      </c>
      <c r="E10" s="220">
        <f t="shared" si="1"/>
        <v>0.36499999999999999</v>
      </c>
      <c r="F10" s="220">
        <f t="shared" si="2"/>
        <v>3.9295060979999992</v>
      </c>
      <c r="G10" s="221">
        <f t="shared" si="3"/>
        <v>0</v>
      </c>
      <c r="H10" s="222">
        <f t="shared" si="4"/>
        <v>0.37959999999999999</v>
      </c>
      <c r="I10" s="220">
        <f t="shared" si="5"/>
        <v>3.9295060979999992</v>
      </c>
      <c r="J10" s="221">
        <f t="shared" si="6"/>
        <v>0</v>
      </c>
      <c r="K10" s="222">
        <f t="shared" si="7"/>
        <v>0.37959999999999999</v>
      </c>
      <c r="L10" s="220">
        <f t="shared" si="8"/>
        <v>0</v>
      </c>
      <c r="M10" s="223">
        <f t="shared" si="9"/>
        <v>0</v>
      </c>
      <c r="N10" s="223">
        <f t="shared" si="10"/>
        <v>0</v>
      </c>
      <c r="O10" s="227">
        <f t="shared" ref="O10:O51" si="21">IF($N$5="Yes", IF( U10&gt;U9, (U10-U9)*$O$5/1000000,0),0)</f>
        <v>0</v>
      </c>
      <c r="P10" s="228">
        <f t="shared" si="11"/>
        <v>0</v>
      </c>
      <c r="Q10" s="228">
        <f t="shared" si="12"/>
        <v>4.3091060979999991</v>
      </c>
      <c r="R10" s="229">
        <f t="shared" ref="R10:R51" si="22">IF(A10, R9+Q10, 0)</f>
        <v>5.8091060979999991</v>
      </c>
      <c r="S10" s="158">
        <f>IF(A10,
    IF(NOT(C10=0),
        IF(B10&lt;2020,
             INDEX(MP_new!$A$4:$J$9, INDEX('Cost Analysis Input'!$B$2:$D$7, IF(MATCH(B10, 'Cost Analysis Input'!$C$2:$C$7, 1)&gt;$I$1, $I$1, MATCH(B10, 'Cost Analysis Input'!$C$2:$C$7, 1)), 3)+1, 7),
             INDEX(MP_new!$A$4:$J$9, INDEX('Cost Analysis Input'!$B$2:$D$7, IF(MATCH(B10, 'Cost Analysis Input'!$C$2:$C$7, 1)&gt;$I$1, $I$1, MATCH(B10, 'Cost Analysis Input'!$C$2:$C$7, 1)), 3)+1, 7)-5000),
        INDEX(MP_new!$A$4:$J$9, $I$1+1, 7)),
    0)</f>
        <v>64619.055153407739</v>
      </c>
      <c r="T10" s="157">
        <f>IF(A10, IF(EXACT($S$5, "Yes"),
    IF(C10=0,
        T9,
        INDEX(MP_new!$A$5:$J$9, INDEX('Cost Analysis Input'!$B$3:$D$7, MATCH(B10, 'Cost Analysis Input'!$B$3:$B$7, 1), 3), 10)),
    0), 0)</f>
        <v>5000</v>
      </c>
      <c r="U10" s="1">
        <f>IF(A10, (MP_new!$G$4-S10)+T10, 0)</f>
        <v>5000</v>
      </c>
      <c r="V10" s="1">
        <f t="shared" si="13"/>
        <v>776</v>
      </c>
      <c r="W10" s="230">
        <f t="shared" si="14"/>
        <v>3.88</v>
      </c>
      <c r="X10" s="227">
        <f t="shared" ref="X10:X51" si="23">IF(A10, X9+W10, 0)</f>
        <v>3.88</v>
      </c>
      <c r="Y10" s="227">
        <f t="shared" ref="Y10:Y51" si="24">W10-Q10</f>
        <v>-0.42910609799999921</v>
      </c>
      <c r="Z10" s="227">
        <f t="shared" ref="Z10:Z51" si="25">X10-R10</f>
        <v>-1.9291060979999992</v>
      </c>
      <c r="AA10" s="227">
        <f>IF(SUM(AA$9:AA9)&gt;0,0,IF(SUM(X10-R10)&gt;0,B10,0))</f>
        <v>0</v>
      </c>
      <c r="AB10" s="227">
        <f>ABS(Z10)*1000000/SUM(U$9:U10)</f>
        <v>385.82121959999984</v>
      </c>
      <c r="AH10" s="19">
        <f t="shared" ref="AH10:AH51" si="26">AH9+1</f>
        <v>2019</v>
      </c>
      <c r="AI10" s="185">
        <f t="shared" ref="AI10:AI51" si="27">IF($J$13= "A",AM10, IF($J$13 = "B",AN10,0))</f>
        <v>0</v>
      </c>
      <c r="AJ10" s="13"/>
      <c r="AK10" s="19">
        <f t="shared" ref="AK10:AK51" si="28">AK9+1</f>
        <v>2019</v>
      </c>
      <c r="AL10" s="231"/>
      <c r="AM10" s="189">
        <v>1095</v>
      </c>
      <c r="AN10" s="190">
        <v>776</v>
      </c>
      <c r="AO10" s="14"/>
      <c r="AP10" s="15">
        <f t="shared" si="15"/>
        <v>2019</v>
      </c>
      <c r="AQ10" s="29">
        <f t="shared" si="0"/>
        <v>0</v>
      </c>
      <c r="AR10" s="14"/>
      <c r="AS10" s="54">
        <f t="shared" si="16"/>
        <v>2019</v>
      </c>
      <c r="AT10" s="29">
        <f t="shared" ref="AT10:BB10" si="29">$M$9</f>
        <v>0</v>
      </c>
      <c r="AU10" s="29">
        <f t="shared" si="29"/>
        <v>0</v>
      </c>
      <c r="AV10" s="29">
        <f t="shared" si="29"/>
        <v>0</v>
      </c>
      <c r="AW10" s="29">
        <f t="shared" si="29"/>
        <v>0</v>
      </c>
      <c r="AX10" s="29">
        <f t="shared" si="29"/>
        <v>0</v>
      </c>
      <c r="AY10" s="29">
        <f t="shared" si="29"/>
        <v>0</v>
      </c>
      <c r="AZ10" s="29">
        <f t="shared" si="29"/>
        <v>0</v>
      </c>
      <c r="BA10" s="29">
        <f t="shared" si="29"/>
        <v>0</v>
      </c>
      <c r="BB10" s="29">
        <f t="shared" si="29"/>
        <v>0</v>
      </c>
      <c r="BC10" s="14"/>
      <c r="BD10" s="15">
        <f t="shared" si="17"/>
        <v>2019</v>
      </c>
      <c r="BE10" s="29">
        <f t="shared" si="18"/>
        <v>0</v>
      </c>
      <c r="BF10" s="14"/>
      <c r="BG10" s="15">
        <f t="shared" si="19"/>
        <v>2019</v>
      </c>
      <c r="BH10" s="29">
        <f>SUM($O$9)</f>
        <v>0</v>
      </c>
      <c r="BI10" s="29">
        <f>SUM($O$9)</f>
        <v>0</v>
      </c>
      <c r="BY10" s="193"/>
      <c r="BZ10" s="193"/>
    </row>
    <row r="11" spans="1:78" s="14" customFormat="1" ht="12.75" customHeight="1" x14ac:dyDescent="0.2">
      <c r="A11" s="193" t="b">
        <f>IF(B10+1&lt;INDEX('Step Analysis'!$B$9:$B$51, MATCH(TRUE, INDEX('Step Analysis'!$C$9:$C$51=0,), 0))+100, TRUE, FALSE)</f>
        <v>1</v>
      </c>
      <c r="B11" s="41">
        <f t="shared" si="20"/>
        <v>2020</v>
      </c>
      <c r="C11" s="219">
        <f>IF(B11&gt;MAX('10 YEAR PROJECTION'!$Y$4:$AN$4),
    0,
    IF(INDEX('10 YEAR PROJECTION'!$X$5:$AN$9, MATCH($I$1, '10 YEAR PROJECTION'!$X$5:$X$9, 0), MATCH(B11, '10 YEAR PROJECTION'!$X$4:$AN$4, 0)) &gt; 0,
        INDEX('10 YEAR PROJECTION'!$X$5:$AN$9, MATCH($I$1, '10 YEAR PROJECTION'!$X$5:$X$9, 0), MATCH(B11, '10 YEAR PROJECTION'!$X$4:$AN$4, 0))/1000000,
        0)
    )</f>
        <v>22.743905999999992</v>
      </c>
      <c r="D11" s="219">
        <f>IF(A11, IF(B11&gt;MAX('10 YEAR PROJECTION'!$Y$12:$AN$12),
    D10,
    IF(INDEX('10 YEAR PROJECTION'!$X$13:$AN$17, MATCH($I$1, '10 YEAR PROJECTION'!$X$13:$X$17, 0), MATCH(B11, '10 YEAR PROJECTION'!$X$12:$AN$12, 0)) &gt; 0,
        INDEX('10 YEAR PROJECTION'!$X$13:$AN$17, MATCH($I$1, '10 YEAR PROJECTION'!$X$13:$X$17, 0), MATCH(B11, '10 YEAR PROJECTION'!$X$12:$AN$12, 0))/1000000,
        0)
    ), 0)</f>
        <v>0</v>
      </c>
      <c r="E11" s="220">
        <f t="shared" si="1"/>
        <v>0.36499999999999999</v>
      </c>
      <c r="F11" s="220">
        <f t="shared" si="2"/>
        <v>24.082180172945989</v>
      </c>
      <c r="G11" s="221">
        <f t="shared" si="3"/>
        <v>0</v>
      </c>
      <c r="H11" s="222">
        <f t="shared" si="4"/>
        <v>0.39478400000000002</v>
      </c>
      <c r="I11" s="220">
        <f t="shared" si="5"/>
        <v>24.082180172945989</v>
      </c>
      <c r="J11" s="221">
        <f t="shared" si="6"/>
        <v>0</v>
      </c>
      <c r="K11" s="222">
        <f t="shared" si="7"/>
        <v>0.39478400000000002</v>
      </c>
      <c r="L11" s="220">
        <f t="shared" si="8"/>
        <v>0</v>
      </c>
      <c r="M11" s="223">
        <f t="shared" si="9"/>
        <v>0</v>
      </c>
      <c r="N11" s="223">
        <f t="shared" si="10"/>
        <v>0</v>
      </c>
      <c r="O11" s="220">
        <f t="shared" si="21"/>
        <v>0</v>
      </c>
      <c r="P11" s="221">
        <f t="shared" si="11"/>
        <v>0</v>
      </c>
      <c r="Q11" s="221">
        <f t="shared" si="12"/>
        <v>24.476964172945991</v>
      </c>
      <c r="R11" s="229">
        <f t="shared" si="22"/>
        <v>30.286070270945991</v>
      </c>
      <c r="S11" s="158">
        <f>IF(A11,
    IF(NOT(C11=0),
        IF(B11&lt;2020,
             INDEX(MP_new!$A$4:$J$9, INDEX('Cost Analysis Input'!$B$2:$D$7, IF(MATCH(B11, 'Cost Analysis Input'!$C$2:$C$7, 1)&gt;$I$1, $I$1, MATCH(B11, 'Cost Analysis Input'!$C$2:$C$7, 1)), 3)+1, 7),
             INDEX(MP_new!$A$4:$J$9, INDEX('Cost Analysis Input'!$B$2:$D$7, IF(MATCH(B11, 'Cost Analysis Input'!$C$2:$C$7, 1)&gt;$I$1, $I$1, MATCH(B11, 'Cost Analysis Input'!$C$2:$C$7, 1)), 3)+1, 7)-5000),
        INDEX(MP_new!$A$4:$J$9, $I$1+1, 7)),
    0)</f>
        <v>59619.055153407739</v>
      </c>
      <c r="T11" s="157">
        <f>IF(A11, IF(EXACT($S$5, "Yes"),
    IF(C11=0,
        T10,
        INDEX(MP_new!$A$5:$J$9, INDEX('Cost Analysis Input'!$B$3:$D$7, MATCH(B11, 'Cost Analysis Input'!$B$3:$B$7, 1), 3), 10)),
    0), 0)</f>
        <v>5000</v>
      </c>
      <c r="U11" s="1">
        <f>IF(A11, (MP_new!$G$4-S11)+T11, 0)</f>
        <v>10000</v>
      </c>
      <c r="V11" s="1">
        <f t="shared" si="13"/>
        <v>838</v>
      </c>
      <c r="W11" s="223">
        <f t="shared" si="14"/>
        <v>8.3800000000000008</v>
      </c>
      <c r="X11" s="220">
        <f t="shared" si="23"/>
        <v>12.260000000000002</v>
      </c>
      <c r="Y11" s="220">
        <f t="shared" si="24"/>
        <v>-16.096964172945988</v>
      </c>
      <c r="Z11" s="220">
        <f t="shared" si="25"/>
        <v>-18.02607027094599</v>
      </c>
      <c r="AA11" s="220">
        <f>IF(SUM(AA$9:AA10)&gt;0,0,IF(SUM(X11-R11)&gt;0,B11,0))</f>
        <v>0</v>
      </c>
      <c r="AB11" s="220">
        <f>ABS(Z11)*1000000/SUM(U$9:U11)</f>
        <v>1201.738018063066</v>
      </c>
      <c r="AH11" s="17">
        <f t="shared" si="26"/>
        <v>2020</v>
      </c>
      <c r="AI11" s="186">
        <f t="shared" si="27"/>
        <v>0</v>
      </c>
      <c r="AJ11" s="184"/>
      <c r="AK11" s="17">
        <f t="shared" si="28"/>
        <v>2020</v>
      </c>
      <c r="AL11" s="226"/>
      <c r="AM11" s="187">
        <v>1161</v>
      </c>
      <c r="AN11" s="18">
        <v>838</v>
      </c>
      <c r="AP11" s="5">
        <f t="shared" si="15"/>
        <v>2020</v>
      </c>
      <c r="AQ11" s="28">
        <f t="shared" si="0"/>
        <v>0</v>
      </c>
      <c r="AS11" s="57">
        <f t="shared" si="16"/>
        <v>2020</v>
      </c>
      <c r="AT11" s="28">
        <f>SUM($M$9:$M10)</f>
        <v>0</v>
      </c>
      <c r="AU11" s="28">
        <f>SUM($M$9:$M10)</f>
        <v>0</v>
      </c>
      <c r="AV11" s="28">
        <f>SUM($M$9:$M10)</f>
        <v>0</v>
      </c>
      <c r="AW11" s="28">
        <f>SUM($M$9:$M10)</f>
        <v>0</v>
      </c>
      <c r="AX11" s="28">
        <f>SUM($M$9:$M10)</f>
        <v>0</v>
      </c>
      <c r="AY11" s="28">
        <f>SUM($M$9:$M10)</f>
        <v>0</v>
      </c>
      <c r="AZ11" s="28">
        <f>SUM($M$9:$M10)</f>
        <v>0</v>
      </c>
      <c r="BA11" s="28">
        <f>SUM($M$9:$M10)</f>
        <v>0</v>
      </c>
      <c r="BB11" s="28">
        <f>SUM($M$9:$M10)</f>
        <v>0</v>
      </c>
      <c r="BD11" s="5">
        <f t="shared" si="17"/>
        <v>2020</v>
      </c>
      <c r="BE11" s="28">
        <f t="shared" si="18"/>
        <v>0</v>
      </c>
      <c r="BF11" s="193"/>
      <c r="BG11" s="5">
        <f t="shared" si="19"/>
        <v>2020</v>
      </c>
      <c r="BH11" s="28">
        <f>SUM($O$9:O10)</f>
        <v>0</v>
      </c>
      <c r="BI11" s="28">
        <f>SUM($O$9:O10)</f>
        <v>0</v>
      </c>
    </row>
    <row r="12" spans="1:78" x14ac:dyDescent="0.25">
      <c r="A12" s="193" t="b">
        <f>IF(B11+1&lt;INDEX('Step Analysis'!$B$9:$B$51, MATCH(TRUE, INDEX('Step Analysis'!$C$9:$C$51=0,), 0))+100, TRUE, FALSE)</f>
        <v>1</v>
      </c>
      <c r="B12" s="40">
        <f t="shared" si="20"/>
        <v>2021</v>
      </c>
      <c r="C12" s="219">
        <f>IF(B12&gt;MAX('10 YEAR PROJECTION'!$Y$4:$AN$4),
    0,
    IF(INDEX('10 YEAR PROJECTION'!$X$5:$AN$9, MATCH($I$1, '10 YEAR PROJECTION'!$X$5:$X$9, 0), MATCH(B12, '10 YEAR PROJECTION'!$X$4:$AN$4, 0)) &gt; 0,
        INDEX('10 YEAR PROJECTION'!$X$5:$AN$9, MATCH($I$1, '10 YEAR PROJECTION'!$X$5:$X$9, 0), MATCH(B12, '10 YEAR PROJECTION'!$X$4:$AN$4, 0))/1000000,
        0)
    )</f>
        <v>105.27581599999996</v>
      </c>
      <c r="D12" s="219">
        <f>IF(A12, IF(B12&gt;MAX('10 YEAR PROJECTION'!$Y$12:$AN$12),
    D11,
    IF(INDEX('10 YEAR PROJECTION'!$X$13:$AN$17, MATCH($I$1, '10 YEAR PROJECTION'!$X$13:$X$17, 0), MATCH(B12, '10 YEAR PROJECTION'!$X$12:$AN$12, 0)) &gt; 0,
        INDEX('10 YEAR PROJECTION'!$X$13:$AN$17, MATCH($I$1, '10 YEAR PROJECTION'!$X$13:$X$17, 0), MATCH(B12, '10 YEAR PROJECTION'!$X$12:$AN$12, 0))/1000000,
        0)
    ), 0)</f>
        <v>0</v>
      </c>
      <c r="E12" s="220">
        <f t="shared" si="1"/>
        <v>0.65700000000000003</v>
      </c>
      <c r="F12" s="220">
        <f t="shared" si="2"/>
        <v>114.70299044764437</v>
      </c>
      <c r="G12" s="221">
        <f t="shared" si="3"/>
        <v>0</v>
      </c>
      <c r="H12" s="222">
        <f t="shared" si="4"/>
        <v>0.7390356480000001</v>
      </c>
      <c r="I12" s="220">
        <f t="shared" si="5"/>
        <v>114.70299044764437</v>
      </c>
      <c r="J12" s="221">
        <f t="shared" si="6"/>
        <v>0</v>
      </c>
      <c r="K12" s="222">
        <f t="shared" si="7"/>
        <v>0.7390356480000001</v>
      </c>
      <c r="L12" s="220">
        <f t="shared" si="8"/>
        <v>0</v>
      </c>
      <c r="M12" s="223">
        <f t="shared" si="9"/>
        <v>0</v>
      </c>
      <c r="N12" s="223">
        <f t="shared" si="10"/>
        <v>0</v>
      </c>
      <c r="O12" s="227">
        <f t="shared" si="21"/>
        <v>0</v>
      </c>
      <c r="P12" s="228">
        <f t="shared" si="11"/>
        <v>0</v>
      </c>
      <c r="Q12" s="228">
        <f t="shared" si="12"/>
        <v>115.44202609564437</v>
      </c>
      <c r="R12" s="229">
        <f t="shared" si="22"/>
        <v>145.72809636659036</v>
      </c>
      <c r="S12" s="158">
        <f>IF(A12,
    IF(NOT(C12=0),
        IF(B12&lt;2020,
             INDEX(MP_new!$A$4:$J$9, INDEX('Cost Analysis Input'!$B$2:$D$7, IF(MATCH(B12, 'Cost Analysis Input'!$C$2:$C$7, 1)&gt;$I$1, $I$1, MATCH(B12, 'Cost Analysis Input'!$C$2:$C$7, 1)), 3)+1, 7),
             INDEX(MP_new!$A$4:$J$9, INDEX('Cost Analysis Input'!$B$2:$D$7, IF(MATCH(B12, 'Cost Analysis Input'!$C$2:$C$7, 1)&gt;$I$1, $I$1, MATCH(B12, 'Cost Analysis Input'!$C$2:$C$7, 1)), 3)+1, 7)-5000),
        INDEX(MP_new!$A$4:$J$9, $I$1+1, 7)),
    0)</f>
        <v>59619.055153407739</v>
      </c>
      <c r="T12" s="157">
        <f>IF(A12, IF(EXACT($S$5, "Yes"),
    IF(C12=0,
        T11,
        INDEX(MP_new!$A$5:$J$9, INDEX('Cost Analysis Input'!$B$3:$D$7, MATCH(B12, 'Cost Analysis Input'!$B$3:$B$7, 1), 3), 10)),
    0), 0)</f>
        <v>9000</v>
      </c>
      <c r="U12" s="1">
        <f>IF(A12, (MP_new!$G$4-S12)+T12, 0)</f>
        <v>14000</v>
      </c>
      <c r="V12" s="1">
        <f t="shared" si="13"/>
        <v>919</v>
      </c>
      <c r="W12" s="230">
        <f t="shared" si="14"/>
        <v>12.866</v>
      </c>
      <c r="X12" s="227">
        <f t="shared" si="23"/>
        <v>25.126000000000001</v>
      </c>
      <c r="Y12" s="227">
        <f t="shared" si="24"/>
        <v>-102.57602609564437</v>
      </c>
      <c r="Z12" s="227">
        <f t="shared" si="25"/>
        <v>-120.60209636659036</v>
      </c>
      <c r="AA12" s="227">
        <f>IF(SUM(AA$9:AA11)&gt;0,0,IF(SUM(X12-R12)&gt;0,B12,0))</f>
        <v>0</v>
      </c>
      <c r="AB12" s="227">
        <f>ABS(Z12)*1000000/SUM(U$9:U12)</f>
        <v>4158.6929781582885</v>
      </c>
      <c r="AH12" s="19">
        <f t="shared" si="26"/>
        <v>2021</v>
      </c>
      <c r="AI12" s="185">
        <f t="shared" si="27"/>
        <v>0</v>
      </c>
      <c r="AJ12" s="13"/>
      <c r="AK12" s="19">
        <f t="shared" si="28"/>
        <v>2021</v>
      </c>
      <c r="AL12" s="232"/>
      <c r="AM12" s="189">
        <v>1242</v>
      </c>
      <c r="AN12" s="190">
        <v>919</v>
      </c>
      <c r="AO12" s="14"/>
      <c r="AP12" s="15">
        <f t="shared" si="15"/>
        <v>2021</v>
      </c>
      <c r="AQ12" s="29">
        <f t="shared" si="0"/>
        <v>0</v>
      </c>
      <c r="AR12" s="14"/>
      <c r="AS12" s="54">
        <f t="shared" si="16"/>
        <v>2021</v>
      </c>
      <c r="AT12" s="29">
        <f>SUM($M$9:$M11)</f>
        <v>0</v>
      </c>
      <c r="AU12" s="29">
        <f>SUM($M$9:$M11)</f>
        <v>0</v>
      </c>
      <c r="AV12" s="29">
        <f>SUM($M$9:$M11)</f>
        <v>0</v>
      </c>
      <c r="AW12" s="29">
        <f>SUM($M$9:$M11)</f>
        <v>0</v>
      </c>
      <c r="AX12" s="29">
        <f>SUM($M$9:$M11)</f>
        <v>0</v>
      </c>
      <c r="AY12" s="29">
        <f>SUM($M$9:$M11)</f>
        <v>0</v>
      </c>
      <c r="AZ12" s="29">
        <f>SUM($M$9:$M11)</f>
        <v>0</v>
      </c>
      <c r="BA12" s="29">
        <f>SUM($M$9:$M11)</f>
        <v>0</v>
      </c>
      <c r="BB12" s="29">
        <f>SUM($M$9:$M11)</f>
        <v>0</v>
      </c>
      <c r="BC12" s="14"/>
      <c r="BD12" s="15">
        <f t="shared" si="17"/>
        <v>2021</v>
      </c>
      <c r="BE12" s="29">
        <f t="shared" si="18"/>
        <v>0</v>
      </c>
      <c r="BF12" s="14"/>
      <c r="BG12" s="15">
        <f t="shared" si="19"/>
        <v>2021</v>
      </c>
      <c r="BH12" s="29">
        <f>SUM($O$9:O11)</f>
        <v>0</v>
      </c>
      <c r="BI12" s="29">
        <f>SUM($O$9:O11)</f>
        <v>0</v>
      </c>
      <c r="BY12" s="193"/>
      <c r="BZ12" s="193"/>
    </row>
    <row r="13" spans="1:78" s="14" customFormat="1" ht="12.75" customHeight="1" x14ac:dyDescent="0.2">
      <c r="A13" s="193" t="b">
        <f>IF(B12+1&lt;INDEX('Step Analysis'!$B$9:$B$51, MATCH(TRUE, INDEX('Step Analysis'!$C$9:$C$51=0,), 0))+100, TRUE, FALSE)</f>
        <v>1</v>
      </c>
      <c r="B13" s="41">
        <f t="shared" si="20"/>
        <v>2022</v>
      </c>
      <c r="C13" s="219">
        <f>IF(B13&gt;MAX('10 YEAR PROJECTION'!$Y$4:$AN$4),
    0,
    IF(INDEX('10 YEAR PROJECTION'!$X$5:$AN$9, MATCH($I$1, '10 YEAR PROJECTION'!$X$5:$X$9, 0), MATCH(B13, '10 YEAR PROJECTION'!$X$4:$AN$4, 0)) &gt; 0,
        INDEX('10 YEAR PROJECTION'!$X$5:$AN$9, MATCH($I$1, '10 YEAR PROJECTION'!$X$5:$X$9, 0), MATCH(B13, '10 YEAR PROJECTION'!$X$4:$AN$4, 0))/1000000,
        0)
    )</f>
        <v>44.025335999999982</v>
      </c>
      <c r="D13" s="219">
        <f>IF(A13, IF(B13&gt;MAX('10 YEAR PROJECTION'!$Y$12:$AN$12),
    D12,
    IF(INDEX('10 YEAR PROJECTION'!$X$13:$AN$17, MATCH($I$1, '10 YEAR PROJECTION'!$X$13:$X$17, 0), MATCH(B13, '10 YEAR PROJECTION'!$X$12:$AN$12, 0)) &gt; 0,
        INDEX('10 YEAR PROJECTION'!$X$13:$AN$17, MATCH($I$1, '10 YEAR PROJECTION'!$X$13:$X$17, 0), MATCH(B13, '10 YEAR PROJECTION'!$X$12:$AN$12, 0))/1000000,
        0)
    ), 0)</f>
        <v>0</v>
      </c>
      <c r="E13" s="220">
        <f t="shared" si="1"/>
        <v>0.65700000000000003</v>
      </c>
      <c r="F13" s="220">
        <f t="shared" si="2"/>
        <v>49.358752895418455</v>
      </c>
      <c r="G13" s="221">
        <f t="shared" si="3"/>
        <v>0</v>
      </c>
      <c r="H13" s="222">
        <f t="shared" si="4"/>
        <v>0.76859707392000021</v>
      </c>
      <c r="I13" s="220">
        <f t="shared" si="5"/>
        <v>49.358752895418455</v>
      </c>
      <c r="J13" s="221">
        <f t="shared" si="6"/>
        <v>0</v>
      </c>
      <c r="K13" s="222">
        <f t="shared" si="7"/>
        <v>0.76859707392000021</v>
      </c>
      <c r="L13" s="220">
        <f t="shared" si="8"/>
        <v>0</v>
      </c>
      <c r="M13" s="223">
        <f t="shared" si="9"/>
        <v>0</v>
      </c>
      <c r="N13" s="223">
        <f t="shared" si="10"/>
        <v>0</v>
      </c>
      <c r="O13" s="220">
        <f t="shared" si="21"/>
        <v>0</v>
      </c>
      <c r="P13" s="221">
        <f t="shared" si="11"/>
        <v>0</v>
      </c>
      <c r="Q13" s="221">
        <f t="shared" si="12"/>
        <v>50.127349969338454</v>
      </c>
      <c r="R13" s="229">
        <f t="shared" si="22"/>
        <v>195.85544633592883</v>
      </c>
      <c r="S13" s="158">
        <f>IF(A13,
    IF(NOT(C13=0),
        IF(B13&lt;2020,
             INDEX(MP_new!$A$4:$J$9, INDEX('Cost Analysis Input'!$B$2:$D$7, IF(MATCH(B13, 'Cost Analysis Input'!$C$2:$C$7, 1)&gt;$I$1, $I$1, MATCH(B13, 'Cost Analysis Input'!$C$2:$C$7, 1)), 3)+1, 7),
             INDEX(MP_new!$A$4:$J$9, INDEX('Cost Analysis Input'!$B$2:$D$7, IF(MATCH(B13, 'Cost Analysis Input'!$C$2:$C$7, 1)&gt;$I$1, $I$1, MATCH(B13, 'Cost Analysis Input'!$C$2:$C$7, 1)), 3)+1, 7)-5000),
        INDEX(MP_new!$A$4:$J$9, $I$1+1, 7)),
    0)</f>
        <v>59619.055153407739</v>
      </c>
      <c r="T13" s="157">
        <f>IF(A13, IF(EXACT($S$5, "Yes"),
    IF(C13=0,
        T12,
        INDEX(MP_new!$A$5:$J$9, INDEX('Cost Analysis Input'!$B$3:$D$7, MATCH(B13, 'Cost Analysis Input'!$B$3:$B$7, 1), 3), 10)),
    0), 0)</f>
        <v>9000</v>
      </c>
      <c r="U13" s="1">
        <f>IF(A13, (MP_new!$G$4-S13)+T13, 0)</f>
        <v>14000</v>
      </c>
      <c r="V13" s="1">
        <f t="shared" si="13"/>
        <v>993</v>
      </c>
      <c r="W13" s="223">
        <f t="shared" si="14"/>
        <v>13.901999999999999</v>
      </c>
      <c r="X13" s="220">
        <f t="shared" si="23"/>
        <v>39.027999999999999</v>
      </c>
      <c r="Y13" s="220">
        <f t="shared" si="24"/>
        <v>-36.225349969338453</v>
      </c>
      <c r="Z13" s="220">
        <f t="shared" si="25"/>
        <v>-156.82744633592884</v>
      </c>
      <c r="AA13" s="220">
        <f>IF(SUM(AA$9:AA12)&gt;0,0,IF(SUM(X13-R13)&gt;0,B13,0))</f>
        <v>0</v>
      </c>
      <c r="AB13" s="220">
        <f>ABS(Z13)*1000000/SUM(U$9:U13)</f>
        <v>3647.1499147890427</v>
      </c>
      <c r="AH13" s="17">
        <f t="shared" si="26"/>
        <v>2022</v>
      </c>
      <c r="AI13" s="186">
        <f t="shared" si="27"/>
        <v>0</v>
      </c>
      <c r="AJ13" s="184"/>
      <c r="AK13" s="17">
        <f t="shared" si="28"/>
        <v>2022</v>
      </c>
      <c r="AL13" s="232"/>
      <c r="AM13" s="187">
        <v>1316</v>
      </c>
      <c r="AN13" s="18">
        <v>993</v>
      </c>
      <c r="AP13" s="5">
        <f t="shared" si="15"/>
        <v>2022</v>
      </c>
      <c r="AQ13" s="28">
        <f t="shared" si="0"/>
        <v>0</v>
      </c>
      <c r="AS13" s="57">
        <f t="shared" si="16"/>
        <v>2022</v>
      </c>
      <c r="AT13" s="28">
        <f>SUM($M$9:$M12)</f>
        <v>0</v>
      </c>
      <c r="AU13" s="28">
        <f>SUM($M$9:$M12)</f>
        <v>0</v>
      </c>
      <c r="AV13" s="28">
        <f>SUM($M$9:$M12)</f>
        <v>0</v>
      </c>
      <c r="AW13" s="28">
        <f>SUM($M$9:$M12)</f>
        <v>0</v>
      </c>
      <c r="AX13" s="28">
        <f>SUM($M$9:$M12)</f>
        <v>0</v>
      </c>
      <c r="AY13" s="28">
        <f>SUM($M$9:$M12)</f>
        <v>0</v>
      </c>
      <c r="AZ13" s="28">
        <f>SUM($M$9:$M12)</f>
        <v>0</v>
      </c>
      <c r="BA13" s="28">
        <f>SUM($M$9:$M12)</f>
        <v>0</v>
      </c>
      <c r="BB13" s="28">
        <f>SUM($M$9:$M12)</f>
        <v>0</v>
      </c>
      <c r="BD13" s="5">
        <f t="shared" si="17"/>
        <v>2022</v>
      </c>
      <c r="BE13" s="28">
        <f t="shared" si="18"/>
        <v>0</v>
      </c>
      <c r="BF13" s="193"/>
      <c r="BG13" s="5">
        <f t="shared" si="19"/>
        <v>2022</v>
      </c>
      <c r="BH13" s="28">
        <f>SUM($O$9:O12)</f>
        <v>0</v>
      </c>
      <c r="BI13" s="28">
        <f>SUM($O$9:O12)</f>
        <v>0</v>
      </c>
    </row>
    <row r="14" spans="1:78" x14ac:dyDescent="0.25">
      <c r="A14" s="193" t="b">
        <f>IF(B13+1&lt;INDEX('Step Analysis'!$B$9:$B$51, MATCH(TRUE, INDEX('Step Analysis'!$C$9:$C$51=0,), 0))+100, TRUE, FALSE)</f>
        <v>1</v>
      </c>
      <c r="B14" s="40">
        <f t="shared" si="20"/>
        <v>2023</v>
      </c>
      <c r="C14" s="219">
        <f>IF(B14&gt;MAX('10 YEAR PROJECTION'!$Y$4:$AN$4),
    0,
    IF(INDEX('10 YEAR PROJECTION'!$X$5:$AN$9, MATCH($I$1, '10 YEAR PROJECTION'!$X$5:$X$9, 0), MATCH(B14, '10 YEAR PROJECTION'!$X$4:$AN$4, 0)) &gt; 0,
        INDEX('10 YEAR PROJECTION'!$X$5:$AN$9, MATCH($I$1, '10 YEAR PROJECTION'!$X$5:$X$9, 0), MATCH(B14, '10 YEAR PROJECTION'!$X$4:$AN$4, 0))/1000000,
        0)
    )</f>
        <v>0</v>
      </c>
      <c r="D14" s="219">
        <f>IF(A14, IF(B14&gt;MAX('10 YEAR PROJECTION'!$Y$12:$AN$12),
    D13,
    IF(INDEX('10 YEAR PROJECTION'!$X$13:$AN$17, MATCH($I$1, '10 YEAR PROJECTION'!$X$13:$X$17, 0), MATCH(B14, '10 YEAR PROJECTION'!$X$12:$AN$12, 0)) &gt; 0,
        INDEX('10 YEAR PROJECTION'!$X$13:$AN$17, MATCH($I$1, '10 YEAR PROJECTION'!$X$13:$X$17, 0), MATCH(B14, '10 YEAR PROJECTION'!$X$12:$AN$12, 0))/1000000,
        0)
    ), 0)</f>
        <v>1.6047739052097945</v>
      </c>
      <c r="E14" s="220">
        <f t="shared" si="1"/>
        <v>0.65700000000000003</v>
      </c>
      <c r="F14" s="220">
        <f t="shared" si="2"/>
        <v>0</v>
      </c>
      <c r="G14" s="221">
        <f t="shared" si="3"/>
        <v>1.8603727834228803</v>
      </c>
      <c r="H14" s="222">
        <f t="shared" si="4"/>
        <v>0.79934095687680029</v>
      </c>
      <c r="I14" s="220">
        <f t="shared" si="5"/>
        <v>0</v>
      </c>
      <c r="J14" s="221">
        <f t="shared" si="6"/>
        <v>1.8603727834228803</v>
      </c>
      <c r="K14" s="222">
        <f t="shared" si="7"/>
        <v>0.79934095687680029</v>
      </c>
      <c r="L14" s="220">
        <f t="shared" si="8"/>
        <v>0</v>
      </c>
      <c r="M14" s="223">
        <f t="shared" si="9"/>
        <v>0</v>
      </c>
      <c r="N14" s="223">
        <f t="shared" si="10"/>
        <v>0</v>
      </c>
      <c r="O14" s="227">
        <f t="shared" si="21"/>
        <v>0</v>
      </c>
      <c r="P14" s="228">
        <f t="shared" si="11"/>
        <v>0</v>
      </c>
      <c r="Q14" s="228">
        <f t="shared" si="12"/>
        <v>2.6597137402996807</v>
      </c>
      <c r="R14" s="229">
        <f t="shared" si="22"/>
        <v>198.51516007622851</v>
      </c>
      <c r="S14" s="158">
        <f>IF(A14,
    IF(NOT(C14=0),
        IF(B14&lt;2020,
             INDEX(MP_new!$A$4:$J$9, INDEX('Cost Analysis Input'!$B$2:$D$7, IF(MATCH(B14, 'Cost Analysis Input'!$C$2:$C$7, 1)&gt;$I$1, $I$1, MATCH(B14, 'Cost Analysis Input'!$C$2:$C$7, 1)), 3)+1, 7),
             INDEX(MP_new!$A$4:$J$9, INDEX('Cost Analysis Input'!$B$2:$D$7, IF(MATCH(B14, 'Cost Analysis Input'!$C$2:$C$7, 1)&gt;$I$1, $I$1, MATCH(B14, 'Cost Analysis Input'!$C$2:$C$7, 1)), 3)+1, 7)-5000),
        INDEX(MP_new!$A$4:$J$9, $I$1+1, 7)),
    0)</f>
        <v>59692.434433137103</v>
      </c>
      <c r="T14" s="157">
        <f>IF(A14, IF(EXACT($S$5, "Yes"),
    IF(C14=0,
        T13,
        INDEX(MP_new!$A$5:$J$9, INDEX('Cost Analysis Input'!$B$3:$D$7, MATCH(B14, 'Cost Analysis Input'!$B$3:$B$7, 1), 3), 10)),
    0), 0)</f>
        <v>9000</v>
      </c>
      <c r="U14" s="1">
        <f>IF(A14, (MP_new!$G$4-S14)+T14, 0)</f>
        <v>13926.620720270636</v>
      </c>
      <c r="V14" s="1">
        <f t="shared" si="13"/>
        <v>1049</v>
      </c>
      <c r="W14" s="230">
        <f t="shared" si="14"/>
        <v>14.609025135563897</v>
      </c>
      <c r="X14" s="227">
        <f t="shared" si="23"/>
        <v>53.637025135563896</v>
      </c>
      <c r="Y14" s="227">
        <f t="shared" si="24"/>
        <v>11.949311395264216</v>
      </c>
      <c r="Z14" s="227">
        <f t="shared" si="25"/>
        <v>-144.87813494066461</v>
      </c>
      <c r="AA14" s="227">
        <f>IF(SUM(AA$9:AA13)&gt;0,0,IF(SUM(X14-R14)&gt;0,B14,0))</f>
        <v>0</v>
      </c>
      <c r="AB14" s="227">
        <f>ABS(Z14)*1000000/SUM(U$9:U14)</f>
        <v>2544.9979835018717</v>
      </c>
      <c r="AH14" s="19">
        <f t="shared" si="26"/>
        <v>2023</v>
      </c>
      <c r="AI14" s="185">
        <f t="shared" si="27"/>
        <v>0</v>
      </c>
      <c r="AJ14" s="20"/>
      <c r="AK14" s="19">
        <f t="shared" si="28"/>
        <v>2023</v>
      </c>
      <c r="AL14" s="232"/>
      <c r="AM14" s="189">
        <v>1372</v>
      </c>
      <c r="AN14" s="190">
        <v>1049</v>
      </c>
      <c r="AO14" s="14"/>
      <c r="AP14" s="15">
        <f t="shared" si="15"/>
        <v>2023</v>
      </c>
      <c r="AQ14" s="29">
        <f t="shared" si="0"/>
        <v>0</v>
      </c>
      <c r="AR14" s="14"/>
      <c r="AS14" s="54">
        <f t="shared" si="16"/>
        <v>2023</v>
      </c>
      <c r="AT14" s="29">
        <f>SUM($M$9:$M13)</f>
        <v>0</v>
      </c>
      <c r="AU14" s="29">
        <f>SUM($M$9:$M13)</f>
        <v>0</v>
      </c>
      <c r="AV14" s="29">
        <f>SUM($M$9:$M13)</f>
        <v>0</v>
      </c>
      <c r="AW14" s="29">
        <f>SUM($M$9:$M13)</f>
        <v>0</v>
      </c>
      <c r="AX14" s="29">
        <f>SUM($M$9:$M13)</f>
        <v>0</v>
      </c>
      <c r="AY14" s="29">
        <f>SUM($M$9:$M13)</f>
        <v>0</v>
      </c>
      <c r="AZ14" s="29">
        <f>SUM($M$9:$M13)</f>
        <v>0</v>
      </c>
      <c r="BA14" s="29">
        <f>SUM($M$9:$M13)</f>
        <v>0</v>
      </c>
      <c r="BB14" s="29">
        <f>SUM($M$9:$M13)</f>
        <v>0</v>
      </c>
      <c r="BC14" s="14"/>
      <c r="BD14" s="15">
        <f t="shared" si="17"/>
        <v>2023</v>
      </c>
      <c r="BE14" s="29">
        <f t="shared" si="18"/>
        <v>0</v>
      </c>
      <c r="BF14" s="14"/>
      <c r="BG14" s="15">
        <f t="shared" si="19"/>
        <v>2023</v>
      </c>
      <c r="BH14" s="29">
        <f>SUM($O$9:O13)</f>
        <v>0</v>
      </c>
      <c r="BI14" s="29">
        <f>SUM($O$9:O13)</f>
        <v>0</v>
      </c>
      <c r="BY14" s="193"/>
      <c r="BZ14" s="193"/>
    </row>
    <row r="15" spans="1:78" s="14" customFormat="1" ht="12.75" customHeight="1" x14ac:dyDescent="0.2">
      <c r="A15" s="193" t="b">
        <f>IF(B14+1&lt;INDEX('Step Analysis'!$B$9:$B$51, MATCH(TRUE, INDEX('Step Analysis'!$C$9:$C$51=0,), 0))+100, TRUE, FALSE)</f>
        <v>1</v>
      </c>
      <c r="B15" s="41">
        <f t="shared" si="20"/>
        <v>2024</v>
      </c>
      <c r="C15" s="219">
        <f>IF(B15&gt;MAX('10 YEAR PROJECTION'!$Y$4:$AN$4),
    0,
    IF(INDEX('10 YEAR PROJECTION'!$X$5:$AN$9, MATCH($I$1, '10 YEAR PROJECTION'!$X$5:$X$9, 0), MATCH(B15, '10 YEAR PROJECTION'!$X$4:$AN$4, 0)) &gt; 0,
        INDEX('10 YEAR PROJECTION'!$X$5:$AN$9, MATCH($I$1, '10 YEAR PROJECTION'!$X$5:$X$9, 0), MATCH(B15, '10 YEAR PROJECTION'!$X$4:$AN$4, 0))/1000000,
        0)
    )</f>
        <v>0</v>
      </c>
      <c r="D15" s="219">
        <f>IF(A15, IF(B15&gt;MAX('10 YEAR PROJECTION'!$Y$12:$AN$12),
    D14,
    IF(INDEX('10 YEAR PROJECTION'!$X$13:$AN$17, MATCH($I$1, '10 YEAR PROJECTION'!$X$13:$X$17, 0), MATCH(B15, '10 YEAR PROJECTION'!$X$12:$AN$12, 0)) &gt; 0,
        INDEX('10 YEAR PROJECTION'!$X$13:$AN$17, MATCH($I$1, '10 YEAR PROJECTION'!$X$13:$X$17, 0), MATCH(B15, '10 YEAR PROJECTION'!$X$12:$AN$12, 0))/1000000,
        0)
    ), 0)</f>
        <v>1.6047739052097945</v>
      </c>
      <c r="E15" s="220">
        <f t="shared" si="1"/>
        <v>0.65700000000000003</v>
      </c>
      <c r="F15" s="220">
        <f t="shared" si="2"/>
        <v>0</v>
      </c>
      <c r="G15" s="221">
        <f t="shared" si="3"/>
        <v>1.9161839669255667</v>
      </c>
      <c r="H15" s="222">
        <f t="shared" si="4"/>
        <v>0.83131459515187223</v>
      </c>
      <c r="I15" s="220">
        <f t="shared" si="5"/>
        <v>0</v>
      </c>
      <c r="J15" s="221">
        <f t="shared" si="6"/>
        <v>1.9161839669255667</v>
      </c>
      <c r="K15" s="222">
        <f t="shared" si="7"/>
        <v>0.83131459515187223</v>
      </c>
      <c r="L15" s="220">
        <f t="shared" si="8"/>
        <v>0</v>
      </c>
      <c r="M15" s="223">
        <f t="shared" si="9"/>
        <v>0</v>
      </c>
      <c r="N15" s="223">
        <f t="shared" si="10"/>
        <v>0</v>
      </c>
      <c r="O15" s="220">
        <f t="shared" si="21"/>
        <v>0</v>
      </c>
      <c r="P15" s="221">
        <f t="shared" si="11"/>
        <v>0</v>
      </c>
      <c r="Q15" s="221">
        <f t="shared" si="12"/>
        <v>2.747498562077439</v>
      </c>
      <c r="R15" s="229">
        <f t="shared" si="22"/>
        <v>201.26265863830594</v>
      </c>
      <c r="S15" s="158">
        <f>IF(A15,
    IF(NOT(C15=0),
        IF(B15&lt;2020,
             INDEX(MP_new!$A$4:$J$9, INDEX('Cost Analysis Input'!$B$2:$D$7, IF(MATCH(B15, 'Cost Analysis Input'!$C$2:$C$7, 1)&gt;$I$1, $I$1, MATCH(B15, 'Cost Analysis Input'!$C$2:$C$7, 1)), 3)+1, 7),
             INDEX(MP_new!$A$4:$J$9, INDEX('Cost Analysis Input'!$B$2:$D$7, IF(MATCH(B15, 'Cost Analysis Input'!$C$2:$C$7, 1)&gt;$I$1, $I$1, MATCH(B15, 'Cost Analysis Input'!$C$2:$C$7, 1)), 3)+1, 7)-5000),
        INDEX(MP_new!$A$4:$J$9, $I$1+1, 7)),
    0)</f>
        <v>59692.434433137103</v>
      </c>
      <c r="T15" s="157">
        <f>IF(A15, IF(EXACT($S$5, "Yes"),
    IF(C15=0,
        T14,
        INDEX(MP_new!$A$5:$J$9, INDEX('Cost Analysis Input'!$B$3:$D$7, MATCH(B15, 'Cost Analysis Input'!$B$3:$B$7, 1), 3), 10)),
    0), 0)</f>
        <v>9000</v>
      </c>
      <c r="U15" s="1">
        <f>IF(A15, (MP_new!$G$4-S15)+T15, 0)</f>
        <v>13926.620720270636</v>
      </c>
      <c r="V15" s="1">
        <f t="shared" si="13"/>
        <v>1143</v>
      </c>
      <c r="W15" s="223">
        <f t="shared" si="14"/>
        <v>15.918127483269336</v>
      </c>
      <c r="X15" s="220">
        <f t="shared" si="23"/>
        <v>69.555152618833233</v>
      </c>
      <c r="Y15" s="220">
        <f t="shared" si="24"/>
        <v>13.170628921191897</v>
      </c>
      <c r="Z15" s="220">
        <f t="shared" si="25"/>
        <v>-131.7075060194727</v>
      </c>
      <c r="AA15" s="220">
        <f>IF(SUM(AA$9:AA14)&gt;0,0,IF(SUM(X15-R15)&gt;0,B15,0))</f>
        <v>0</v>
      </c>
      <c r="AB15" s="220">
        <f>ABS(Z15)*1000000/SUM(U$9:U15)</f>
        <v>1858.8776369532677</v>
      </c>
      <c r="AH15" s="17">
        <f t="shared" si="26"/>
        <v>2024</v>
      </c>
      <c r="AI15" s="186">
        <f t="shared" si="27"/>
        <v>0</v>
      </c>
      <c r="AJ15" s="188"/>
      <c r="AK15" s="17">
        <f t="shared" si="28"/>
        <v>2024</v>
      </c>
      <c r="AL15" s="232"/>
      <c r="AM15" s="187">
        <v>1466</v>
      </c>
      <c r="AN15" s="18">
        <v>1143</v>
      </c>
      <c r="AP15" s="5">
        <f t="shared" si="15"/>
        <v>2024</v>
      </c>
      <c r="AQ15" s="28">
        <f t="shared" si="0"/>
        <v>0</v>
      </c>
      <c r="AS15" s="57">
        <f t="shared" si="16"/>
        <v>2024</v>
      </c>
      <c r="AT15" s="28">
        <f t="shared" ref="AT15:AT50" si="30">SUM(M10:M14)</f>
        <v>0</v>
      </c>
      <c r="AU15" s="28">
        <f>SUM($M$9:$M14)</f>
        <v>0</v>
      </c>
      <c r="AV15" s="28">
        <f>SUM($M$9:$M14)</f>
        <v>0</v>
      </c>
      <c r="AW15" s="28">
        <f>SUM($M$9:$M14)</f>
        <v>0</v>
      </c>
      <c r="AX15" s="28">
        <f>SUM($M$9:$M14)</f>
        <v>0</v>
      </c>
      <c r="AY15" s="28">
        <f>SUM($M$9:$M14)</f>
        <v>0</v>
      </c>
      <c r="AZ15" s="28">
        <f>SUM($M$9:$M14)</f>
        <v>0</v>
      </c>
      <c r="BA15" s="28">
        <f>SUM($M$9:$M14)</f>
        <v>0</v>
      </c>
      <c r="BB15" s="28">
        <f>SUM($M$9:$M14)</f>
        <v>0</v>
      </c>
      <c r="BD15" s="5">
        <f t="shared" si="17"/>
        <v>2024</v>
      </c>
      <c r="BE15" s="28">
        <f t="shared" si="18"/>
        <v>0</v>
      </c>
      <c r="BF15" s="193"/>
      <c r="BG15" s="5">
        <f t="shared" si="19"/>
        <v>2024</v>
      </c>
      <c r="BH15" s="28">
        <f>SUM($O$9:O14)</f>
        <v>0</v>
      </c>
      <c r="BI15" s="28">
        <f>SUM($O$9:O14)</f>
        <v>0</v>
      </c>
    </row>
    <row r="16" spans="1:78" x14ac:dyDescent="0.25">
      <c r="A16" s="193" t="b">
        <f>IF(B15+1&lt;INDEX('Step Analysis'!$B$9:$B$51, MATCH(TRUE, INDEX('Step Analysis'!$C$9:$C$51=0,), 0))+100, TRUE, FALSE)</f>
        <v>1</v>
      </c>
      <c r="B16" s="40">
        <f t="shared" si="20"/>
        <v>2025</v>
      </c>
      <c r="C16" s="219">
        <f>IF(B16&gt;MAX('10 YEAR PROJECTION'!$Y$4:$AN$4),
    0,
    IF(INDEX('10 YEAR PROJECTION'!$X$5:$AN$9, MATCH($I$1, '10 YEAR PROJECTION'!$X$5:$X$9, 0), MATCH(B16, '10 YEAR PROJECTION'!$X$4:$AN$4, 0)) &gt; 0,
        INDEX('10 YEAR PROJECTION'!$X$5:$AN$9, MATCH($I$1, '10 YEAR PROJECTION'!$X$5:$X$9, 0), MATCH(B16, '10 YEAR PROJECTION'!$X$4:$AN$4, 0))/1000000,
        0)
    )</f>
        <v>0</v>
      </c>
      <c r="D16" s="219">
        <f>IF(A16, IF(B16&gt;MAX('10 YEAR PROJECTION'!$Y$12:$AN$12),
    D15,
    IF(INDEX('10 YEAR PROJECTION'!$X$13:$AN$17, MATCH($I$1, '10 YEAR PROJECTION'!$X$13:$X$17, 0), MATCH(B16, '10 YEAR PROJECTION'!$X$12:$AN$12, 0)) &gt; 0,
        INDEX('10 YEAR PROJECTION'!$X$13:$AN$17, MATCH($I$1, '10 YEAR PROJECTION'!$X$13:$X$17, 0), MATCH(B16, '10 YEAR PROJECTION'!$X$12:$AN$12, 0))/1000000,
        0)
    ), 0)</f>
        <v>1.6047739052097945</v>
      </c>
      <c r="E16" s="220">
        <f t="shared" si="1"/>
        <v>0.65700000000000003</v>
      </c>
      <c r="F16" s="220">
        <f t="shared" si="2"/>
        <v>0</v>
      </c>
      <c r="G16" s="221">
        <f t="shared" si="3"/>
        <v>1.9736694859333339</v>
      </c>
      <c r="H16" s="222">
        <f t="shared" si="4"/>
        <v>0.8645671789579471</v>
      </c>
      <c r="I16" s="220">
        <f t="shared" si="5"/>
        <v>0</v>
      </c>
      <c r="J16" s="221">
        <f t="shared" si="6"/>
        <v>1.9736694859333339</v>
      </c>
      <c r="K16" s="222">
        <f t="shared" si="7"/>
        <v>0.8645671789579471</v>
      </c>
      <c r="L16" s="220">
        <f t="shared" si="8"/>
        <v>0</v>
      </c>
      <c r="M16" s="223">
        <f t="shared" si="9"/>
        <v>0</v>
      </c>
      <c r="N16" s="223">
        <f t="shared" si="10"/>
        <v>0</v>
      </c>
      <c r="O16" s="227">
        <f t="shared" si="21"/>
        <v>0</v>
      </c>
      <c r="P16" s="228">
        <f t="shared" si="11"/>
        <v>0</v>
      </c>
      <c r="Q16" s="228">
        <f t="shared" si="12"/>
        <v>2.8382366648912809</v>
      </c>
      <c r="R16" s="229">
        <f t="shared" si="22"/>
        <v>204.10089530319721</v>
      </c>
      <c r="S16" s="158">
        <f>IF(A16,
    IF(NOT(C16=0),
        IF(B16&lt;2020,
             INDEX(MP_new!$A$4:$J$9, INDEX('Cost Analysis Input'!$B$2:$D$7, IF(MATCH(B16, 'Cost Analysis Input'!$C$2:$C$7, 1)&gt;$I$1, $I$1, MATCH(B16, 'Cost Analysis Input'!$C$2:$C$7, 1)), 3)+1, 7),
             INDEX(MP_new!$A$4:$J$9, INDEX('Cost Analysis Input'!$B$2:$D$7, IF(MATCH(B16, 'Cost Analysis Input'!$C$2:$C$7, 1)&gt;$I$1, $I$1, MATCH(B16, 'Cost Analysis Input'!$C$2:$C$7, 1)), 3)+1, 7)-5000),
        INDEX(MP_new!$A$4:$J$9, $I$1+1, 7)),
    0)</f>
        <v>59692.434433137103</v>
      </c>
      <c r="T16" s="157">
        <f>IF(A16, IF(EXACT($S$5, "Yes"),
    IF(C16=0,
        T15,
        INDEX(MP_new!$A$5:$J$9, INDEX('Cost Analysis Input'!$B$3:$D$7, MATCH(B16, 'Cost Analysis Input'!$B$3:$B$7, 1), 3), 10)),
    0), 0)</f>
        <v>9000</v>
      </c>
      <c r="U16" s="1">
        <f>IF(A16, (MP_new!$G$4-S16)+T16, 0)</f>
        <v>13926.620720270636</v>
      </c>
      <c r="V16" s="1">
        <f t="shared" si="13"/>
        <v>1222</v>
      </c>
      <c r="W16" s="230">
        <f t="shared" si="14"/>
        <v>17.018330520170718</v>
      </c>
      <c r="X16" s="227">
        <f t="shared" si="23"/>
        <v>86.573483139003955</v>
      </c>
      <c r="Y16" s="227">
        <f t="shared" si="24"/>
        <v>14.180093855279438</v>
      </c>
      <c r="Z16" s="227">
        <f t="shared" si="25"/>
        <v>-117.52741216419325</v>
      </c>
      <c r="AA16" s="227">
        <f>IF(SUM(AA$9:AA15)&gt;0,0,IF(SUM(X16-R16)&gt;0,B16,0))</f>
        <v>0</v>
      </c>
      <c r="AB16" s="227">
        <f>ABS(Z16)*1000000/SUM(U$9:U16)</f>
        <v>1386.2656669724852</v>
      </c>
      <c r="AH16" s="19">
        <f t="shared" si="26"/>
        <v>2025</v>
      </c>
      <c r="AI16" s="185">
        <f t="shared" si="27"/>
        <v>0</v>
      </c>
      <c r="AJ16" s="13"/>
      <c r="AK16" s="19">
        <f t="shared" si="28"/>
        <v>2025</v>
      </c>
      <c r="AL16" s="232"/>
      <c r="AM16" s="189">
        <v>1545</v>
      </c>
      <c r="AN16" s="190">
        <v>1222</v>
      </c>
      <c r="AO16" s="14"/>
      <c r="AP16" s="15">
        <f t="shared" si="15"/>
        <v>2025</v>
      </c>
      <c r="AQ16" s="29">
        <f t="shared" si="0"/>
        <v>0</v>
      </c>
      <c r="AR16" s="14"/>
      <c r="AS16" s="54">
        <f t="shared" si="16"/>
        <v>2025</v>
      </c>
      <c r="AT16" s="29">
        <f t="shared" si="30"/>
        <v>0</v>
      </c>
      <c r="AU16" s="29">
        <f>SUM($M$9:$M15)</f>
        <v>0</v>
      </c>
      <c r="AV16" s="29">
        <f>SUM($M$9:$M15)</f>
        <v>0</v>
      </c>
      <c r="AW16" s="29">
        <f>SUM($M$9:$M15)</f>
        <v>0</v>
      </c>
      <c r="AX16" s="29">
        <f>SUM($M$9:$M15)</f>
        <v>0</v>
      </c>
      <c r="AY16" s="29">
        <f>SUM($M$9:$M15)</f>
        <v>0</v>
      </c>
      <c r="AZ16" s="29">
        <f>SUM($M$9:$M15)</f>
        <v>0</v>
      </c>
      <c r="BA16" s="29">
        <f>SUM($M$9:$M15)</f>
        <v>0</v>
      </c>
      <c r="BB16" s="29">
        <f>SUM($M$9:$M15)</f>
        <v>0</v>
      </c>
      <c r="BC16" s="14"/>
      <c r="BD16" s="15">
        <f t="shared" si="17"/>
        <v>2025</v>
      </c>
      <c r="BE16" s="29">
        <f t="shared" si="18"/>
        <v>0</v>
      </c>
      <c r="BF16" s="14"/>
      <c r="BG16" s="15">
        <f t="shared" si="19"/>
        <v>2025</v>
      </c>
      <c r="BH16" s="29">
        <f>SUM($O$9:O15)</f>
        <v>0</v>
      </c>
      <c r="BI16" s="29">
        <f>SUM($O$9:O15)</f>
        <v>0</v>
      </c>
      <c r="BY16" s="193"/>
      <c r="BZ16" s="193"/>
    </row>
    <row r="17" spans="1:78" s="14" customFormat="1" ht="12.75" customHeight="1" x14ac:dyDescent="0.2">
      <c r="A17" s="193" t="b">
        <f>IF(B16+1&lt;INDEX('Step Analysis'!$B$9:$B$51, MATCH(TRUE, INDEX('Step Analysis'!$C$9:$C$51=0,), 0))+100, TRUE, FALSE)</f>
        <v>1</v>
      </c>
      <c r="B17" s="41">
        <f t="shared" si="20"/>
        <v>2026</v>
      </c>
      <c r="C17" s="219">
        <f>IF(B17&gt;MAX('10 YEAR PROJECTION'!$Y$4:$AN$4),
    0,
    IF(INDEX('10 YEAR PROJECTION'!$X$5:$AN$9, MATCH($I$1, '10 YEAR PROJECTION'!$X$5:$X$9, 0), MATCH(B17, '10 YEAR PROJECTION'!$X$4:$AN$4, 0)) &gt; 0,
        INDEX('10 YEAR PROJECTION'!$X$5:$AN$9, MATCH($I$1, '10 YEAR PROJECTION'!$X$5:$X$9, 0), MATCH(B17, '10 YEAR PROJECTION'!$X$4:$AN$4, 0))/1000000,
        0)
    )</f>
        <v>0</v>
      </c>
      <c r="D17" s="219">
        <f>IF(A17, IF(B17&gt;MAX('10 YEAR PROJECTION'!$Y$12:$AN$12),
    D16,
    IF(INDEX('10 YEAR PROJECTION'!$X$13:$AN$17, MATCH($I$1, '10 YEAR PROJECTION'!$X$13:$X$17, 0), MATCH(B17, '10 YEAR PROJECTION'!$X$12:$AN$12, 0)) &gt; 0,
        INDEX('10 YEAR PROJECTION'!$X$13:$AN$17, MATCH($I$1, '10 YEAR PROJECTION'!$X$13:$X$17, 0), MATCH(B17, '10 YEAR PROJECTION'!$X$12:$AN$12, 0))/1000000,
        0)
    ), 0)</f>
        <v>1.6047739052097945</v>
      </c>
      <c r="E17" s="220">
        <f t="shared" si="1"/>
        <v>0.65700000000000003</v>
      </c>
      <c r="F17" s="220">
        <f t="shared" si="2"/>
        <v>0</v>
      </c>
      <c r="G17" s="221">
        <f t="shared" si="3"/>
        <v>2.0328795705113336</v>
      </c>
      <c r="H17" s="222">
        <f t="shared" si="4"/>
        <v>0.89914986611626513</v>
      </c>
      <c r="I17" s="220">
        <f t="shared" si="5"/>
        <v>0</v>
      </c>
      <c r="J17" s="221">
        <f t="shared" si="6"/>
        <v>2.0328795705113336</v>
      </c>
      <c r="K17" s="222">
        <f t="shared" si="7"/>
        <v>0.89914986611626513</v>
      </c>
      <c r="L17" s="220">
        <f t="shared" si="8"/>
        <v>0</v>
      </c>
      <c r="M17" s="223">
        <f t="shared" si="9"/>
        <v>0</v>
      </c>
      <c r="N17" s="223">
        <f t="shared" si="10"/>
        <v>0</v>
      </c>
      <c r="O17" s="220">
        <f t="shared" si="21"/>
        <v>0</v>
      </c>
      <c r="P17" s="221">
        <f t="shared" si="11"/>
        <v>0</v>
      </c>
      <c r="Q17" s="221">
        <f t="shared" si="12"/>
        <v>2.932029436627599</v>
      </c>
      <c r="R17" s="229">
        <f t="shared" si="22"/>
        <v>207.03292473982481</v>
      </c>
      <c r="S17" s="158">
        <f>IF(A17,
    IF(NOT(C17=0),
        IF(B17&lt;2020,
             INDEX(MP_new!$A$4:$J$9, INDEX('Cost Analysis Input'!$B$2:$D$7, IF(MATCH(B17, 'Cost Analysis Input'!$C$2:$C$7, 1)&gt;$I$1, $I$1, MATCH(B17, 'Cost Analysis Input'!$C$2:$C$7, 1)), 3)+1, 7),
             INDEX(MP_new!$A$4:$J$9, INDEX('Cost Analysis Input'!$B$2:$D$7, IF(MATCH(B17, 'Cost Analysis Input'!$C$2:$C$7, 1)&gt;$I$1, $I$1, MATCH(B17, 'Cost Analysis Input'!$C$2:$C$7, 1)), 3)+1, 7)-5000),
        INDEX(MP_new!$A$4:$J$9, $I$1+1, 7)),
    0)</f>
        <v>59692.434433137103</v>
      </c>
      <c r="T17" s="157">
        <f>IF(A17, IF(EXACT($S$5, "Yes"),
    IF(C17=0,
        T16,
        INDEX(MP_new!$A$5:$J$9, INDEX('Cost Analysis Input'!$B$3:$D$7, MATCH(B17, 'Cost Analysis Input'!$B$3:$B$7, 1), 3), 10)),
    0), 0)</f>
        <v>9000</v>
      </c>
      <c r="U17" s="1">
        <f>IF(A17, (MP_new!$G$4-S17)+T17, 0)</f>
        <v>13926.620720270636</v>
      </c>
      <c r="V17" s="1">
        <f t="shared" si="13"/>
        <v>1265</v>
      </c>
      <c r="W17" s="223">
        <f t="shared" si="14"/>
        <v>17.617175211142353</v>
      </c>
      <c r="X17" s="220">
        <f t="shared" si="23"/>
        <v>104.19065835014631</v>
      </c>
      <c r="Y17" s="220">
        <f t="shared" si="24"/>
        <v>14.685145774514755</v>
      </c>
      <c r="Z17" s="220">
        <f t="shared" si="25"/>
        <v>-102.8422663896785</v>
      </c>
      <c r="AA17" s="220">
        <f>IF(SUM(AA$9:AA16)&gt;0,0,IF(SUM(X17-R17)&gt;0,B17,0))</f>
        <v>0</v>
      </c>
      <c r="AB17" s="220">
        <f>ABS(Z17)*1000000/SUM(U$9:U17)</f>
        <v>1041.8998163836773</v>
      </c>
      <c r="AH17" s="17">
        <f t="shared" si="26"/>
        <v>2026</v>
      </c>
      <c r="AI17" s="186">
        <f t="shared" si="27"/>
        <v>0</v>
      </c>
      <c r="AJ17" s="184"/>
      <c r="AK17" s="17">
        <f t="shared" si="28"/>
        <v>2026</v>
      </c>
      <c r="AL17" s="232"/>
      <c r="AM17" s="187">
        <v>1588</v>
      </c>
      <c r="AN17" s="18">
        <v>1265</v>
      </c>
      <c r="AP17" s="5">
        <f t="shared" si="15"/>
        <v>2026</v>
      </c>
      <c r="AQ17" s="28">
        <f t="shared" si="0"/>
        <v>0</v>
      </c>
      <c r="AS17" s="57">
        <f t="shared" si="16"/>
        <v>2026</v>
      </c>
      <c r="AT17" s="28">
        <f t="shared" si="30"/>
        <v>0</v>
      </c>
      <c r="AU17" s="28">
        <f>SUM($M$9:$M16)</f>
        <v>0</v>
      </c>
      <c r="AV17" s="28">
        <f>SUM($M$9:$M16)</f>
        <v>0</v>
      </c>
      <c r="AW17" s="28">
        <f>SUM($M$9:$M16)</f>
        <v>0</v>
      </c>
      <c r="AX17" s="28">
        <f>SUM($M$9:$M16)</f>
        <v>0</v>
      </c>
      <c r="AY17" s="28">
        <f>SUM($M$9:$M16)</f>
        <v>0</v>
      </c>
      <c r="AZ17" s="28">
        <f>SUM($M$9:$M16)</f>
        <v>0</v>
      </c>
      <c r="BA17" s="28">
        <f>SUM($M$9:$M16)</f>
        <v>0</v>
      </c>
      <c r="BB17" s="28">
        <f>SUM($M$9:$M16)</f>
        <v>0</v>
      </c>
      <c r="BD17" s="5">
        <f t="shared" si="17"/>
        <v>2026</v>
      </c>
      <c r="BE17" s="28">
        <f t="shared" si="18"/>
        <v>0</v>
      </c>
      <c r="BF17" s="193"/>
      <c r="BG17" s="5">
        <f t="shared" si="19"/>
        <v>2026</v>
      </c>
      <c r="BH17" s="28">
        <f>SUM($O$9:O16)</f>
        <v>0</v>
      </c>
      <c r="BI17" s="28">
        <f>SUM($O$9:O16)</f>
        <v>0</v>
      </c>
    </row>
    <row r="18" spans="1:78" x14ac:dyDescent="0.25">
      <c r="A18" s="193" t="b">
        <f>IF(B17+1&lt;INDEX('Step Analysis'!$B$9:$B$51, MATCH(TRUE, INDEX('Step Analysis'!$C$9:$C$51=0,), 0))+100, TRUE, FALSE)</f>
        <v>1</v>
      </c>
      <c r="B18" s="40">
        <f t="shared" si="20"/>
        <v>2027</v>
      </c>
      <c r="C18" s="219">
        <f>IF(B18&gt;MAX('10 YEAR PROJECTION'!$Y$4:$AN$4),
    0,
    IF(INDEX('10 YEAR PROJECTION'!$X$5:$AN$9, MATCH($I$1, '10 YEAR PROJECTION'!$X$5:$X$9, 0), MATCH(B18, '10 YEAR PROJECTION'!$X$4:$AN$4, 0)) &gt; 0,
        INDEX('10 YEAR PROJECTION'!$X$5:$AN$9, MATCH($I$1, '10 YEAR PROJECTION'!$X$5:$X$9, 0), MATCH(B18, '10 YEAR PROJECTION'!$X$4:$AN$4, 0))/1000000,
        0)
    )</f>
        <v>0</v>
      </c>
      <c r="D18" s="219">
        <f>IF(A18, IF(B18&gt;MAX('10 YEAR PROJECTION'!$Y$12:$AN$12),
    D17,
    IF(INDEX('10 YEAR PROJECTION'!$X$13:$AN$17, MATCH($I$1, '10 YEAR PROJECTION'!$X$13:$X$17, 0), MATCH(B18, '10 YEAR PROJECTION'!$X$12:$AN$12, 0)) &gt; 0,
        INDEX('10 YEAR PROJECTION'!$X$13:$AN$17, MATCH($I$1, '10 YEAR PROJECTION'!$X$13:$X$17, 0), MATCH(B18, '10 YEAR PROJECTION'!$X$12:$AN$12, 0))/1000000,
        0)
    ), 0)</f>
        <v>1.6047739052097945</v>
      </c>
      <c r="E18" s="220">
        <f t="shared" si="1"/>
        <v>0.65700000000000003</v>
      </c>
      <c r="F18" s="220">
        <f t="shared" si="2"/>
        <v>0</v>
      </c>
      <c r="G18" s="221">
        <f t="shared" si="3"/>
        <v>2.0938659576266736</v>
      </c>
      <c r="H18" s="222">
        <f t="shared" si="4"/>
        <v>0.9351158607609158</v>
      </c>
      <c r="I18" s="220">
        <f t="shared" si="5"/>
        <v>0</v>
      </c>
      <c r="J18" s="221">
        <f t="shared" si="6"/>
        <v>2.0938659576266736</v>
      </c>
      <c r="K18" s="222">
        <f t="shared" si="7"/>
        <v>0.9351158607609158</v>
      </c>
      <c r="L18" s="220">
        <f t="shared" si="8"/>
        <v>0</v>
      </c>
      <c r="M18" s="223">
        <f t="shared" si="9"/>
        <v>0</v>
      </c>
      <c r="N18" s="223">
        <f t="shared" si="10"/>
        <v>0</v>
      </c>
      <c r="O18" s="227">
        <f t="shared" si="21"/>
        <v>0</v>
      </c>
      <c r="P18" s="228">
        <f t="shared" si="11"/>
        <v>0</v>
      </c>
      <c r="Q18" s="228">
        <f t="shared" si="12"/>
        <v>3.0289818183875896</v>
      </c>
      <c r="R18" s="229">
        <f t="shared" si="22"/>
        <v>210.0619065582124</v>
      </c>
      <c r="S18" s="158">
        <f>IF(A18,
    IF(NOT(C18=0),
        IF(B18&lt;2020,
             INDEX(MP_new!$A$4:$J$9, INDEX('Cost Analysis Input'!$B$2:$D$7, IF(MATCH(B18, 'Cost Analysis Input'!$C$2:$C$7, 1)&gt;$I$1, $I$1, MATCH(B18, 'Cost Analysis Input'!$C$2:$C$7, 1)), 3)+1, 7),
             INDEX(MP_new!$A$4:$J$9, INDEX('Cost Analysis Input'!$B$2:$D$7, IF(MATCH(B18, 'Cost Analysis Input'!$C$2:$C$7, 1)&gt;$I$1, $I$1, MATCH(B18, 'Cost Analysis Input'!$C$2:$C$7, 1)), 3)+1, 7)-5000),
        INDEX(MP_new!$A$4:$J$9, $I$1+1, 7)),
    0)</f>
        <v>59692.434433137103</v>
      </c>
      <c r="T18" s="157">
        <f>IF(A18, IF(EXACT($S$5, "Yes"),
    IF(C18=0,
        T17,
        INDEX(MP_new!$A$5:$J$9, INDEX('Cost Analysis Input'!$B$3:$D$7, MATCH(B18, 'Cost Analysis Input'!$B$3:$B$7, 1), 3), 10)),
    0), 0)</f>
        <v>9000</v>
      </c>
      <c r="U18" s="1">
        <f>IF(A18, (MP_new!$G$4-S18)+T18, 0)</f>
        <v>13926.620720270636</v>
      </c>
      <c r="V18" s="1">
        <f t="shared" si="13"/>
        <v>1382</v>
      </c>
      <c r="W18" s="230">
        <f t="shared" si="14"/>
        <v>19.246589835414017</v>
      </c>
      <c r="X18" s="227">
        <f t="shared" si="23"/>
        <v>123.43724818556032</v>
      </c>
      <c r="Y18" s="227">
        <f t="shared" si="24"/>
        <v>16.217608017026429</v>
      </c>
      <c r="Z18" s="227">
        <f t="shared" si="25"/>
        <v>-86.624658372652078</v>
      </c>
      <c r="AA18" s="227">
        <f>IF(SUM(AA$9:AA17)&gt;0,0,IF(SUM(X18-R18)&gt;0,B18,0))</f>
        <v>0</v>
      </c>
      <c r="AB18" s="227">
        <f>ABS(Z18)*1000000/SUM(U$9:U18)</f>
        <v>769.08702328976187</v>
      </c>
      <c r="AH18" s="19">
        <f t="shared" si="26"/>
        <v>2027</v>
      </c>
      <c r="AI18" s="185">
        <f t="shared" si="27"/>
        <v>0</v>
      </c>
      <c r="AJ18" s="13"/>
      <c r="AK18" s="19">
        <f t="shared" si="28"/>
        <v>2027</v>
      </c>
      <c r="AL18" s="232"/>
      <c r="AM18" s="189">
        <v>1705</v>
      </c>
      <c r="AN18" s="190">
        <v>1382</v>
      </c>
      <c r="AO18" s="16"/>
      <c r="AP18" s="15">
        <f t="shared" si="15"/>
        <v>2027</v>
      </c>
      <c r="AQ18" s="29">
        <f t="shared" si="0"/>
        <v>0</v>
      </c>
      <c r="AR18" s="16"/>
      <c r="AS18" s="55">
        <f t="shared" si="16"/>
        <v>2027</v>
      </c>
      <c r="AT18" s="29">
        <f t="shared" si="30"/>
        <v>0</v>
      </c>
      <c r="AU18" s="29">
        <f>SUM($M$9:$M17)</f>
        <v>0</v>
      </c>
      <c r="AV18" s="29">
        <f>SUM($M$9:$M17)</f>
        <v>0</v>
      </c>
      <c r="AW18" s="29">
        <f>SUM($M$9:$M17)</f>
        <v>0</v>
      </c>
      <c r="AX18" s="29">
        <f>SUM($M$9:$M17)</f>
        <v>0</v>
      </c>
      <c r="AY18" s="29">
        <f>SUM($M$9:$M17)</f>
        <v>0</v>
      </c>
      <c r="AZ18" s="29">
        <f>SUM($M$9:$M17)</f>
        <v>0</v>
      </c>
      <c r="BA18" s="29">
        <f>SUM($M$9:$M17)</f>
        <v>0</v>
      </c>
      <c r="BB18" s="29">
        <f>SUM($M$9:$M17)</f>
        <v>0</v>
      </c>
      <c r="BC18" s="16"/>
      <c r="BD18" s="15">
        <f t="shared" si="17"/>
        <v>2027</v>
      </c>
      <c r="BE18" s="29">
        <f t="shared" si="18"/>
        <v>0</v>
      </c>
      <c r="BF18" s="16"/>
      <c r="BG18" s="15">
        <f t="shared" si="19"/>
        <v>2027</v>
      </c>
      <c r="BH18" s="29">
        <f>SUM($O$9:O17)</f>
        <v>0</v>
      </c>
      <c r="BI18" s="29">
        <f>SUM($O$9:O17)</f>
        <v>0</v>
      </c>
      <c r="BY18" s="193"/>
      <c r="BZ18" s="193"/>
    </row>
    <row r="19" spans="1:78" s="16" customFormat="1" ht="12.75" customHeight="1" x14ac:dyDescent="0.2">
      <c r="A19" s="193" t="b">
        <f>IF(B18+1&lt;INDEX('Step Analysis'!$B$9:$B$51, MATCH(TRUE, INDEX('Step Analysis'!$C$9:$C$51=0,), 0))+100, TRUE, FALSE)</f>
        <v>1</v>
      </c>
      <c r="B19" s="41">
        <f t="shared" si="20"/>
        <v>2028</v>
      </c>
      <c r="C19" s="219">
        <f>IF(B19&gt;MAX('10 YEAR PROJECTION'!$Y$4:$AN$4),
    0,
    IF(INDEX('10 YEAR PROJECTION'!$X$5:$AN$9, MATCH($I$1, '10 YEAR PROJECTION'!$X$5:$X$9, 0), MATCH(B19, '10 YEAR PROJECTION'!$X$4:$AN$4, 0)) &gt; 0,
        INDEX('10 YEAR PROJECTION'!$X$5:$AN$9, MATCH($I$1, '10 YEAR PROJECTION'!$X$5:$X$9, 0), MATCH(B19, '10 YEAR PROJECTION'!$X$4:$AN$4, 0))/1000000,
        0)
    )</f>
        <v>0</v>
      </c>
      <c r="D19" s="219">
        <f>IF(A19, IF(B19&gt;MAX('10 YEAR PROJECTION'!$Y$12:$AN$12),
    D18,
    IF(INDEX('10 YEAR PROJECTION'!$X$13:$AN$17, MATCH($I$1, '10 YEAR PROJECTION'!$X$13:$X$17, 0), MATCH(B19, '10 YEAR PROJECTION'!$X$12:$AN$12, 0)) &gt; 0,
        INDEX('10 YEAR PROJECTION'!$X$13:$AN$17, MATCH($I$1, '10 YEAR PROJECTION'!$X$13:$X$17, 0), MATCH(B19, '10 YEAR PROJECTION'!$X$12:$AN$12, 0))/1000000,
        0)
    ), 0)</f>
        <v>1.6047739052097945</v>
      </c>
      <c r="E19" s="220">
        <f t="shared" si="1"/>
        <v>0.65700000000000003</v>
      </c>
      <c r="F19" s="220">
        <f t="shared" si="2"/>
        <v>0</v>
      </c>
      <c r="G19" s="221">
        <f t="shared" si="3"/>
        <v>2.1566819363554739</v>
      </c>
      <c r="H19" s="222">
        <f t="shared" si="4"/>
        <v>0.97252049519135242</v>
      </c>
      <c r="I19" s="220">
        <f t="shared" si="5"/>
        <v>0</v>
      </c>
      <c r="J19" s="221">
        <f t="shared" si="6"/>
        <v>2.1566819363554739</v>
      </c>
      <c r="K19" s="222">
        <f t="shared" si="7"/>
        <v>0.97252049519135242</v>
      </c>
      <c r="L19" s="220">
        <f t="shared" si="8"/>
        <v>0</v>
      </c>
      <c r="M19" s="223">
        <f t="shared" si="9"/>
        <v>0</v>
      </c>
      <c r="N19" s="223">
        <f t="shared" si="10"/>
        <v>0</v>
      </c>
      <c r="O19" s="220">
        <f t="shared" si="21"/>
        <v>0</v>
      </c>
      <c r="P19" s="221">
        <f t="shared" si="11"/>
        <v>0</v>
      </c>
      <c r="Q19" s="221">
        <f t="shared" si="12"/>
        <v>3.1292024315468261</v>
      </c>
      <c r="R19" s="229">
        <f t="shared" si="22"/>
        <v>213.19110898975921</v>
      </c>
      <c r="S19" s="158">
        <f>IF(A19,
    IF(NOT(C19=0),
        IF(B19&lt;2020,
             INDEX(MP_new!$A$4:$J$9, INDEX('Cost Analysis Input'!$B$2:$D$7, IF(MATCH(B19, 'Cost Analysis Input'!$C$2:$C$7, 1)&gt;$I$1, $I$1, MATCH(B19, 'Cost Analysis Input'!$C$2:$C$7, 1)), 3)+1, 7),
             INDEX(MP_new!$A$4:$J$9, INDEX('Cost Analysis Input'!$B$2:$D$7, IF(MATCH(B19, 'Cost Analysis Input'!$C$2:$C$7, 1)&gt;$I$1, $I$1, MATCH(B19, 'Cost Analysis Input'!$C$2:$C$7, 1)), 3)+1, 7)-5000),
        INDEX(MP_new!$A$4:$J$9, $I$1+1, 7)),
    0)</f>
        <v>59692.434433137103</v>
      </c>
      <c r="T19" s="157">
        <f>IF(A19, IF(EXACT($S$5, "Yes"),
    IF(C19=0,
        T18,
        INDEX(MP_new!$A$5:$J$9, INDEX('Cost Analysis Input'!$B$3:$D$7, MATCH(B19, 'Cost Analysis Input'!$B$3:$B$7, 1), 3), 10)),
    0), 0)</f>
        <v>9000</v>
      </c>
      <c r="U19" s="1">
        <f>IF(A19, (MP_new!$G$4-S19)+T19, 0)</f>
        <v>13926.620720270636</v>
      </c>
      <c r="V19" s="1">
        <f t="shared" si="13"/>
        <v>1464</v>
      </c>
      <c r="W19" s="223">
        <f t="shared" si="14"/>
        <v>20.38857273447621</v>
      </c>
      <c r="X19" s="220">
        <f t="shared" si="23"/>
        <v>143.82582092003653</v>
      </c>
      <c r="Y19" s="220">
        <f t="shared" si="24"/>
        <v>17.259370302929383</v>
      </c>
      <c r="Z19" s="220">
        <f t="shared" si="25"/>
        <v>-69.365288069722681</v>
      </c>
      <c r="AA19" s="220">
        <f>IF(SUM(AA$9:AA18)&gt;0,0,IF(SUM(X19-R19)&gt;0,B19,0))</f>
        <v>0</v>
      </c>
      <c r="AB19" s="220">
        <f>ABS(Z19)*1000000/SUM(U$9:U19)</f>
        <v>548.08343208338533</v>
      </c>
      <c r="AH19" s="17">
        <f t="shared" si="26"/>
        <v>2028</v>
      </c>
      <c r="AI19" s="186">
        <f t="shared" si="27"/>
        <v>0</v>
      </c>
      <c r="AJ19" s="184"/>
      <c r="AK19" s="17">
        <f t="shared" si="28"/>
        <v>2028</v>
      </c>
      <c r="AL19" s="232"/>
      <c r="AM19" s="187">
        <v>1787</v>
      </c>
      <c r="AN19" s="18">
        <v>1464</v>
      </c>
      <c r="AO19" s="2"/>
      <c r="AP19" s="5">
        <f t="shared" si="15"/>
        <v>2028</v>
      </c>
      <c r="AQ19" s="28">
        <f t="shared" si="0"/>
        <v>0</v>
      </c>
      <c r="AR19" s="2"/>
      <c r="AS19" s="56">
        <f t="shared" si="16"/>
        <v>2028</v>
      </c>
      <c r="AT19" s="28">
        <f t="shared" si="30"/>
        <v>0</v>
      </c>
      <c r="AU19" s="28">
        <f>SUM($M$9:$M18)</f>
        <v>0</v>
      </c>
      <c r="AV19" s="28">
        <f>SUM($M$9:$M18)</f>
        <v>0</v>
      </c>
      <c r="AW19" s="28">
        <f>SUM($M$9:$M18)</f>
        <v>0</v>
      </c>
      <c r="AX19" s="28">
        <f>SUM($M$9:$M18)</f>
        <v>0</v>
      </c>
      <c r="AY19" s="28">
        <f>SUM($M$9:$M18)</f>
        <v>0</v>
      </c>
      <c r="AZ19" s="28">
        <f>SUM($M$9:$M18)</f>
        <v>0</v>
      </c>
      <c r="BA19" s="28">
        <f>SUM($M$9:$M18)</f>
        <v>0</v>
      </c>
      <c r="BB19" s="28">
        <f>SUM($M$9:$M18)</f>
        <v>0</v>
      </c>
      <c r="BC19" s="2"/>
      <c r="BD19" s="5">
        <f t="shared" si="17"/>
        <v>2028</v>
      </c>
      <c r="BE19" s="28">
        <f t="shared" si="18"/>
        <v>0</v>
      </c>
      <c r="BF19" s="2"/>
      <c r="BG19" s="5">
        <f t="shared" si="19"/>
        <v>2028</v>
      </c>
      <c r="BH19" s="28">
        <f>SUM($O$9:O18)</f>
        <v>0</v>
      </c>
      <c r="BI19" s="28">
        <f>SUM($O$9:O18)</f>
        <v>0</v>
      </c>
    </row>
    <row r="20" spans="1:78" s="2" customFormat="1" ht="12.75" customHeight="1" x14ac:dyDescent="0.2">
      <c r="A20" s="193" t="b">
        <f>IF(B19+1&lt;INDEX('Step Analysis'!$B$9:$B$51, MATCH(TRUE, INDEX('Step Analysis'!$C$9:$C$51=0,), 0))+100, TRUE, FALSE)</f>
        <v>1</v>
      </c>
      <c r="B20" s="40">
        <f t="shared" si="20"/>
        <v>2029</v>
      </c>
      <c r="C20" s="219">
        <f>IF(B20&gt;MAX('10 YEAR PROJECTION'!$Y$4:$AN$4),
    0,
    IF(INDEX('10 YEAR PROJECTION'!$X$5:$AN$9, MATCH($I$1, '10 YEAR PROJECTION'!$X$5:$X$9, 0), MATCH(B20, '10 YEAR PROJECTION'!$X$4:$AN$4, 0)) &gt; 0,
        INDEX('10 YEAR PROJECTION'!$X$5:$AN$9, MATCH($I$1, '10 YEAR PROJECTION'!$X$5:$X$9, 0), MATCH(B20, '10 YEAR PROJECTION'!$X$4:$AN$4, 0))/1000000,
        0)
    )</f>
        <v>0</v>
      </c>
      <c r="D20" s="219">
        <f>IF(A20, IF(B20&gt;MAX('10 YEAR PROJECTION'!$Y$12:$AN$12),
    D19,
    IF(INDEX('10 YEAR PROJECTION'!$X$13:$AN$17, MATCH($I$1, '10 YEAR PROJECTION'!$X$13:$X$17, 0), MATCH(B20, '10 YEAR PROJECTION'!$X$12:$AN$12, 0)) &gt; 0,
        INDEX('10 YEAR PROJECTION'!$X$13:$AN$17, MATCH($I$1, '10 YEAR PROJECTION'!$X$13:$X$17, 0), MATCH(B20, '10 YEAR PROJECTION'!$X$12:$AN$12, 0))/1000000,
        0)
    ), 0)</f>
        <v>1.6047739052097945</v>
      </c>
      <c r="E20" s="220">
        <f t="shared" si="1"/>
        <v>0.65700000000000003</v>
      </c>
      <c r="F20" s="220">
        <f t="shared" si="2"/>
        <v>0</v>
      </c>
      <c r="G20" s="221">
        <f t="shared" si="3"/>
        <v>2.2213823944461382</v>
      </c>
      <c r="H20" s="222">
        <f t="shared" si="4"/>
        <v>1.0114213149990066</v>
      </c>
      <c r="I20" s="220">
        <f t="shared" si="5"/>
        <v>0</v>
      </c>
      <c r="J20" s="221">
        <f t="shared" si="6"/>
        <v>2.2213823944461382</v>
      </c>
      <c r="K20" s="222">
        <f t="shared" si="7"/>
        <v>1.0114213149990066</v>
      </c>
      <c r="L20" s="220">
        <f t="shared" si="8"/>
        <v>0</v>
      </c>
      <c r="M20" s="223">
        <f t="shared" si="9"/>
        <v>0</v>
      </c>
      <c r="N20" s="223">
        <f t="shared" si="10"/>
        <v>0</v>
      </c>
      <c r="O20" s="227">
        <f t="shared" si="21"/>
        <v>0</v>
      </c>
      <c r="P20" s="228">
        <f t="shared" si="11"/>
        <v>0</v>
      </c>
      <c r="Q20" s="228">
        <f t="shared" si="12"/>
        <v>3.2328037094451449</v>
      </c>
      <c r="R20" s="229">
        <f t="shared" si="22"/>
        <v>216.42391269920435</v>
      </c>
      <c r="S20" s="158">
        <f>IF(A20,
    IF(NOT(C20=0),
        IF(B20&lt;2020,
             INDEX(MP_new!$A$4:$J$9, INDEX('Cost Analysis Input'!$B$2:$D$7, IF(MATCH(B20, 'Cost Analysis Input'!$C$2:$C$7, 1)&gt;$I$1, $I$1, MATCH(B20, 'Cost Analysis Input'!$C$2:$C$7, 1)), 3)+1, 7),
             INDEX(MP_new!$A$4:$J$9, INDEX('Cost Analysis Input'!$B$2:$D$7, IF(MATCH(B20, 'Cost Analysis Input'!$C$2:$C$7, 1)&gt;$I$1, $I$1, MATCH(B20, 'Cost Analysis Input'!$C$2:$C$7, 1)), 3)+1, 7)-5000),
        INDEX(MP_new!$A$4:$J$9, $I$1+1, 7)),
    0)</f>
        <v>59692.434433137103</v>
      </c>
      <c r="T20" s="157">
        <f>IF(A20, IF(EXACT($S$5, "Yes"),
    IF(C20=0,
        T19,
        INDEX(MP_new!$A$5:$J$9, INDEX('Cost Analysis Input'!$B$3:$D$7, MATCH(B20, 'Cost Analysis Input'!$B$3:$B$7, 1), 3), 10)),
    0), 0)</f>
        <v>9000</v>
      </c>
      <c r="U20" s="1">
        <f>IF(A20, (MP_new!$G$4-S20)+T20, 0)</f>
        <v>13926.620720270636</v>
      </c>
      <c r="V20" s="1">
        <f t="shared" si="13"/>
        <v>1518</v>
      </c>
      <c r="W20" s="230">
        <f t="shared" si="14"/>
        <v>21.140610253370824</v>
      </c>
      <c r="X20" s="227">
        <f t="shared" si="23"/>
        <v>164.96643117340736</v>
      </c>
      <c r="Y20" s="227">
        <f t="shared" si="24"/>
        <v>17.90780654392568</v>
      </c>
      <c r="Z20" s="227">
        <f t="shared" si="25"/>
        <v>-51.457481525796993</v>
      </c>
      <c r="AA20" s="227">
        <f>IF(SUM(AA$9:AA19)&gt;0,0,IF(SUM(X20-R20)&gt;0,B20,0))</f>
        <v>0</v>
      </c>
      <c r="AB20" s="227">
        <f>ABS(Z20)*1000000/SUM(U$9:U20)</f>
        <v>366.28101834702755</v>
      </c>
      <c r="AH20" s="19">
        <f t="shared" si="26"/>
        <v>2029</v>
      </c>
      <c r="AI20" s="185">
        <f t="shared" si="27"/>
        <v>0</v>
      </c>
      <c r="AJ20" s="13"/>
      <c r="AK20" s="19">
        <f t="shared" si="28"/>
        <v>2029</v>
      </c>
      <c r="AL20" s="232"/>
      <c r="AM20" s="189">
        <v>1858</v>
      </c>
      <c r="AN20" s="190">
        <v>1518</v>
      </c>
      <c r="AO20" s="14"/>
      <c r="AP20" s="15">
        <f t="shared" si="15"/>
        <v>2029</v>
      </c>
      <c r="AQ20" s="29">
        <f t="shared" si="0"/>
        <v>0</v>
      </c>
      <c r="AR20" s="14"/>
      <c r="AS20" s="54">
        <f t="shared" si="16"/>
        <v>2029</v>
      </c>
      <c r="AT20" s="29">
        <f t="shared" si="30"/>
        <v>0</v>
      </c>
      <c r="AU20" s="29">
        <f t="shared" ref="AU20:AU50" si="31">SUM(M10:M19)</f>
        <v>0</v>
      </c>
      <c r="AV20" s="29">
        <f>SUM($M$9:$M19)</f>
        <v>0</v>
      </c>
      <c r="AW20" s="29">
        <f>SUM($M$9:$M19)</f>
        <v>0</v>
      </c>
      <c r="AX20" s="29">
        <f>SUM($M$9:$M19)</f>
        <v>0</v>
      </c>
      <c r="AY20" s="29">
        <f>SUM($M$9:$M19)</f>
        <v>0</v>
      </c>
      <c r="AZ20" s="29">
        <f>SUM($M$9:$M19)</f>
        <v>0</v>
      </c>
      <c r="BA20" s="29">
        <f>SUM($M$9:$M19)</f>
        <v>0</v>
      </c>
      <c r="BB20" s="29">
        <f>SUM($M$9:$M19)</f>
        <v>0</v>
      </c>
      <c r="BC20" s="14"/>
      <c r="BD20" s="15">
        <f t="shared" si="17"/>
        <v>2029</v>
      </c>
      <c r="BE20" s="29">
        <f t="shared" si="18"/>
        <v>0</v>
      </c>
      <c r="BF20" s="14"/>
      <c r="BG20" s="15">
        <f t="shared" si="19"/>
        <v>2029</v>
      </c>
      <c r="BH20" s="29">
        <f>SUM($O$9:O19)</f>
        <v>0</v>
      </c>
      <c r="BI20" s="29">
        <f>SUM($O$9:O19)</f>
        <v>0</v>
      </c>
    </row>
    <row r="21" spans="1:78" s="14" customFormat="1" ht="12.75" customHeight="1" x14ac:dyDescent="0.2">
      <c r="A21" s="193" t="b">
        <f>IF(B20+1&lt;INDEX('Step Analysis'!$B$9:$B$51, MATCH(TRUE, INDEX('Step Analysis'!$C$9:$C$51=0,), 0))+100, TRUE, FALSE)</f>
        <v>1</v>
      </c>
      <c r="B21" s="41">
        <f t="shared" si="20"/>
        <v>2030</v>
      </c>
      <c r="C21" s="219">
        <f>IF(B21&gt;MAX('10 YEAR PROJECTION'!$Y$4:$AN$4),
    0,
    IF(INDEX('10 YEAR PROJECTION'!$X$5:$AN$9, MATCH($I$1, '10 YEAR PROJECTION'!$X$5:$X$9, 0), MATCH(B21, '10 YEAR PROJECTION'!$X$4:$AN$4, 0)) &gt; 0,
        INDEX('10 YEAR PROJECTION'!$X$5:$AN$9, MATCH($I$1, '10 YEAR PROJECTION'!$X$5:$X$9, 0), MATCH(B21, '10 YEAR PROJECTION'!$X$4:$AN$4, 0))/1000000,
        0)
    )</f>
        <v>0</v>
      </c>
      <c r="D21" s="219">
        <f>IF(A21, IF(B21&gt;MAX('10 YEAR PROJECTION'!$Y$12:$AN$12),
    D20,
    IF(INDEX('10 YEAR PROJECTION'!$X$13:$AN$17, MATCH($I$1, '10 YEAR PROJECTION'!$X$13:$X$17, 0), MATCH(B21, '10 YEAR PROJECTION'!$X$12:$AN$12, 0)) &gt; 0,
        INDEX('10 YEAR PROJECTION'!$X$13:$AN$17, MATCH($I$1, '10 YEAR PROJECTION'!$X$13:$X$17, 0), MATCH(B21, '10 YEAR PROJECTION'!$X$12:$AN$12, 0))/1000000,
        0)
    ), 0)</f>
        <v>1.6047739052097945</v>
      </c>
      <c r="E21" s="220">
        <f t="shared" si="1"/>
        <v>0.65700000000000003</v>
      </c>
      <c r="F21" s="220">
        <f t="shared" si="2"/>
        <v>0</v>
      </c>
      <c r="G21" s="221">
        <f t="shared" si="3"/>
        <v>2.2880238662795218</v>
      </c>
      <c r="H21" s="222">
        <f t="shared" si="4"/>
        <v>1.051878167598967</v>
      </c>
      <c r="I21" s="220">
        <f t="shared" si="5"/>
        <v>0</v>
      </c>
      <c r="J21" s="221">
        <f t="shared" si="6"/>
        <v>2.2880238662795218</v>
      </c>
      <c r="K21" s="222">
        <f t="shared" si="7"/>
        <v>1.051878167598967</v>
      </c>
      <c r="L21" s="220">
        <f t="shared" si="8"/>
        <v>0</v>
      </c>
      <c r="M21" s="223">
        <f t="shared" si="9"/>
        <v>0</v>
      </c>
      <c r="N21" s="223">
        <f t="shared" si="10"/>
        <v>0</v>
      </c>
      <c r="O21" s="220">
        <f t="shared" si="21"/>
        <v>0</v>
      </c>
      <c r="P21" s="221">
        <f t="shared" si="11"/>
        <v>0</v>
      </c>
      <c r="Q21" s="221">
        <f t="shared" si="12"/>
        <v>3.3399020338784888</v>
      </c>
      <c r="R21" s="229">
        <f t="shared" si="22"/>
        <v>219.76381473308285</v>
      </c>
      <c r="S21" s="158">
        <f>IF(A21,
    IF(NOT(C21=0),
        IF(B21&lt;2020,
             INDEX(MP_new!$A$4:$J$9, INDEX('Cost Analysis Input'!$B$2:$D$7, IF(MATCH(B21, 'Cost Analysis Input'!$C$2:$C$7, 1)&gt;$I$1, $I$1, MATCH(B21, 'Cost Analysis Input'!$C$2:$C$7, 1)), 3)+1, 7),
             INDEX(MP_new!$A$4:$J$9, INDEX('Cost Analysis Input'!$B$2:$D$7, IF(MATCH(B21, 'Cost Analysis Input'!$C$2:$C$7, 1)&gt;$I$1, $I$1, MATCH(B21, 'Cost Analysis Input'!$C$2:$C$7, 1)), 3)+1, 7)-5000),
        INDEX(MP_new!$A$4:$J$9, $I$1+1, 7)),
    0)</f>
        <v>59692.434433137103</v>
      </c>
      <c r="T21" s="157">
        <f>IF(A21, IF(EXACT($S$5, "Yes"),
    IF(C21=0,
        T20,
        INDEX(MP_new!$A$5:$J$9, INDEX('Cost Analysis Input'!$B$3:$D$7, MATCH(B21, 'Cost Analysis Input'!$B$3:$B$7, 1), 3), 10)),
    0), 0)</f>
        <v>9000</v>
      </c>
      <c r="U21" s="1">
        <f>IF(A21, (MP_new!$G$4-S21)+T21, 0)</f>
        <v>13926.620720270636</v>
      </c>
      <c r="V21" s="1">
        <f t="shared" si="13"/>
        <v>1674</v>
      </c>
      <c r="W21" s="223">
        <f t="shared" si="14"/>
        <v>23.313163085733045</v>
      </c>
      <c r="X21" s="220">
        <f t="shared" si="23"/>
        <v>188.2795942591404</v>
      </c>
      <c r="Y21" s="220">
        <f t="shared" si="24"/>
        <v>19.973261051854557</v>
      </c>
      <c r="Z21" s="220">
        <f t="shared" si="25"/>
        <v>-31.484220473942457</v>
      </c>
      <c r="AA21" s="220">
        <f>IF(SUM(AA$9:AA20)&gt;0,0,IF(SUM(X21-R21)&gt;0,B21,0))</f>
        <v>0</v>
      </c>
      <c r="AB21" s="220">
        <f>ABS(Z21)*1000000/SUM(U$9:U21)</f>
        <v>203.89622282390516</v>
      </c>
      <c r="AH21" s="17">
        <f t="shared" si="26"/>
        <v>2030</v>
      </c>
      <c r="AI21" s="186">
        <f t="shared" si="27"/>
        <v>0</v>
      </c>
      <c r="AJ21" s="184"/>
      <c r="AK21" s="17">
        <f t="shared" si="28"/>
        <v>2030</v>
      </c>
      <c r="AL21" s="232"/>
      <c r="AM21" s="187">
        <v>2030</v>
      </c>
      <c r="AN21" s="18">
        <v>1674</v>
      </c>
      <c r="AP21" s="5">
        <f t="shared" si="15"/>
        <v>2030</v>
      </c>
      <c r="AQ21" s="28">
        <f t="shared" si="0"/>
        <v>0</v>
      </c>
      <c r="AS21" s="57">
        <f t="shared" si="16"/>
        <v>2030</v>
      </c>
      <c r="AT21" s="28">
        <f t="shared" si="30"/>
        <v>0</v>
      </c>
      <c r="AU21" s="28">
        <f t="shared" si="31"/>
        <v>0</v>
      </c>
      <c r="AV21" s="28">
        <f>SUM($M$9:$M20)</f>
        <v>0</v>
      </c>
      <c r="AW21" s="28">
        <f>SUM($M$9:$M20)</f>
        <v>0</v>
      </c>
      <c r="AX21" s="28">
        <f>SUM($M$9:$M20)</f>
        <v>0</v>
      </c>
      <c r="AY21" s="28">
        <f>SUM($M$9:$M20)</f>
        <v>0</v>
      </c>
      <c r="AZ21" s="28">
        <f>SUM($M$9:$M20)</f>
        <v>0</v>
      </c>
      <c r="BA21" s="28">
        <f>SUM($M$9:$M20)</f>
        <v>0</v>
      </c>
      <c r="BB21" s="28">
        <f>SUM($M$9:$M20)</f>
        <v>0</v>
      </c>
      <c r="BD21" s="5">
        <f t="shared" si="17"/>
        <v>2030</v>
      </c>
      <c r="BE21" s="28">
        <f t="shared" si="18"/>
        <v>0</v>
      </c>
      <c r="BF21" s="193"/>
      <c r="BG21" s="5">
        <f t="shared" si="19"/>
        <v>2030</v>
      </c>
      <c r="BH21" s="28">
        <f>SUM($O$9:O20)</f>
        <v>0</v>
      </c>
      <c r="BI21" s="28">
        <f>SUM($O$9:O20)</f>
        <v>0</v>
      </c>
    </row>
    <row r="22" spans="1:78" x14ac:dyDescent="0.25">
      <c r="A22" s="193" t="b">
        <f>IF(B21+1&lt;INDEX('Step Analysis'!$B$9:$B$51, MATCH(TRUE, INDEX('Step Analysis'!$C$9:$C$51=0,), 0))+100, TRUE, FALSE)</f>
        <v>1</v>
      </c>
      <c r="B22" s="40">
        <f t="shared" si="20"/>
        <v>2031</v>
      </c>
      <c r="C22" s="219">
        <f>IF(B22&gt;MAX('10 YEAR PROJECTION'!$Y$4:$AN$4),
    0,
    IF(INDEX('10 YEAR PROJECTION'!$X$5:$AN$9, MATCH($I$1, '10 YEAR PROJECTION'!$X$5:$X$9, 0), MATCH(B22, '10 YEAR PROJECTION'!$X$4:$AN$4, 0)) &gt; 0,
        INDEX('10 YEAR PROJECTION'!$X$5:$AN$9, MATCH($I$1, '10 YEAR PROJECTION'!$X$5:$X$9, 0), MATCH(B22, '10 YEAR PROJECTION'!$X$4:$AN$4, 0))/1000000,
        0)
    )</f>
        <v>0</v>
      </c>
      <c r="D22" s="219">
        <f>IF(A22, IF(B22&gt;MAX('10 YEAR PROJECTION'!$Y$12:$AN$12),
    D21,
    IF(INDEX('10 YEAR PROJECTION'!$X$13:$AN$17, MATCH($I$1, '10 YEAR PROJECTION'!$X$13:$X$17, 0), MATCH(B22, '10 YEAR PROJECTION'!$X$12:$AN$12, 0)) &gt; 0,
        INDEX('10 YEAR PROJECTION'!$X$13:$AN$17, MATCH($I$1, '10 YEAR PROJECTION'!$X$13:$X$17, 0), MATCH(B22, '10 YEAR PROJECTION'!$X$12:$AN$12, 0))/1000000,
        0)
    ), 0)</f>
        <v>1.6047739052097945</v>
      </c>
      <c r="E22" s="220">
        <f t="shared" si="1"/>
        <v>0.65700000000000003</v>
      </c>
      <c r="F22" s="220">
        <f t="shared" si="2"/>
        <v>0</v>
      </c>
      <c r="G22" s="221">
        <f t="shared" si="3"/>
        <v>2.3566645822679075</v>
      </c>
      <c r="H22" s="222">
        <f t="shared" si="4"/>
        <v>1.0939532943029258</v>
      </c>
      <c r="I22" s="220">
        <f t="shared" si="5"/>
        <v>0</v>
      </c>
      <c r="J22" s="221">
        <f t="shared" si="6"/>
        <v>2.3566645822679075</v>
      </c>
      <c r="K22" s="222">
        <f t="shared" si="7"/>
        <v>1.0939532943029258</v>
      </c>
      <c r="L22" s="220">
        <f t="shared" si="8"/>
        <v>0</v>
      </c>
      <c r="M22" s="223">
        <f t="shared" si="9"/>
        <v>0</v>
      </c>
      <c r="N22" s="223">
        <f t="shared" si="10"/>
        <v>0</v>
      </c>
      <c r="O22" s="227">
        <f t="shared" si="21"/>
        <v>0</v>
      </c>
      <c r="P22" s="228">
        <f t="shared" si="11"/>
        <v>0</v>
      </c>
      <c r="Q22" s="228">
        <f t="shared" si="12"/>
        <v>3.4506178765708331</v>
      </c>
      <c r="R22" s="229">
        <f t="shared" si="22"/>
        <v>223.2144326096537</v>
      </c>
      <c r="S22" s="158">
        <f>IF(A22,
    IF(NOT(C22=0),
        IF(B22&lt;2020,
             INDEX(MP_new!$A$4:$J$9, INDEX('Cost Analysis Input'!$B$2:$D$7, IF(MATCH(B22, 'Cost Analysis Input'!$C$2:$C$7, 1)&gt;$I$1, $I$1, MATCH(B22, 'Cost Analysis Input'!$C$2:$C$7, 1)), 3)+1, 7),
             INDEX(MP_new!$A$4:$J$9, INDEX('Cost Analysis Input'!$B$2:$D$7, IF(MATCH(B22, 'Cost Analysis Input'!$C$2:$C$7, 1)&gt;$I$1, $I$1, MATCH(B22, 'Cost Analysis Input'!$C$2:$C$7, 1)), 3)+1, 7)-5000),
        INDEX(MP_new!$A$4:$J$9, $I$1+1, 7)),
    0)</f>
        <v>59692.434433137103</v>
      </c>
      <c r="T22" s="157">
        <f>IF(A22, IF(EXACT($S$5, "Yes"),
    IF(C22=0,
        T21,
        INDEX(MP_new!$A$5:$J$9, INDEX('Cost Analysis Input'!$B$3:$D$7, MATCH(B22, 'Cost Analysis Input'!$B$3:$B$7, 1), 3), 10)),
    0), 0)</f>
        <v>9000</v>
      </c>
      <c r="U22" s="1">
        <f>IF(A22, (MP_new!$G$4-S22)+T22, 0)</f>
        <v>13926.620720270636</v>
      </c>
      <c r="V22" s="1">
        <f t="shared" si="13"/>
        <v>1784</v>
      </c>
      <c r="W22" s="230">
        <f t="shared" si="14"/>
        <v>24.845091364962812</v>
      </c>
      <c r="X22" s="227">
        <f t="shared" si="23"/>
        <v>213.12468562410322</v>
      </c>
      <c r="Y22" s="227">
        <f t="shared" si="24"/>
        <v>21.394473488391981</v>
      </c>
      <c r="Z22" s="227">
        <f t="shared" si="25"/>
        <v>-10.089746985550477</v>
      </c>
      <c r="AA22" s="227">
        <f>IF(SUM(AA$9:AA21)&gt;0,0,IF(SUM(X22-R22)&gt;0,B22,0))</f>
        <v>0</v>
      </c>
      <c r="AB22" s="227">
        <f>ABS(Z22)*1000000/SUM(U$9:U22)</f>
        <v>59.936864503366365</v>
      </c>
      <c r="AH22" s="19">
        <f t="shared" si="26"/>
        <v>2031</v>
      </c>
      <c r="AI22" s="185">
        <f t="shared" si="27"/>
        <v>0</v>
      </c>
      <c r="AJ22" s="13"/>
      <c r="AK22" s="19">
        <f t="shared" si="28"/>
        <v>2031</v>
      </c>
      <c r="AL22" s="232"/>
      <c r="AM22" s="189">
        <v>2158</v>
      </c>
      <c r="AN22" s="190">
        <v>1784</v>
      </c>
      <c r="AO22" s="14"/>
      <c r="AP22" s="15">
        <f t="shared" si="15"/>
        <v>2031</v>
      </c>
      <c r="AQ22" s="29">
        <f t="shared" si="0"/>
        <v>0</v>
      </c>
      <c r="AR22" s="14"/>
      <c r="AS22" s="54">
        <f t="shared" si="16"/>
        <v>2031</v>
      </c>
      <c r="AT22" s="29">
        <f t="shared" si="30"/>
        <v>0</v>
      </c>
      <c r="AU22" s="29">
        <f t="shared" si="31"/>
        <v>0</v>
      </c>
      <c r="AV22" s="29">
        <f>SUM($M$9:$M21)</f>
        <v>0</v>
      </c>
      <c r="AW22" s="29">
        <f>SUM($M$9:$M21)</f>
        <v>0</v>
      </c>
      <c r="AX22" s="29">
        <f>SUM($M$9:$M21)</f>
        <v>0</v>
      </c>
      <c r="AY22" s="29">
        <f>SUM($M$9:$M21)</f>
        <v>0</v>
      </c>
      <c r="AZ22" s="29">
        <f>SUM($M$9:$M21)</f>
        <v>0</v>
      </c>
      <c r="BA22" s="29">
        <f>SUM($M$9:$M21)</f>
        <v>0</v>
      </c>
      <c r="BB22" s="29">
        <f>SUM($M$9:$M21)</f>
        <v>0</v>
      </c>
      <c r="BC22" s="14"/>
      <c r="BD22" s="15">
        <f t="shared" si="17"/>
        <v>2031</v>
      </c>
      <c r="BE22" s="29">
        <f t="shared" si="18"/>
        <v>0</v>
      </c>
      <c r="BF22" s="14"/>
      <c r="BG22" s="15">
        <f t="shared" si="19"/>
        <v>2031</v>
      </c>
      <c r="BH22" s="29">
        <f>SUM($O$9:O21)</f>
        <v>0</v>
      </c>
      <c r="BI22" s="29">
        <f>SUM($O$9:O21)</f>
        <v>0</v>
      </c>
      <c r="BY22" s="193"/>
      <c r="BZ22" s="193"/>
    </row>
    <row r="23" spans="1:78" s="14" customFormat="1" ht="12.75" customHeight="1" x14ac:dyDescent="0.2">
      <c r="A23" s="193" t="b">
        <f>IF(B22+1&lt;INDEX('Step Analysis'!$B$9:$B$51, MATCH(TRUE, INDEX('Step Analysis'!$C$9:$C$51=0,), 0))+100, TRUE, FALSE)</f>
        <v>1</v>
      </c>
      <c r="B23" s="41">
        <f t="shared" si="20"/>
        <v>2032</v>
      </c>
      <c r="C23" s="219">
        <f>IF(B23&gt;MAX('10 YEAR PROJECTION'!$Y$4:$AN$4),
    0,
    IF(INDEX('10 YEAR PROJECTION'!$X$5:$AN$9, MATCH($I$1, '10 YEAR PROJECTION'!$X$5:$X$9, 0), MATCH(B23, '10 YEAR PROJECTION'!$X$4:$AN$4, 0)) &gt; 0,
        INDEX('10 YEAR PROJECTION'!$X$5:$AN$9, MATCH($I$1, '10 YEAR PROJECTION'!$X$5:$X$9, 0), MATCH(B23, '10 YEAR PROJECTION'!$X$4:$AN$4, 0))/1000000,
        0)
    )</f>
        <v>0</v>
      </c>
      <c r="D23" s="219">
        <f>IF(A23, IF(B23&gt;MAX('10 YEAR PROJECTION'!$Y$12:$AN$12),
    D22,
    IF(INDEX('10 YEAR PROJECTION'!$X$13:$AN$17, MATCH($I$1, '10 YEAR PROJECTION'!$X$13:$X$17, 0), MATCH(B23, '10 YEAR PROJECTION'!$X$12:$AN$12, 0)) &gt; 0,
        INDEX('10 YEAR PROJECTION'!$X$13:$AN$17, MATCH($I$1, '10 YEAR PROJECTION'!$X$13:$X$17, 0), MATCH(B23, '10 YEAR PROJECTION'!$X$12:$AN$12, 0))/1000000,
        0)
    ), 0)</f>
        <v>1.6047739052097945</v>
      </c>
      <c r="E23" s="220">
        <f t="shared" si="1"/>
        <v>0.65700000000000003</v>
      </c>
      <c r="F23" s="220">
        <f t="shared" si="2"/>
        <v>0</v>
      </c>
      <c r="G23" s="221">
        <f t="shared" si="3"/>
        <v>2.4273645197359448</v>
      </c>
      <c r="H23" s="222">
        <f t="shared" si="4"/>
        <v>1.1377114260750427</v>
      </c>
      <c r="I23" s="220">
        <f t="shared" si="5"/>
        <v>0</v>
      </c>
      <c r="J23" s="221">
        <f t="shared" si="6"/>
        <v>2.4273645197359448</v>
      </c>
      <c r="K23" s="222">
        <f t="shared" si="7"/>
        <v>1.1377114260750427</v>
      </c>
      <c r="L23" s="220">
        <f t="shared" si="8"/>
        <v>0</v>
      </c>
      <c r="M23" s="223">
        <f t="shared" si="9"/>
        <v>0</v>
      </c>
      <c r="N23" s="223">
        <f t="shared" si="10"/>
        <v>0</v>
      </c>
      <c r="O23" s="220">
        <f t="shared" si="21"/>
        <v>0</v>
      </c>
      <c r="P23" s="221">
        <f t="shared" si="11"/>
        <v>0</v>
      </c>
      <c r="Q23" s="221">
        <f t="shared" si="12"/>
        <v>3.5650759458109875</v>
      </c>
      <c r="R23" s="229">
        <f t="shared" si="22"/>
        <v>226.77950855546467</v>
      </c>
      <c r="S23" s="158">
        <f>IF(A23,
    IF(NOT(C23=0),
        IF(B23&lt;2020,
             INDEX(MP_new!$A$4:$J$9, INDEX('Cost Analysis Input'!$B$2:$D$7, IF(MATCH(B23, 'Cost Analysis Input'!$C$2:$C$7, 1)&gt;$I$1, $I$1, MATCH(B23, 'Cost Analysis Input'!$C$2:$C$7, 1)), 3)+1, 7),
             INDEX(MP_new!$A$4:$J$9, INDEX('Cost Analysis Input'!$B$2:$D$7, IF(MATCH(B23, 'Cost Analysis Input'!$C$2:$C$7, 1)&gt;$I$1, $I$1, MATCH(B23, 'Cost Analysis Input'!$C$2:$C$7, 1)), 3)+1, 7)-5000),
        INDEX(MP_new!$A$4:$J$9, $I$1+1, 7)),
    0)</f>
        <v>59692.434433137103</v>
      </c>
      <c r="T23" s="157">
        <f>IF(A23, IF(EXACT($S$5, "Yes"),
    IF(C23=0,
        T22,
        INDEX(MP_new!$A$5:$J$9, INDEX('Cost Analysis Input'!$B$3:$D$7, MATCH(B23, 'Cost Analysis Input'!$B$3:$B$7, 1), 3), 10)),
    0), 0)</f>
        <v>9000</v>
      </c>
      <c r="U23" s="1">
        <f>IF(A23, (MP_new!$G$4-S23)+T23, 0)</f>
        <v>13926.620720270636</v>
      </c>
      <c r="V23" s="1">
        <f t="shared" si="13"/>
        <v>1834</v>
      </c>
      <c r="W23" s="223">
        <f t="shared" si="14"/>
        <v>25.541422400976344</v>
      </c>
      <c r="X23" s="220">
        <f t="shared" si="23"/>
        <v>238.66610802507955</v>
      </c>
      <c r="Y23" s="220">
        <f t="shared" si="24"/>
        <v>21.976346455165356</v>
      </c>
      <c r="Z23" s="220">
        <f t="shared" si="25"/>
        <v>11.886599469614879</v>
      </c>
      <c r="AA23" s="220">
        <f>IF(SUM(AA$9:AA22)&gt;0,0,IF(SUM(X23-R23)&gt;0,B23,0))</f>
        <v>2032</v>
      </c>
      <c r="AB23" s="220">
        <f>ABS(Z23)*1000000/SUM(U$9:U23)</f>
        <v>65.215596747428108</v>
      </c>
      <c r="AH23" s="17">
        <f t="shared" si="26"/>
        <v>2032</v>
      </c>
      <c r="AI23" s="186">
        <f t="shared" si="27"/>
        <v>0</v>
      </c>
      <c r="AJ23" s="184"/>
      <c r="AK23" s="17">
        <f t="shared" si="28"/>
        <v>2032</v>
      </c>
      <c r="AL23" s="232"/>
      <c r="AM23" s="187">
        <v>2226</v>
      </c>
      <c r="AN23" s="18">
        <v>1834</v>
      </c>
      <c r="AP23" s="5">
        <f t="shared" si="15"/>
        <v>2032</v>
      </c>
      <c r="AQ23" s="28">
        <f t="shared" si="0"/>
        <v>0</v>
      </c>
      <c r="AS23" s="57">
        <f t="shared" si="16"/>
        <v>2032</v>
      </c>
      <c r="AT23" s="28">
        <f t="shared" si="30"/>
        <v>0</v>
      </c>
      <c r="AU23" s="28">
        <f t="shared" si="31"/>
        <v>0</v>
      </c>
      <c r="AV23" s="28">
        <f>SUM($M$9:$M22)</f>
        <v>0</v>
      </c>
      <c r="AW23" s="28">
        <f>SUM($M$9:$M22)</f>
        <v>0</v>
      </c>
      <c r="AX23" s="28">
        <f>SUM($M$9:$M22)</f>
        <v>0</v>
      </c>
      <c r="AY23" s="28">
        <f>SUM($M$9:$M22)</f>
        <v>0</v>
      </c>
      <c r="AZ23" s="28">
        <f>SUM($M$9:$M22)</f>
        <v>0</v>
      </c>
      <c r="BA23" s="28">
        <f>SUM($M$9:$M22)</f>
        <v>0</v>
      </c>
      <c r="BB23" s="28">
        <f>SUM($M$9:$M22)</f>
        <v>0</v>
      </c>
      <c r="BD23" s="5">
        <f t="shared" si="17"/>
        <v>2032</v>
      </c>
      <c r="BE23" s="28">
        <f t="shared" si="18"/>
        <v>0</v>
      </c>
      <c r="BF23" s="193"/>
      <c r="BG23" s="5">
        <f t="shared" si="19"/>
        <v>2032</v>
      </c>
      <c r="BH23" s="28">
        <f>SUM($O$9:O22)</f>
        <v>0</v>
      </c>
      <c r="BI23" s="28">
        <f>SUM($O$9:O22)</f>
        <v>0</v>
      </c>
    </row>
    <row r="24" spans="1:78" x14ac:dyDescent="0.25">
      <c r="A24" s="193" t="b">
        <f>IF(B23+1&lt;INDEX('Step Analysis'!$B$9:$B$51, MATCH(TRUE, INDEX('Step Analysis'!$C$9:$C$51=0,), 0))+100, TRUE, FALSE)</f>
        <v>1</v>
      </c>
      <c r="B24" s="40">
        <f t="shared" si="20"/>
        <v>2033</v>
      </c>
      <c r="C24" s="219">
        <f>IF(B24&gt;MAX('10 YEAR PROJECTION'!$Y$4:$AN$4),
    0,
    IF(INDEX('10 YEAR PROJECTION'!$X$5:$AN$9, MATCH($I$1, '10 YEAR PROJECTION'!$X$5:$X$9, 0), MATCH(B24, '10 YEAR PROJECTION'!$X$4:$AN$4, 0)) &gt; 0,
        INDEX('10 YEAR PROJECTION'!$X$5:$AN$9, MATCH($I$1, '10 YEAR PROJECTION'!$X$5:$X$9, 0), MATCH(B24, '10 YEAR PROJECTION'!$X$4:$AN$4, 0))/1000000,
        0)
    )</f>
        <v>0</v>
      </c>
      <c r="D24" s="219">
        <f>IF(A24, IF(B24&gt;MAX('10 YEAR PROJECTION'!$Y$12:$AN$12),
    D23,
    IF(INDEX('10 YEAR PROJECTION'!$X$13:$AN$17, MATCH($I$1, '10 YEAR PROJECTION'!$X$13:$X$17, 0), MATCH(B24, '10 YEAR PROJECTION'!$X$12:$AN$12, 0)) &gt; 0,
        INDEX('10 YEAR PROJECTION'!$X$13:$AN$17, MATCH($I$1, '10 YEAR PROJECTION'!$X$13:$X$17, 0), MATCH(B24, '10 YEAR PROJECTION'!$X$12:$AN$12, 0))/1000000,
        0)
    ), 0)</f>
        <v>1.6047739052097945</v>
      </c>
      <c r="E24" s="220">
        <f t="shared" si="1"/>
        <v>0.65700000000000003</v>
      </c>
      <c r="F24" s="220">
        <f t="shared" si="2"/>
        <v>0</v>
      </c>
      <c r="G24" s="221">
        <f t="shared" si="3"/>
        <v>2.5001854553280234</v>
      </c>
      <c r="H24" s="222">
        <f t="shared" si="4"/>
        <v>1.1832198831180443</v>
      </c>
      <c r="I24" s="220">
        <f t="shared" si="5"/>
        <v>0</v>
      </c>
      <c r="J24" s="221">
        <f t="shared" si="6"/>
        <v>2.5001854553280234</v>
      </c>
      <c r="K24" s="222">
        <f t="shared" si="7"/>
        <v>1.1832198831180443</v>
      </c>
      <c r="L24" s="220">
        <f t="shared" si="8"/>
        <v>0</v>
      </c>
      <c r="M24" s="223">
        <f t="shared" si="9"/>
        <v>0</v>
      </c>
      <c r="N24" s="223">
        <f t="shared" si="10"/>
        <v>0</v>
      </c>
      <c r="O24" s="227">
        <f t="shared" si="21"/>
        <v>0</v>
      </c>
      <c r="P24" s="228">
        <f t="shared" si="11"/>
        <v>0</v>
      </c>
      <c r="Q24" s="228">
        <f t="shared" si="12"/>
        <v>3.6834053384460677</v>
      </c>
      <c r="R24" s="229">
        <f t="shared" si="22"/>
        <v>230.46291389391075</v>
      </c>
      <c r="S24" s="158">
        <f>IF(A24,
    IF(NOT(C24=0),
        IF(B24&lt;2020,
             INDEX(MP_new!$A$4:$J$9, INDEX('Cost Analysis Input'!$B$2:$D$7, IF(MATCH(B24, 'Cost Analysis Input'!$C$2:$C$7, 1)&gt;$I$1, $I$1, MATCH(B24, 'Cost Analysis Input'!$C$2:$C$7, 1)), 3)+1, 7),
             INDEX(MP_new!$A$4:$J$9, INDEX('Cost Analysis Input'!$B$2:$D$7, IF(MATCH(B24, 'Cost Analysis Input'!$C$2:$C$7, 1)&gt;$I$1, $I$1, MATCH(B24, 'Cost Analysis Input'!$C$2:$C$7, 1)), 3)+1, 7)-5000),
        INDEX(MP_new!$A$4:$J$9, $I$1+1, 7)),
    0)</f>
        <v>59692.434433137103</v>
      </c>
      <c r="T24" s="157">
        <f>IF(A24, IF(EXACT($S$5, "Yes"),
    IF(C24=0,
        T23,
        INDEX(MP_new!$A$5:$J$9, INDEX('Cost Analysis Input'!$B$3:$D$7, MATCH(B24, 'Cost Analysis Input'!$B$3:$B$7, 1), 3), 10)),
    0), 0)</f>
        <v>9000</v>
      </c>
      <c r="U24" s="1">
        <f>IF(A24, (MP_new!$G$4-S24)+T24, 0)</f>
        <v>13926.620720270636</v>
      </c>
      <c r="V24" s="1">
        <f t="shared" si="13"/>
        <v>2051</v>
      </c>
      <c r="W24" s="230">
        <f t="shared" si="14"/>
        <v>28.563499097275074</v>
      </c>
      <c r="X24" s="227">
        <f t="shared" si="23"/>
        <v>267.22960712235465</v>
      </c>
      <c r="Y24" s="227">
        <f t="shared" si="24"/>
        <v>24.880093758829005</v>
      </c>
      <c r="Z24" s="227">
        <f t="shared" si="25"/>
        <v>36.766693228443899</v>
      </c>
      <c r="AA24" s="227">
        <f>IF(SUM(AA$9:AA23)&gt;0,0,IF(SUM(X24-R24)&gt;0,B24,0))</f>
        <v>0</v>
      </c>
      <c r="AB24" s="227">
        <f>ABS(Z24)*1000000/SUM(U$9:U24)</f>
        <v>187.40080163826408</v>
      </c>
      <c r="AH24" s="19">
        <f t="shared" si="26"/>
        <v>2033</v>
      </c>
      <c r="AI24" s="185">
        <f t="shared" si="27"/>
        <v>0</v>
      </c>
      <c r="AJ24" s="13"/>
      <c r="AK24" s="19">
        <f t="shared" si="28"/>
        <v>2033</v>
      </c>
      <c r="AL24" s="232"/>
      <c r="AM24" s="189">
        <v>2463</v>
      </c>
      <c r="AN24" s="190">
        <v>2051</v>
      </c>
      <c r="AO24" s="14"/>
      <c r="AP24" s="15">
        <f t="shared" si="15"/>
        <v>2033</v>
      </c>
      <c r="AQ24" s="29">
        <f t="shared" si="0"/>
        <v>0</v>
      </c>
      <c r="AR24" s="14"/>
      <c r="AS24" s="54">
        <f t="shared" si="16"/>
        <v>2033</v>
      </c>
      <c r="AT24" s="29">
        <f t="shared" si="30"/>
        <v>0</v>
      </c>
      <c r="AU24" s="29">
        <f t="shared" si="31"/>
        <v>0</v>
      </c>
      <c r="AV24" s="29">
        <f>SUM($M$9:$M23)</f>
        <v>0</v>
      </c>
      <c r="AW24" s="29">
        <f>SUM($M$9:$M23)</f>
        <v>0</v>
      </c>
      <c r="AX24" s="29">
        <f>SUM($M$9:$M23)</f>
        <v>0</v>
      </c>
      <c r="AY24" s="29">
        <f>SUM($M$9:$M23)</f>
        <v>0</v>
      </c>
      <c r="AZ24" s="29">
        <f>SUM($M$9:$M23)</f>
        <v>0</v>
      </c>
      <c r="BA24" s="29">
        <f>SUM($M$9:$M23)</f>
        <v>0</v>
      </c>
      <c r="BB24" s="29">
        <f>SUM($M$9:$M23)</f>
        <v>0</v>
      </c>
      <c r="BC24" s="14"/>
      <c r="BD24" s="15">
        <f t="shared" si="17"/>
        <v>2033</v>
      </c>
      <c r="BE24" s="29">
        <f t="shared" si="18"/>
        <v>0</v>
      </c>
      <c r="BF24" s="14"/>
      <c r="BG24" s="15">
        <f t="shared" si="19"/>
        <v>2033</v>
      </c>
      <c r="BH24" s="29">
        <f>SUM($O$9:O23)</f>
        <v>0</v>
      </c>
      <c r="BI24" s="29">
        <f>SUM($O$9:O23)</f>
        <v>0</v>
      </c>
      <c r="BY24" s="193"/>
      <c r="BZ24" s="193"/>
    </row>
    <row r="25" spans="1:78" s="14" customFormat="1" ht="12.75" customHeight="1" x14ac:dyDescent="0.2">
      <c r="A25" s="193" t="b">
        <f>IF(B24+1&lt;INDEX('Step Analysis'!$B$9:$B$51, MATCH(TRUE, INDEX('Step Analysis'!$C$9:$C$51=0,), 0))+100, TRUE, FALSE)</f>
        <v>1</v>
      </c>
      <c r="B25" s="41">
        <f t="shared" si="20"/>
        <v>2034</v>
      </c>
      <c r="C25" s="219">
        <f>IF(B25&gt;MAX('10 YEAR PROJECTION'!$Y$4:$AN$4),
    0,
    IF(INDEX('10 YEAR PROJECTION'!$X$5:$AN$9, MATCH($I$1, '10 YEAR PROJECTION'!$X$5:$X$9, 0), MATCH(B25, '10 YEAR PROJECTION'!$X$4:$AN$4, 0)) &gt; 0,
        INDEX('10 YEAR PROJECTION'!$X$5:$AN$9, MATCH($I$1, '10 YEAR PROJECTION'!$X$5:$X$9, 0), MATCH(B25, '10 YEAR PROJECTION'!$X$4:$AN$4, 0))/1000000,
        0)
    )</f>
        <v>0</v>
      </c>
      <c r="D25" s="219">
        <f>IF(A25, IF(B25&gt;MAX('10 YEAR PROJECTION'!$Y$12:$AN$12),
    D24,
    IF(INDEX('10 YEAR PROJECTION'!$X$13:$AN$17, MATCH($I$1, '10 YEAR PROJECTION'!$X$13:$X$17, 0), MATCH(B25, '10 YEAR PROJECTION'!$X$12:$AN$12, 0)) &gt; 0,
        INDEX('10 YEAR PROJECTION'!$X$13:$AN$17, MATCH($I$1, '10 YEAR PROJECTION'!$X$13:$X$17, 0), MATCH(B25, '10 YEAR PROJECTION'!$X$12:$AN$12, 0))/1000000,
        0)
    ), 0)</f>
        <v>1.6047739052097945</v>
      </c>
      <c r="E25" s="220">
        <f t="shared" si="1"/>
        <v>0.65700000000000003</v>
      </c>
      <c r="F25" s="220">
        <f t="shared" si="2"/>
        <v>0</v>
      </c>
      <c r="G25" s="221">
        <f t="shared" si="3"/>
        <v>2.575191018987864</v>
      </c>
      <c r="H25" s="222">
        <f t="shared" si="4"/>
        <v>1.2305486784427664</v>
      </c>
      <c r="I25" s="220">
        <f t="shared" si="5"/>
        <v>0</v>
      </c>
      <c r="J25" s="221">
        <f t="shared" si="6"/>
        <v>2.575191018987864</v>
      </c>
      <c r="K25" s="222">
        <f t="shared" si="7"/>
        <v>1.2305486784427664</v>
      </c>
      <c r="L25" s="220">
        <f t="shared" si="8"/>
        <v>0</v>
      </c>
      <c r="M25" s="223">
        <f t="shared" si="9"/>
        <v>0</v>
      </c>
      <c r="N25" s="223">
        <f t="shared" si="10"/>
        <v>0</v>
      </c>
      <c r="O25" s="220">
        <f t="shared" si="21"/>
        <v>0</v>
      </c>
      <c r="P25" s="221">
        <f t="shared" si="11"/>
        <v>0</v>
      </c>
      <c r="Q25" s="221">
        <f t="shared" si="12"/>
        <v>3.8057396974306306</v>
      </c>
      <c r="R25" s="229">
        <f t="shared" si="22"/>
        <v>234.26865359134138</v>
      </c>
      <c r="S25" s="158">
        <f>IF(A25,
    IF(NOT(C25=0),
        IF(B25&lt;2020,
             INDEX(MP_new!$A$4:$J$9, INDEX('Cost Analysis Input'!$B$2:$D$7, IF(MATCH(B25, 'Cost Analysis Input'!$C$2:$C$7, 1)&gt;$I$1, $I$1, MATCH(B25, 'Cost Analysis Input'!$C$2:$C$7, 1)), 3)+1, 7),
             INDEX(MP_new!$A$4:$J$9, INDEX('Cost Analysis Input'!$B$2:$D$7, IF(MATCH(B25, 'Cost Analysis Input'!$C$2:$C$7, 1)&gt;$I$1, $I$1, MATCH(B25, 'Cost Analysis Input'!$C$2:$C$7, 1)), 3)+1, 7)-5000),
        INDEX(MP_new!$A$4:$J$9, $I$1+1, 7)),
    0)</f>
        <v>59692.434433137103</v>
      </c>
      <c r="T25" s="157">
        <f>IF(A25, IF(EXACT($S$5, "Yes"),
    IF(C25=0,
        T24,
        INDEX(MP_new!$A$5:$J$9, INDEX('Cost Analysis Input'!$B$3:$D$7, MATCH(B25, 'Cost Analysis Input'!$B$3:$B$7, 1), 3), 10)),
    0), 0)</f>
        <v>9000</v>
      </c>
      <c r="U25" s="1">
        <f>IF(A25, (MP_new!$G$4-S25)+T25, 0)</f>
        <v>13926.620720270636</v>
      </c>
      <c r="V25" s="1">
        <f t="shared" si="13"/>
        <v>2109</v>
      </c>
      <c r="W25" s="223">
        <f t="shared" si="14"/>
        <v>29.371243099050773</v>
      </c>
      <c r="X25" s="220">
        <f t="shared" si="23"/>
        <v>296.60085022140544</v>
      </c>
      <c r="Y25" s="220">
        <f t="shared" si="24"/>
        <v>25.565503401620141</v>
      </c>
      <c r="Z25" s="220">
        <f t="shared" si="25"/>
        <v>62.332196630064061</v>
      </c>
      <c r="AA25" s="220">
        <f>IF(SUM(AA$9:AA24)&gt;0,0,IF(SUM(X25-R25)&gt;0,B25,0))</f>
        <v>0</v>
      </c>
      <c r="AB25" s="220">
        <f>ABS(Z25)*1000000/SUM(U$9:U25)</f>
        <v>296.65124781426152</v>
      </c>
      <c r="AH25" s="17">
        <f t="shared" si="26"/>
        <v>2034</v>
      </c>
      <c r="AI25" s="186">
        <f t="shared" si="27"/>
        <v>0</v>
      </c>
      <c r="AJ25" s="184"/>
      <c r="AK25" s="17">
        <f t="shared" si="28"/>
        <v>2034</v>
      </c>
      <c r="AL25" s="232"/>
      <c r="AM25" s="187">
        <v>2542</v>
      </c>
      <c r="AN25" s="18">
        <v>2109</v>
      </c>
      <c r="AP25" s="5">
        <f t="shared" si="15"/>
        <v>2034</v>
      </c>
      <c r="AQ25" s="28">
        <f t="shared" si="0"/>
        <v>0</v>
      </c>
      <c r="AS25" s="57">
        <f t="shared" si="16"/>
        <v>2034</v>
      </c>
      <c r="AT25" s="28">
        <f t="shared" si="30"/>
        <v>0</v>
      </c>
      <c r="AU25" s="28">
        <f t="shared" si="31"/>
        <v>0</v>
      </c>
      <c r="AV25" s="28">
        <f t="shared" ref="AV25:AV50" si="32">SUM(M10:M24)</f>
        <v>0</v>
      </c>
      <c r="AW25" s="28">
        <f>SUM($M$9:$M24)</f>
        <v>0</v>
      </c>
      <c r="AX25" s="28">
        <f>SUM($M$9:$M24)</f>
        <v>0</v>
      </c>
      <c r="AY25" s="28">
        <f>SUM($M$9:$M24)</f>
        <v>0</v>
      </c>
      <c r="AZ25" s="28">
        <f>SUM($M$9:$M24)</f>
        <v>0</v>
      </c>
      <c r="BA25" s="28">
        <f>SUM($M$9:$M24)</f>
        <v>0</v>
      </c>
      <c r="BB25" s="28">
        <f>SUM($M$9:$M24)</f>
        <v>0</v>
      </c>
      <c r="BD25" s="5">
        <f t="shared" si="17"/>
        <v>2034</v>
      </c>
      <c r="BE25" s="28">
        <f t="shared" si="18"/>
        <v>0</v>
      </c>
      <c r="BF25" s="193"/>
      <c r="BG25" s="5">
        <f t="shared" si="19"/>
        <v>2034</v>
      </c>
      <c r="BH25" s="28">
        <f t="shared" ref="BH25:BH50" si="33">SUM(O10:O24)</f>
        <v>0</v>
      </c>
      <c r="BI25" s="28">
        <f>SUM($O$9:O24)</f>
        <v>0</v>
      </c>
    </row>
    <row r="26" spans="1:78" x14ac:dyDescent="0.25">
      <c r="A26" s="193" t="b">
        <f>IF(B25+1&lt;INDEX('Step Analysis'!$B$9:$B$51, MATCH(TRUE, INDEX('Step Analysis'!$C$9:$C$51=0,), 0))+100, TRUE, FALSE)</f>
        <v>1</v>
      </c>
      <c r="B26" s="40">
        <f t="shared" si="20"/>
        <v>2035</v>
      </c>
      <c r="C26" s="219">
        <f>IF(B26&gt;MAX('10 YEAR PROJECTION'!$Y$4:$AN$4),
    0,
    IF(INDEX('10 YEAR PROJECTION'!$X$5:$AN$9, MATCH($I$1, '10 YEAR PROJECTION'!$X$5:$X$9, 0), MATCH(B26, '10 YEAR PROJECTION'!$X$4:$AN$4, 0)) &gt; 0,
        INDEX('10 YEAR PROJECTION'!$X$5:$AN$9, MATCH($I$1, '10 YEAR PROJECTION'!$X$5:$X$9, 0), MATCH(B26, '10 YEAR PROJECTION'!$X$4:$AN$4, 0))/1000000,
        0)
    )</f>
        <v>0</v>
      </c>
      <c r="D26" s="219">
        <f>IF(A26, IF(B26&gt;MAX('10 YEAR PROJECTION'!$Y$12:$AN$12),
    D25,
    IF(INDEX('10 YEAR PROJECTION'!$X$13:$AN$17, MATCH($I$1, '10 YEAR PROJECTION'!$X$13:$X$17, 0), MATCH(B26, '10 YEAR PROJECTION'!$X$12:$AN$12, 0)) &gt; 0,
        INDEX('10 YEAR PROJECTION'!$X$13:$AN$17, MATCH($I$1, '10 YEAR PROJECTION'!$X$13:$X$17, 0), MATCH(B26, '10 YEAR PROJECTION'!$X$12:$AN$12, 0))/1000000,
        0)
    ), 0)</f>
        <v>1.6047739052097945</v>
      </c>
      <c r="E26" s="220">
        <f t="shared" si="1"/>
        <v>0.65700000000000003</v>
      </c>
      <c r="F26" s="220">
        <f t="shared" si="2"/>
        <v>0</v>
      </c>
      <c r="G26" s="221">
        <f t="shared" si="3"/>
        <v>2.6524467495574995</v>
      </c>
      <c r="H26" s="222">
        <f t="shared" si="4"/>
        <v>1.2797706255804771</v>
      </c>
      <c r="I26" s="220">
        <f t="shared" si="5"/>
        <v>0</v>
      </c>
      <c r="J26" s="221">
        <f t="shared" si="6"/>
        <v>2.6524467495574995</v>
      </c>
      <c r="K26" s="222">
        <f t="shared" si="7"/>
        <v>1.2797706255804771</v>
      </c>
      <c r="L26" s="220">
        <f t="shared" si="8"/>
        <v>0</v>
      </c>
      <c r="M26" s="223">
        <f t="shared" si="9"/>
        <v>0</v>
      </c>
      <c r="N26" s="223">
        <f t="shared" si="10"/>
        <v>0</v>
      </c>
      <c r="O26" s="227">
        <f t="shared" si="21"/>
        <v>0</v>
      </c>
      <c r="P26" s="228">
        <f t="shared" si="11"/>
        <v>0</v>
      </c>
      <c r="Q26" s="228">
        <f t="shared" si="12"/>
        <v>3.9322173751379763</v>
      </c>
      <c r="R26" s="229">
        <f t="shared" si="22"/>
        <v>238.20087096647936</v>
      </c>
      <c r="S26" s="158">
        <f>IF(A26,
    IF(NOT(C26=0),
        IF(B26&lt;2020,
             INDEX(MP_new!$A$4:$J$9, INDEX('Cost Analysis Input'!$B$2:$D$7, IF(MATCH(B26, 'Cost Analysis Input'!$C$2:$C$7, 1)&gt;$I$1, $I$1, MATCH(B26, 'Cost Analysis Input'!$C$2:$C$7, 1)), 3)+1, 7),
             INDEX(MP_new!$A$4:$J$9, INDEX('Cost Analysis Input'!$B$2:$D$7, IF(MATCH(B26, 'Cost Analysis Input'!$C$2:$C$7, 1)&gt;$I$1, $I$1, MATCH(B26, 'Cost Analysis Input'!$C$2:$C$7, 1)), 3)+1, 7)-5000),
        INDEX(MP_new!$A$4:$J$9, $I$1+1, 7)),
    0)</f>
        <v>59692.434433137103</v>
      </c>
      <c r="T26" s="157">
        <f>IF(A26, IF(EXACT($S$5, "Yes"),
    IF(C26=0,
        T25,
        INDEX(MP_new!$A$5:$J$9, INDEX('Cost Analysis Input'!$B$3:$D$7, MATCH(B26, 'Cost Analysis Input'!$B$3:$B$7, 1), 3), 10)),
    0), 0)</f>
        <v>9000</v>
      </c>
      <c r="U26" s="1">
        <f>IF(A26, (MP_new!$G$4-S26)+T26, 0)</f>
        <v>13926.620720270636</v>
      </c>
      <c r="V26" s="1">
        <f t="shared" si="13"/>
        <v>2100</v>
      </c>
      <c r="W26" s="230">
        <f t="shared" si="14"/>
        <v>29.245903512568336</v>
      </c>
      <c r="X26" s="227">
        <f t="shared" si="23"/>
        <v>325.8467537339738</v>
      </c>
      <c r="Y26" s="227">
        <f t="shared" si="24"/>
        <v>25.313686137430359</v>
      </c>
      <c r="Z26" s="227">
        <f t="shared" si="25"/>
        <v>87.645882767494442</v>
      </c>
      <c r="AA26" s="227">
        <f>IF(SUM(AA$9:AA25)&gt;0,0,IF(SUM(X26-R26)&gt;0,B26,0))</f>
        <v>0</v>
      </c>
      <c r="AB26" s="227">
        <f>ABS(Z26)*1000000/SUM(U$9:U26)</f>
        <v>391.19580636466151</v>
      </c>
      <c r="AH26" s="19">
        <f t="shared" si="26"/>
        <v>2035</v>
      </c>
      <c r="AI26" s="185">
        <f t="shared" si="27"/>
        <v>0</v>
      </c>
      <c r="AJ26" s="13"/>
      <c r="AK26" s="19">
        <f t="shared" si="28"/>
        <v>2035</v>
      </c>
      <c r="AL26" s="232"/>
      <c r="AM26" s="189">
        <v>2554</v>
      </c>
      <c r="AN26" s="190">
        <v>2100</v>
      </c>
      <c r="AO26" s="14"/>
      <c r="AP26" s="15">
        <f t="shared" si="15"/>
        <v>2035</v>
      </c>
      <c r="AQ26" s="29">
        <f t="shared" si="0"/>
        <v>0</v>
      </c>
      <c r="AR26" s="14"/>
      <c r="AS26" s="54">
        <f t="shared" si="16"/>
        <v>2035</v>
      </c>
      <c r="AT26" s="29">
        <f t="shared" si="30"/>
        <v>0</v>
      </c>
      <c r="AU26" s="29">
        <f t="shared" si="31"/>
        <v>0</v>
      </c>
      <c r="AV26" s="29">
        <f t="shared" si="32"/>
        <v>0</v>
      </c>
      <c r="AW26" s="29">
        <f>SUM($M$9:$M25)</f>
        <v>0</v>
      </c>
      <c r="AX26" s="29">
        <f>SUM($M$9:$M25)</f>
        <v>0</v>
      </c>
      <c r="AY26" s="29">
        <f>SUM($M$9:$M25)</f>
        <v>0</v>
      </c>
      <c r="AZ26" s="29">
        <f>SUM($M$9:$M25)</f>
        <v>0</v>
      </c>
      <c r="BA26" s="29">
        <f>SUM($M$9:$M25)</f>
        <v>0</v>
      </c>
      <c r="BB26" s="29">
        <f>SUM($M$9:$M25)</f>
        <v>0</v>
      </c>
      <c r="BC26" s="14"/>
      <c r="BD26" s="15">
        <f t="shared" si="17"/>
        <v>2035</v>
      </c>
      <c r="BE26" s="29">
        <f t="shared" si="18"/>
        <v>0</v>
      </c>
      <c r="BF26" s="14"/>
      <c r="BG26" s="15">
        <f t="shared" si="19"/>
        <v>2035</v>
      </c>
      <c r="BH26" s="29">
        <f t="shared" si="33"/>
        <v>0</v>
      </c>
      <c r="BI26" s="29">
        <f>SUM($O$9:O25)</f>
        <v>0</v>
      </c>
      <c r="BY26" s="193"/>
      <c r="BZ26" s="193"/>
    </row>
    <row r="27" spans="1:78" s="14" customFormat="1" ht="12.75" customHeight="1" x14ac:dyDescent="0.2">
      <c r="A27" s="193" t="b">
        <f>IF(B26+1&lt;INDEX('Step Analysis'!$B$9:$B$51, MATCH(TRUE, INDEX('Step Analysis'!$C$9:$C$51=0,), 0))+100, TRUE, FALSE)</f>
        <v>1</v>
      </c>
      <c r="B27" s="41">
        <f t="shared" si="20"/>
        <v>2036</v>
      </c>
      <c r="C27" s="219">
        <f>IF(B27&gt;MAX('10 YEAR PROJECTION'!$Y$4:$AN$4),
    0,
    IF(INDEX('10 YEAR PROJECTION'!$X$5:$AN$9, MATCH($I$1, '10 YEAR PROJECTION'!$X$5:$X$9, 0), MATCH(B27, '10 YEAR PROJECTION'!$X$4:$AN$4, 0)) &gt; 0,
        INDEX('10 YEAR PROJECTION'!$X$5:$AN$9, MATCH($I$1, '10 YEAR PROJECTION'!$X$5:$X$9, 0), MATCH(B27, '10 YEAR PROJECTION'!$X$4:$AN$4, 0))/1000000,
        0)
    )</f>
        <v>0</v>
      </c>
      <c r="D27" s="219">
        <f>IF(A27, IF(B27&gt;MAX('10 YEAR PROJECTION'!$Y$12:$AN$12),
    D26,
    IF(INDEX('10 YEAR PROJECTION'!$X$13:$AN$17, MATCH($I$1, '10 YEAR PROJECTION'!$X$13:$X$17, 0), MATCH(B27, '10 YEAR PROJECTION'!$X$12:$AN$12, 0)) &gt; 0,
        INDEX('10 YEAR PROJECTION'!$X$13:$AN$17, MATCH($I$1, '10 YEAR PROJECTION'!$X$13:$X$17, 0), MATCH(B27, '10 YEAR PROJECTION'!$X$12:$AN$12, 0))/1000000,
        0)
    ), 0)</f>
        <v>1.6047739052097945</v>
      </c>
      <c r="E27" s="220">
        <f t="shared" si="1"/>
        <v>0.65700000000000003</v>
      </c>
      <c r="F27" s="220">
        <f t="shared" si="2"/>
        <v>0</v>
      </c>
      <c r="G27" s="221">
        <f t="shared" si="3"/>
        <v>2.7320201520442247</v>
      </c>
      <c r="H27" s="222">
        <f t="shared" si="4"/>
        <v>1.3309614506036962</v>
      </c>
      <c r="I27" s="220">
        <f t="shared" si="5"/>
        <v>0</v>
      </c>
      <c r="J27" s="221">
        <f t="shared" si="6"/>
        <v>2.7320201520442247</v>
      </c>
      <c r="K27" s="222">
        <f t="shared" si="7"/>
        <v>1.3309614506036962</v>
      </c>
      <c r="L27" s="220">
        <f t="shared" si="8"/>
        <v>0</v>
      </c>
      <c r="M27" s="223">
        <f t="shared" si="9"/>
        <v>0</v>
      </c>
      <c r="N27" s="223">
        <f t="shared" si="10"/>
        <v>0</v>
      </c>
      <c r="O27" s="220">
        <f t="shared" si="21"/>
        <v>0</v>
      </c>
      <c r="P27" s="221">
        <f t="shared" si="11"/>
        <v>0</v>
      </c>
      <c r="Q27" s="221">
        <f t="shared" si="12"/>
        <v>4.0629816026479206</v>
      </c>
      <c r="R27" s="229">
        <f t="shared" si="22"/>
        <v>242.26385256912727</v>
      </c>
      <c r="S27" s="158">
        <f>IF(A27,
    IF(NOT(C27=0),
        IF(B27&lt;2020,
             INDEX(MP_new!$A$4:$J$9, INDEX('Cost Analysis Input'!$B$2:$D$7, IF(MATCH(B27, 'Cost Analysis Input'!$C$2:$C$7, 1)&gt;$I$1, $I$1, MATCH(B27, 'Cost Analysis Input'!$C$2:$C$7, 1)), 3)+1, 7),
             INDEX(MP_new!$A$4:$J$9, INDEX('Cost Analysis Input'!$B$2:$D$7, IF(MATCH(B27, 'Cost Analysis Input'!$C$2:$C$7, 1)&gt;$I$1, $I$1, MATCH(B27, 'Cost Analysis Input'!$C$2:$C$7, 1)), 3)+1, 7)-5000),
        INDEX(MP_new!$A$4:$J$9, $I$1+1, 7)),
    0)</f>
        <v>59692.434433137103</v>
      </c>
      <c r="T27" s="157">
        <f>IF(A27, IF(EXACT($S$5, "Yes"),
    IF(C27=0,
        T26,
        INDEX(MP_new!$A$5:$J$9, INDEX('Cost Analysis Input'!$B$3:$D$7, MATCH(B27, 'Cost Analysis Input'!$B$3:$B$7, 1), 3), 10)),
    0), 0)</f>
        <v>9000</v>
      </c>
      <c r="U27" s="1">
        <f>IF(A27, (MP_new!$G$4-S27)+T27, 0)</f>
        <v>13926.620720270636</v>
      </c>
      <c r="V27" s="1">
        <f t="shared" si="13"/>
        <v>2236</v>
      </c>
      <c r="W27" s="223">
        <f t="shared" si="14"/>
        <v>31.139923930525143</v>
      </c>
      <c r="X27" s="220">
        <f t="shared" si="23"/>
        <v>356.98667766449893</v>
      </c>
      <c r="Y27" s="220">
        <f t="shared" si="24"/>
        <v>27.076942327877223</v>
      </c>
      <c r="Z27" s="220">
        <f t="shared" si="25"/>
        <v>114.72282509537166</v>
      </c>
      <c r="AA27" s="220">
        <f>IF(SUM(AA$9:AA26)&gt;0,0,IF(SUM(X27-R27)&gt;0,B27,0))</f>
        <v>0</v>
      </c>
      <c r="AB27" s="220">
        <f>ABS(Z27)*1000000/SUM(U$9:U27)</f>
        <v>482.08399482721461</v>
      </c>
      <c r="AH27" s="17">
        <f t="shared" si="26"/>
        <v>2036</v>
      </c>
      <c r="AI27" s="186">
        <f t="shared" si="27"/>
        <v>0</v>
      </c>
      <c r="AJ27" s="184"/>
      <c r="AK27" s="17">
        <f t="shared" si="28"/>
        <v>2036</v>
      </c>
      <c r="AL27" s="232"/>
      <c r="AM27" s="187">
        <v>2714</v>
      </c>
      <c r="AN27" s="18">
        <v>2236</v>
      </c>
      <c r="AP27" s="5">
        <f t="shared" si="15"/>
        <v>2036</v>
      </c>
      <c r="AQ27" s="28">
        <f t="shared" si="0"/>
        <v>0</v>
      </c>
      <c r="AS27" s="57">
        <f t="shared" si="16"/>
        <v>2036</v>
      </c>
      <c r="AT27" s="28">
        <f t="shared" si="30"/>
        <v>0</v>
      </c>
      <c r="AU27" s="28">
        <f t="shared" si="31"/>
        <v>0</v>
      </c>
      <c r="AV27" s="28">
        <f t="shared" si="32"/>
        <v>0</v>
      </c>
      <c r="AW27" s="28">
        <f>SUM($M$9:$M26)</f>
        <v>0</v>
      </c>
      <c r="AX27" s="28">
        <f>SUM($M$9:$M26)</f>
        <v>0</v>
      </c>
      <c r="AY27" s="28">
        <f>SUM($M$9:$M26)</f>
        <v>0</v>
      </c>
      <c r="AZ27" s="28">
        <f>SUM($M$9:$M26)</f>
        <v>0</v>
      </c>
      <c r="BA27" s="28">
        <f>SUM($M$9:$M26)</f>
        <v>0</v>
      </c>
      <c r="BB27" s="28">
        <f>SUM($M$9:$M26)</f>
        <v>0</v>
      </c>
      <c r="BD27" s="5">
        <f t="shared" si="17"/>
        <v>2036</v>
      </c>
      <c r="BE27" s="28">
        <f t="shared" si="18"/>
        <v>0</v>
      </c>
      <c r="BF27" s="193"/>
      <c r="BG27" s="5">
        <f t="shared" si="19"/>
        <v>2036</v>
      </c>
      <c r="BH27" s="28">
        <f t="shared" si="33"/>
        <v>0</v>
      </c>
      <c r="BI27" s="28">
        <f>SUM($O$9:O26)</f>
        <v>0</v>
      </c>
    </row>
    <row r="28" spans="1:78" x14ac:dyDescent="0.25">
      <c r="A28" s="193" t="b">
        <f>IF(B27+1&lt;INDEX('Step Analysis'!$B$9:$B$51, MATCH(TRUE, INDEX('Step Analysis'!$C$9:$C$51=0,), 0))+100, TRUE, FALSE)</f>
        <v>1</v>
      </c>
      <c r="B28" s="40">
        <f t="shared" si="20"/>
        <v>2037</v>
      </c>
      <c r="C28" s="219">
        <f>IF(B28&gt;MAX('10 YEAR PROJECTION'!$Y$4:$AN$4),
    0,
    IF(INDEX('10 YEAR PROJECTION'!$X$5:$AN$9, MATCH($I$1, '10 YEAR PROJECTION'!$X$5:$X$9, 0), MATCH(B28, '10 YEAR PROJECTION'!$X$4:$AN$4, 0)) &gt; 0,
        INDEX('10 YEAR PROJECTION'!$X$5:$AN$9, MATCH($I$1, '10 YEAR PROJECTION'!$X$5:$X$9, 0), MATCH(B28, '10 YEAR PROJECTION'!$X$4:$AN$4, 0))/1000000,
        0)
    )</f>
        <v>0</v>
      </c>
      <c r="D28" s="219">
        <f>IF(A28, IF(B28&gt;MAX('10 YEAR PROJECTION'!$Y$12:$AN$12),
    D27,
    IF(INDEX('10 YEAR PROJECTION'!$X$13:$AN$17, MATCH($I$1, '10 YEAR PROJECTION'!$X$13:$X$17, 0), MATCH(B28, '10 YEAR PROJECTION'!$X$12:$AN$12, 0)) &gt; 0,
        INDEX('10 YEAR PROJECTION'!$X$13:$AN$17, MATCH($I$1, '10 YEAR PROJECTION'!$X$13:$X$17, 0), MATCH(B28, '10 YEAR PROJECTION'!$X$12:$AN$12, 0))/1000000,
        0)
    ), 0)</f>
        <v>1.6047739052097945</v>
      </c>
      <c r="E28" s="220">
        <f t="shared" si="1"/>
        <v>0.65700000000000003</v>
      </c>
      <c r="F28" s="220">
        <f t="shared" si="2"/>
        <v>0</v>
      </c>
      <c r="G28" s="221">
        <f t="shared" si="3"/>
        <v>2.8139807566055515</v>
      </c>
      <c r="H28" s="222">
        <f t="shared" si="4"/>
        <v>1.384199908627844</v>
      </c>
      <c r="I28" s="220">
        <f t="shared" si="5"/>
        <v>0</v>
      </c>
      <c r="J28" s="221">
        <f t="shared" si="6"/>
        <v>2.8139807566055515</v>
      </c>
      <c r="K28" s="222">
        <f t="shared" si="7"/>
        <v>1.384199908627844</v>
      </c>
      <c r="L28" s="220">
        <f t="shared" si="8"/>
        <v>0</v>
      </c>
      <c r="M28" s="223">
        <f t="shared" si="9"/>
        <v>0</v>
      </c>
      <c r="N28" s="223">
        <f t="shared" si="10"/>
        <v>0</v>
      </c>
      <c r="O28" s="227">
        <f t="shared" si="21"/>
        <v>0</v>
      </c>
      <c r="P28" s="228">
        <f t="shared" si="11"/>
        <v>0</v>
      </c>
      <c r="Q28" s="228">
        <f t="shared" si="12"/>
        <v>4.1981806652333953</v>
      </c>
      <c r="R28" s="229">
        <f t="shared" si="22"/>
        <v>246.46203323436066</v>
      </c>
      <c r="S28" s="158">
        <f>IF(A28,
    IF(NOT(C28=0),
        IF(B28&lt;2020,
             INDEX(MP_new!$A$4:$J$9, INDEX('Cost Analysis Input'!$B$2:$D$7, IF(MATCH(B28, 'Cost Analysis Input'!$C$2:$C$7, 1)&gt;$I$1, $I$1, MATCH(B28, 'Cost Analysis Input'!$C$2:$C$7, 1)), 3)+1, 7),
             INDEX(MP_new!$A$4:$J$9, INDEX('Cost Analysis Input'!$B$2:$D$7, IF(MATCH(B28, 'Cost Analysis Input'!$C$2:$C$7, 1)&gt;$I$1, $I$1, MATCH(B28, 'Cost Analysis Input'!$C$2:$C$7, 1)), 3)+1, 7)-5000),
        INDEX(MP_new!$A$4:$J$9, $I$1+1, 7)),
    0)</f>
        <v>59692.434433137103</v>
      </c>
      <c r="T28" s="157">
        <f>IF(A28, IF(EXACT($S$5, "Yes"),
    IF(C28=0,
        T27,
        INDEX(MP_new!$A$5:$J$9, INDEX('Cost Analysis Input'!$B$3:$D$7, MATCH(B28, 'Cost Analysis Input'!$B$3:$B$7, 1), 3), 10)),
    0), 0)</f>
        <v>9000</v>
      </c>
      <c r="U28" s="1">
        <f>IF(A28, (MP_new!$G$4-S28)+T28, 0)</f>
        <v>13926.620720270636</v>
      </c>
      <c r="V28" s="1">
        <f t="shared" si="13"/>
        <v>2305</v>
      </c>
      <c r="W28" s="230">
        <f t="shared" si="14"/>
        <v>32.10086076022381</v>
      </c>
      <c r="X28" s="227">
        <f t="shared" si="23"/>
        <v>389.08753842472277</v>
      </c>
      <c r="Y28" s="227">
        <f t="shared" si="24"/>
        <v>27.902680094990416</v>
      </c>
      <c r="Z28" s="227">
        <f t="shared" si="25"/>
        <v>142.62550519036211</v>
      </c>
      <c r="AA28" s="227">
        <f>IF(SUM(AA$9:AA27)&gt;0,0,IF(SUM(X28-R28)&gt;0,B28,0))</f>
        <v>0</v>
      </c>
      <c r="AB28" s="227">
        <f>ABS(Z28)*1000000/SUM(U$9:U28)</f>
        <v>566.20045817157325</v>
      </c>
      <c r="AH28" s="19">
        <f t="shared" si="26"/>
        <v>2037</v>
      </c>
      <c r="AI28" s="185">
        <f t="shared" si="27"/>
        <v>0</v>
      </c>
      <c r="AJ28" s="13"/>
      <c r="AK28" s="19">
        <f t="shared" si="28"/>
        <v>2037</v>
      </c>
      <c r="AL28" s="232"/>
      <c r="AM28" s="189">
        <v>2807</v>
      </c>
      <c r="AN28" s="190">
        <v>2305</v>
      </c>
      <c r="AO28" s="14"/>
      <c r="AP28" s="15">
        <f t="shared" si="15"/>
        <v>2037</v>
      </c>
      <c r="AQ28" s="29">
        <f t="shared" si="0"/>
        <v>0</v>
      </c>
      <c r="AR28" s="14"/>
      <c r="AS28" s="54">
        <f t="shared" si="16"/>
        <v>2037</v>
      </c>
      <c r="AT28" s="29">
        <f t="shared" si="30"/>
        <v>0</v>
      </c>
      <c r="AU28" s="29">
        <f t="shared" si="31"/>
        <v>0</v>
      </c>
      <c r="AV28" s="29">
        <f t="shared" si="32"/>
        <v>0</v>
      </c>
      <c r="AW28" s="29">
        <f t="shared" ref="AW28:AW50" si="34">SUM(M10:M27)</f>
        <v>0</v>
      </c>
      <c r="AX28" s="29">
        <f>SUM($M$9:$M27)</f>
        <v>0</v>
      </c>
      <c r="AY28" s="29">
        <f>SUM($M$9:$M27)</f>
        <v>0</v>
      </c>
      <c r="AZ28" s="29">
        <f>SUM($M$9:$M27)</f>
        <v>0</v>
      </c>
      <c r="BA28" s="29">
        <f>SUM($M$9:$M27)</f>
        <v>0</v>
      </c>
      <c r="BB28" s="29">
        <f>SUM($M$9:$M27)</f>
        <v>0</v>
      </c>
      <c r="BC28" s="14"/>
      <c r="BD28" s="15">
        <f t="shared" si="17"/>
        <v>2037</v>
      </c>
      <c r="BE28" s="29">
        <f t="shared" si="18"/>
        <v>0</v>
      </c>
      <c r="BF28" s="14"/>
      <c r="BG28" s="15">
        <f t="shared" si="19"/>
        <v>2037</v>
      </c>
      <c r="BH28" s="29">
        <f t="shared" si="33"/>
        <v>0</v>
      </c>
      <c r="BI28" s="29">
        <f>SUM($O$9:O27)</f>
        <v>0</v>
      </c>
      <c r="BY28" s="193"/>
      <c r="BZ28" s="193"/>
    </row>
    <row r="29" spans="1:78" s="14" customFormat="1" ht="12.75" customHeight="1" x14ac:dyDescent="0.2">
      <c r="A29" s="193" t="b">
        <f>IF(B28+1&lt;INDEX('Step Analysis'!$B$9:$B$51, MATCH(TRUE, INDEX('Step Analysis'!$C$9:$C$51=0,), 0))+100, TRUE, FALSE)</f>
        <v>1</v>
      </c>
      <c r="B29" s="41">
        <f t="shared" si="20"/>
        <v>2038</v>
      </c>
      <c r="C29" s="219">
        <f>IF(B29&gt;MAX('10 YEAR PROJECTION'!$Y$4:$AN$4),
    0,
    IF(INDEX('10 YEAR PROJECTION'!$X$5:$AN$9, MATCH($I$1, '10 YEAR PROJECTION'!$X$5:$X$9, 0), MATCH(B29, '10 YEAR PROJECTION'!$X$4:$AN$4, 0)) &gt; 0,
        INDEX('10 YEAR PROJECTION'!$X$5:$AN$9, MATCH($I$1, '10 YEAR PROJECTION'!$X$5:$X$9, 0), MATCH(B29, '10 YEAR PROJECTION'!$X$4:$AN$4, 0))/1000000,
        0)
    )</f>
        <v>0</v>
      </c>
      <c r="D29" s="219">
        <f>IF(A29, IF(B29&gt;MAX('10 YEAR PROJECTION'!$Y$12:$AN$12),
    D28,
    IF(INDEX('10 YEAR PROJECTION'!$X$13:$AN$17, MATCH($I$1, '10 YEAR PROJECTION'!$X$13:$X$17, 0), MATCH(B29, '10 YEAR PROJECTION'!$X$12:$AN$12, 0)) &gt; 0,
        INDEX('10 YEAR PROJECTION'!$X$13:$AN$17, MATCH($I$1, '10 YEAR PROJECTION'!$X$13:$X$17, 0), MATCH(B29, '10 YEAR PROJECTION'!$X$12:$AN$12, 0))/1000000,
        0)
    ), 0)</f>
        <v>1.6047739052097945</v>
      </c>
      <c r="E29" s="220">
        <f t="shared" si="1"/>
        <v>0.65700000000000003</v>
      </c>
      <c r="F29" s="220">
        <f t="shared" si="2"/>
        <v>0</v>
      </c>
      <c r="G29" s="221">
        <f t="shared" si="3"/>
        <v>2.8984001793037177</v>
      </c>
      <c r="H29" s="222">
        <f t="shared" si="4"/>
        <v>1.4395679049729577</v>
      </c>
      <c r="I29" s="220">
        <f t="shared" si="5"/>
        <v>0</v>
      </c>
      <c r="J29" s="221">
        <f t="shared" si="6"/>
        <v>2.8984001793037177</v>
      </c>
      <c r="K29" s="222">
        <f t="shared" si="7"/>
        <v>1.4395679049729577</v>
      </c>
      <c r="L29" s="220">
        <f t="shared" si="8"/>
        <v>0</v>
      </c>
      <c r="M29" s="223">
        <f t="shared" si="9"/>
        <v>0</v>
      </c>
      <c r="N29" s="223">
        <f t="shared" si="10"/>
        <v>0</v>
      </c>
      <c r="O29" s="220">
        <f t="shared" si="21"/>
        <v>0</v>
      </c>
      <c r="P29" s="221">
        <f t="shared" si="11"/>
        <v>0</v>
      </c>
      <c r="Q29" s="221">
        <f t="shared" si="12"/>
        <v>4.3379680842766755</v>
      </c>
      <c r="R29" s="229">
        <f t="shared" si="22"/>
        <v>250.80000131863733</v>
      </c>
      <c r="S29" s="158">
        <f>IF(A29,
    IF(NOT(C29=0),
        IF(B29&lt;2020,
             INDEX(MP_new!$A$4:$J$9, INDEX('Cost Analysis Input'!$B$2:$D$7, IF(MATCH(B29, 'Cost Analysis Input'!$C$2:$C$7, 1)&gt;$I$1, $I$1, MATCH(B29, 'Cost Analysis Input'!$C$2:$C$7, 1)), 3)+1, 7),
             INDEX(MP_new!$A$4:$J$9, INDEX('Cost Analysis Input'!$B$2:$D$7, IF(MATCH(B29, 'Cost Analysis Input'!$C$2:$C$7, 1)&gt;$I$1, $I$1, MATCH(B29, 'Cost Analysis Input'!$C$2:$C$7, 1)), 3)+1, 7)-5000),
        INDEX(MP_new!$A$4:$J$9, $I$1+1, 7)),
    0)</f>
        <v>59692.434433137103</v>
      </c>
      <c r="T29" s="157">
        <f>IF(A29, IF(EXACT($S$5, "Yes"),
    IF(C29=0,
        T28,
        INDEX(MP_new!$A$5:$J$9, INDEX('Cost Analysis Input'!$B$3:$D$7, MATCH(B29, 'Cost Analysis Input'!$B$3:$B$7, 1), 3), 10)),
    0), 0)</f>
        <v>9000</v>
      </c>
      <c r="U29" s="1">
        <f>IF(A29, (MP_new!$G$4-S29)+T29, 0)</f>
        <v>13926.620720270636</v>
      </c>
      <c r="V29" s="1">
        <f t="shared" si="13"/>
        <v>2308</v>
      </c>
      <c r="W29" s="223">
        <f t="shared" si="14"/>
        <v>32.142640622384626</v>
      </c>
      <c r="X29" s="220">
        <f t="shared" si="23"/>
        <v>421.23017904710741</v>
      </c>
      <c r="Y29" s="220">
        <f t="shared" si="24"/>
        <v>27.804672538107951</v>
      </c>
      <c r="Z29" s="220">
        <f t="shared" si="25"/>
        <v>170.43017772847008</v>
      </c>
      <c r="AA29" s="220">
        <f>IF(SUM(AA$9:AA28)&gt;0,0,IF(SUM(X29-R29)&gt;0,B29,0))</f>
        <v>0</v>
      </c>
      <c r="AB29" s="220">
        <f>ABS(Z29)*1000000/SUM(U$9:U29)</f>
        <v>641.13450765006019</v>
      </c>
      <c r="AH29" s="17">
        <f t="shared" si="26"/>
        <v>2038</v>
      </c>
      <c r="AI29" s="186">
        <f t="shared" si="27"/>
        <v>0</v>
      </c>
      <c r="AJ29" s="184"/>
      <c r="AK29" s="17">
        <f t="shared" si="28"/>
        <v>2038</v>
      </c>
      <c r="AL29" s="232"/>
      <c r="AM29" s="187">
        <v>2835</v>
      </c>
      <c r="AN29" s="18">
        <v>2308</v>
      </c>
      <c r="AP29" s="5">
        <f t="shared" si="15"/>
        <v>2038</v>
      </c>
      <c r="AQ29" s="28">
        <f t="shared" si="0"/>
        <v>0</v>
      </c>
      <c r="AS29" s="57">
        <f t="shared" si="16"/>
        <v>2038</v>
      </c>
      <c r="AT29" s="28">
        <f t="shared" si="30"/>
        <v>0</v>
      </c>
      <c r="AU29" s="28">
        <f t="shared" si="31"/>
        <v>0</v>
      </c>
      <c r="AV29" s="28">
        <f t="shared" si="32"/>
        <v>0</v>
      </c>
      <c r="AW29" s="28">
        <f t="shared" si="34"/>
        <v>0</v>
      </c>
      <c r="AX29" s="28">
        <f>SUM($M$9:$M28)</f>
        <v>0</v>
      </c>
      <c r="AY29" s="28">
        <f>SUM($M$9:$M28)</f>
        <v>0</v>
      </c>
      <c r="AZ29" s="28">
        <f>SUM($M$9:$M28)</f>
        <v>0</v>
      </c>
      <c r="BA29" s="28">
        <f>SUM($M$9:$M28)</f>
        <v>0</v>
      </c>
      <c r="BB29" s="28">
        <f>SUM($M$9:$M28)</f>
        <v>0</v>
      </c>
      <c r="BD29" s="5">
        <f t="shared" si="17"/>
        <v>2038</v>
      </c>
      <c r="BE29" s="28">
        <f t="shared" si="18"/>
        <v>0</v>
      </c>
      <c r="BF29" s="193"/>
      <c r="BG29" s="5">
        <f t="shared" si="19"/>
        <v>2038</v>
      </c>
      <c r="BH29" s="28">
        <f t="shared" si="33"/>
        <v>0</v>
      </c>
      <c r="BI29" s="28">
        <f>SUM($O$9:O28)</f>
        <v>0</v>
      </c>
    </row>
    <row r="30" spans="1:78" x14ac:dyDescent="0.25">
      <c r="A30" s="193" t="b">
        <f>IF(B29+1&lt;INDEX('Step Analysis'!$B$9:$B$51, MATCH(TRUE, INDEX('Step Analysis'!$C$9:$C$51=0,), 0))+100, TRUE, FALSE)</f>
        <v>1</v>
      </c>
      <c r="B30" s="40">
        <f t="shared" si="20"/>
        <v>2039</v>
      </c>
      <c r="C30" s="219">
        <f>IF(B30&gt;MAX('10 YEAR PROJECTION'!$Y$4:$AN$4),
    0,
    IF(INDEX('10 YEAR PROJECTION'!$X$5:$AN$9, MATCH($I$1, '10 YEAR PROJECTION'!$X$5:$X$9, 0), MATCH(B30, '10 YEAR PROJECTION'!$X$4:$AN$4, 0)) &gt; 0,
        INDEX('10 YEAR PROJECTION'!$X$5:$AN$9, MATCH($I$1, '10 YEAR PROJECTION'!$X$5:$X$9, 0), MATCH(B30, '10 YEAR PROJECTION'!$X$4:$AN$4, 0))/1000000,
        0)
    )</f>
        <v>0</v>
      </c>
      <c r="D30" s="219">
        <f>IF(A30, IF(B30&gt;MAX('10 YEAR PROJECTION'!$Y$12:$AN$12),
    D29,
    IF(INDEX('10 YEAR PROJECTION'!$X$13:$AN$17, MATCH($I$1, '10 YEAR PROJECTION'!$X$13:$X$17, 0), MATCH(B30, '10 YEAR PROJECTION'!$X$12:$AN$12, 0)) &gt; 0,
        INDEX('10 YEAR PROJECTION'!$X$13:$AN$17, MATCH($I$1, '10 YEAR PROJECTION'!$X$13:$X$17, 0), MATCH(B30, '10 YEAR PROJECTION'!$X$12:$AN$12, 0))/1000000,
        0)
    ), 0)</f>
        <v>1.6047739052097945</v>
      </c>
      <c r="E30" s="220">
        <f t="shared" si="1"/>
        <v>0.65700000000000003</v>
      </c>
      <c r="F30" s="220">
        <f t="shared" si="2"/>
        <v>0</v>
      </c>
      <c r="G30" s="221">
        <f t="shared" si="3"/>
        <v>2.9853521846828288</v>
      </c>
      <c r="H30" s="222">
        <f t="shared" si="4"/>
        <v>1.4971506211718766</v>
      </c>
      <c r="I30" s="220">
        <f t="shared" si="5"/>
        <v>0</v>
      </c>
      <c r="J30" s="221">
        <f t="shared" si="6"/>
        <v>2.9853521846828288</v>
      </c>
      <c r="K30" s="222">
        <f t="shared" si="7"/>
        <v>1.4971506211718766</v>
      </c>
      <c r="L30" s="220">
        <f t="shared" si="8"/>
        <v>0</v>
      </c>
      <c r="M30" s="223">
        <f t="shared" si="9"/>
        <v>0</v>
      </c>
      <c r="N30" s="223">
        <f t="shared" si="10"/>
        <v>0</v>
      </c>
      <c r="O30" s="227">
        <f t="shared" si="21"/>
        <v>0</v>
      </c>
      <c r="P30" s="228">
        <f t="shared" si="11"/>
        <v>0</v>
      </c>
      <c r="Q30" s="228">
        <f t="shared" si="12"/>
        <v>4.4825028058547058</v>
      </c>
      <c r="R30" s="229">
        <f t="shared" si="22"/>
        <v>255.28250412449202</v>
      </c>
      <c r="S30" s="158">
        <f>IF(A30,
    IF(NOT(C30=0),
        IF(B30&lt;2020,
             INDEX(MP_new!$A$4:$J$9, INDEX('Cost Analysis Input'!$B$2:$D$7, IF(MATCH(B30, 'Cost Analysis Input'!$C$2:$C$7, 1)&gt;$I$1, $I$1, MATCH(B30, 'Cost Analysis Input'!$C$2:$C$7, 1)), 3)+1, 7),
             INDEX(MP_new!$A$4:$J$9, INDEX('Cost Analysis Input'!$B$2:$D$7, IF(MATCH(B30, 'Cost Analysis Input'!$C$2:$C$7, 1)&gt;$I$1, $I$1, MATCH(B30, 'Cost Analysis Input'!$C$2:$C$7, 1)), 3)+1, 7)-5000),
        INDEX(MP_new!$A$4:$J$9, $I$1+1, 7)),
    0)</f>
        <v>59692.434433137103</v>
      </c>
      <c r="T30" s="157">
        <f>IF(A30, IF(EXACT($S$5, "Yes"),
    IF(C30=0,
        T29,
        INDEX(MP_new!$A$5:$J$9, INDEX('Cost Analysis Input'!$B$3:$D$7, MATCH(B30, 'Cost Analysis Input'!$B$3:$B$7, 1), 3), 10)),
    0), 0)</f>
        <v>9000</v>
      </c>
      <c r="U30" s="1">
        <f>IF(A30, (MP_new!$G$4-S30)+T30, 0)</f>
        <v>13926.620720270636</v>
      </c>
      <c r="V30" s="1">
        <f t="shared" si="13"/>
        <v>2423.4</v>
      </c>
      <c r="W30" s="230">
        <f t="shared" si="14"/>
        <v>33.749772653503861</v>
      </c>
      <c r="X30" s="227">
        <f t="shared" si="23"/>
        <v>454.97995170061125</v>
      </c>
      <c r="Y30" s="227">
        <f t="shared" si="24"/>
        <v>29.267269847649153</v>
      </c>
      <c r="Z30" s="227">
        <f t="shared" si="25"/>
        <v>199.69744757611923</v>
      </c>
      <c r="AA30" s="227">
        <f>IF(SUM(AA$9:AA29)&gt;0,0,IF(SUM(X30-R30)&gt;0,B30,0))</f>
        <v>0</v>
      </c>
      <c r="AB30" s="227">
        <f>ABS(Z30)*1000000/SUM(U$9:U30)</f>
        <v>713.83601677211641</v>
      </c>
      <c r="AH30" s="19">
        <f t="shared" si="26"/>
        <v>2039</v>
      </c>
      <c r="AI30" s="185">
        <f t="shared" si="27"/>
        <v>0</v>
      </c>
      <c r="AJ30" s="13"/>
      <c r="AK30" s="19">
        <f t="shared" si="28"/>
        <v>2039</v>
      </c>
      <c r="AL30" s="232">
        <f t="shared" ref="AL30:AL51" si="35">$R$5</f>
        <v>0.05</v>
      </c>
      <c r="AM30" s="189">
        <f t="shared" ref="AM30:AM51" si="36">AM29*(1+AL30)</f>
        <v>2976.75</v>
      </c>
      <c r="AN30" s="190">
        <f t="shared" ref="AN30:AN51" si="37">AN29*(1+AL30)</f>
        <v>2423.4</v>
      </c>
      <c r="AO30" s="14"/>
      <c r="AP30" s="15">
        <f t="shared" si="15"/>
        <v>2039</v>
      </c>
      <c r="AQ30" s="29">
        <f t="shared" si="0"/>
        <v>0</v>
      </c>
      <c r="AR30" s="14"/>
      <c r="AS30" s="54">
        <f t="shared" si="16"/>
        <v>2039</v>
      </c>
      <c r="AT30" s="29">
        <f t="shared" si="30"/>
        <v>0</v>
      </c>
      <c r="AU30" s="29">
        <f t="shared" si="31"/>
        <v>0</v>
      </c>
      <c r="AV30" s="29">
        <f t="shared" si="32"/>
        <v>0</v>
      </c>
      <c r="AW30" s="29">
        <f t="shared" si="34"/>
        <v>0</v>
      </c>
      <c r="AX30" s="29">
        <f t="shared" ref="AX30:AX50" si="38">SUM(M10:M29)</f>
        <v>0</v>
      </c>
      <c r="AY30" s="29">
        <f>SUM($M$9:$M29)</f>
        <v>0</v>
      </c>
      <c r="AZ30" s="29">
        <f>SUM($M$9:$M29)</f>
        <v>0</v>
      </c>
      <c r="BA30" s="29">
        <f>SUM($M$9:$M29)</f>
        <v>0</v>
      </c>
      <c r="BB30" s="29">
        <f>SUM($M$9:$M29)</f>
        <v>0</v>
      </c>
      <c r="BC30" s="14"/>
      <c r="BD30" s="15">
        <f t="shared" si="17"/>
        <v>2039</v>
      </c>
      <c r="BE30" s="29">
        <f t="shared" si="18"/>
        <v>0</v>
      </c>
      <c r="BF30" s="14"/>
      <c r="BG30" s="15">
        <f t="shared" si="19"/>
        <v>2039</v>
      </c>
      <c r="BH30" s="29">
        <f t="shared" si="33"/>
        <v>0</v>
      </c>
      <c r="BI30" s="29">
        <f>SUM($O$9:O29)</f>
        <v>0</v>
      </c>
      <c r="BY30" s="193"/>
      <c r="BZ30" s="193"/>
    </row>
    <row r="31" spans="1:78" s="14" customFormat="1" ht="12.75" customHeight="1" x14ac:dyDescent="0.2">
      <c r="A31" s="193" t="b">
        <f>IF(B30+1&lt;INDEX('Step Analysis'!$B$9:$B$51, MATCH(TRUE, INDEX('Step Analysis'!$C$9:$C$51=0,), 0))+100, TRUE, FALSE)</f>
        <v>1</v>
      </c>
      <c r="B31" s="41">
        <f t="shared" si="20"/>
        <v>2040</v>
      </c>
      <c r="C31" s="219">
        <f>IF(B31&gt;MAX('10 YEAR PROJECTION'!$Y$4:$AN$4),
    0,
    IF(INDEX('10 YEAR PROJECTION'!$X$5:$AN$9, MATCH($I$1, '10 YEAR PROJECTION'!$X$5:$X$9, 0), MATCH(B31, '10 YEAR PROJECTION'!$X$4:$AN$4, 0)) &gt; 0,
        INDEX('10 YEAR PROJECTION'!$X$5:$AN$9, MATCH($I$1, '10 YEAR PROJECTION'!$X$5:$X$9, 0), MATCH(B31, '10 YEAR PROJECTION'!$X$4:$AN$4, 0))/1000000,
        0)
    )</f>
        <v>0</v>
      </c>
      <c r="D31" s="219">
        <f>IF(A31, IF(B31&gt;MAX('10 YEAR PROJECTION'!$Y$12:$AN$12),
    D30,
    IF(INDEX('10 YEAR PROJECTION'!$X$13:$AN$17, MATCH($I$1, '10 YEAR PROJECTION'!$X$13:$X$17, 0), MATCH(B31, '10 YEAR PROJECTION'!$X$12:$AN$12, 0)) &gt; 0,
        INDEX('10 YEAR PROJECTION'!$X$13:$AN$17, MATCH($I$1, '10 YEAR PROJECTION'!$X$13:$X$17, 0), MATCH(B31, '10 YEAR PROJECTION'!$X$12:$AN$12, 0))/1000000,
        0)
    ), 0)</f>
        <v>1.6047739052097945</v>
      </c>
      <c r="E31" s="220">
        <f t="shared" si="1"/>
        <v>0.65700000000000003</v>
      </c>
      <c r="F31" s="220">
        <f t="shared" si="2"/>
        <v>0</v>
      </c>
      <c r="G31" s="221">
        <f t="shared" si="3"/>
        <v>3.074912750223314</v>
      </c>
      <c r="H31" s="222">
        <f t="shared" si="4"/>
        <v>1.5570366460187515</v>
      </c>
      <c r="I31" s="220">
        <f t="shared" si="5"/>
        <v>0</v>
      </c>
      <c r="J31" s="221">
        <f t="shared" si="6"/>
        <v>3.074912750223314</v>
      </c>
      <c r="K31" s="222">
        <f t="shared" si="7"/>
        <v>1.5570366460187515</v>
      </c>
      <c r="L31" s="220">
        <f t="shared" si="8"/>
        <v>0</v>
      </c>
      <c r="M31" s="223">
        <f t="shared" si="9"/>
        <v>0</v>
      </c>
      <c r="N31" s="223">
        <f t="shared" si="10"/>
        <v>0</v>
      </c>
      <c r="O31" s="220">
        <f t="shared" si="21"/>
        <v>0</v>
      </c>
      <c r="P31" s="221">
        <f t="shared" si="11"/>
        <v>0</v>
      </c>
      <c r="Q31" s="221">
        <f t="shared" si="12"/>
        <v>4.6319493962420655</v>
      </c>
      <c r="R31" s="229">
        <f t="shared" si="22"/>
        <v>259.91445352073407</v>
      </c>
      <c r="S31" s="158">
        <f>IF(A31,
    IF(NOT(C31=0),
        IF(B31&lt;2020,
             INDEX(MP_new!$A$4:$J$9, INDEX('Cost Analysis Input'!$B$2:$D$7, IF(MATCH(B31, 'Cost Analysis Input'!$C$2:$C$7, 1)&gt;$I$1, $I$1, MATCH(B31, 'Cost Analysis Input'!$C$2:$C$7, 1)), 3)+1, 7),
             INDEX(MP_new!$A$4:$J$9, INDEX('Cost Analysis Input'!$B$2:$D$7, IF(MATCH(B31, 'Cost Analysis Input'!$C$2:$C$7, 1)&gt;$I$1, $I$1, MATCH(B31, 'Cost Analysis Input'!$C$2:$C$7, 1)), 3)+1, 7)-5000),
        INDEX(MP_new!$A$4:$J$9, $I$1+1, 7)),
    0)</f>
        <v>59692.434433137103</v>
      </c>
      <c r="T31" s="157">
        <f>IF(A31, IF(EXACT($S$5, "Yes"),
    IF(C31=0,
        T30,
        INDEX(MP_new!$A$5:$J$9, INDEX('Cost Analysis Input'!$B$3:$D$7, MATCH(B31, 'Cost Analysis Input'!$B$3:$B$7, 1), 3), 10)),
    0), 0)</f>
        <v>9000</v>
      </c>
      <c r="U31" s="1">
        <f>IF(A31, (MP_new!$G$4-S31)+T31, 0)</f>
        <v>13926.620720270636</v>
      </c>
      <c r="V31" s="1">
        <f t="shared" si="13"/>
        <v>2544.5700000000002</v>
      </c>
      <c r="W31" s="223">
        <f t="shared" si="14"/>
        <v>35.437261286179051</v>
      </c>
      <c r="X31" s="220">
        <f t="shared" si="23"/>
        <v>490.41721298679033</v>
      </c>
      <c r="Y31" s="220">
        <f t="shared" si="24"/>
        <v>30.805311889936988</v>
      </c>
      <c r="Z31" s="220">
        <f t="shared" si="25"/>
        <v>230.50275946605626</v>
      </c>
      <c r="AA31" s="220">
        <f>IF(SUM(AA$9:AA30)&gt;0,0,IF(SUM(X31-R31)&gt;0,B31,0))</f>
        <v>0</v>
      </c>
      <c r="AB31" s="220">
        <f>ABS(Z31)*1000000/SUM(U$9:U31)</f>
        <v>784.87948988343112</v>
      </c>
      <c r="AH31" s="17">
        <f t="shared" si="26"/>
        <v>2040</v>
      </c>
      <c r="AI31" s="186">
        <f t="shared" si="27"/>
        <v>0</v>
      </c>
      <c r="AJ31" s="184"/>
      <c r="AK31" s="17">
        <f t="shared" si="28"/>
        <v>2040</v>
      </c>
      <c r="AL31" s="232">
        <f t="shared" si="35"/>
        <v>0.05</v>
      </c>
      <c r="AM31" s="187">
        <f t="shared" si="36"/>
        <v>3125.5875000000001</v>
      </c>
      <c r="AN31" s="18">
        <f t="shared" si="37"/>
        <v>2544.5700000000002</v>
      </c>
      <c r="AP31" s="5">
        <f t="shared" si="15"/>
        <v>2040</v>
      </c>
      <c r="AQ31" s="28">
        <f t="shared" si="0"/>
        <v>0</v>
      </c>
      <c r="AS31" s="57">
        <f t="shared" si="16"/>
        <v>2040</v>
      </c>
      <c r="AT31" s="28">
        <f t="shared" si="30"/>
        <v>0</v>
      </c>
      <c r="AU31" s="28">
        <f t="shared" si="31"/>
        <v>0</v>
      </c>
      <c r="AV31" s="28">
        <f t="shared" si="32"/>
        <v>0</v>
      </c>
      <c r="AW31" s="28">
        <f t="shared" si="34"/>
        <v>0</v>
      </c>
      <c r="AX31" s="28">
        <f t="shared" si="38"/>
        <v>0</v>
      </c>
      <c r="AY31" s="28">
        <f>SUM($M$9:$M30)</f>
        <v>0</v>
      </c>
      <c r="AZ31" s="28">
        <f>SUM($M$9:$M30)</f>
        <v>0</v>
      </c>
      <c r="BA31" s="28">
        <f>SUM($M$9:$M30)</f>
        <v>0</v>
      </c>
      <c r="BB31" s="28">
        <f>SUM($M$9:$M30)</f>
        <v>0</v>
      </c>
      <c r="BD31" s="5">
        <f t="shared" si="17"/>
        <v>2040</v>
      </c>
      <c r="BE31" s="28">
        <f t="shared" si="18"/>
        <v>0</v>
      </c>
      <c r="BF31" s="193"/>
      <c r="BG31" s="5">
        <f t="shared" si="19"/>
        <v>2040</v>
      </c>
      <c r="BH31" s="28">
        <f t="shared" si="33"/>
        <v>0</v>
      </c>
      <c r="BI31" s="28">
        <f>SUM($O$9:O30)</f>
        <v>0</v>
      </c>
    </row>
    <row r="32" spans="1:78" x14ac:dyDescent="0.25">
      <c r="A32" s="193" t="b">
        <f>IF(B31+1&lt;INDEX('Step Analysis'!$B$9:$B$51, MATCH(TRUE, INDEX('Step Analysis'!$C$9:$C$51=0,), 0))+100, TRUE, FALSE)</f>
        <v>1</v>
      </c>
      <c r="B32" s="40">
        <f t="shared" si="20"/>
        <v>2041</v>
      </c>
      <c r="C32" s="219">
        <f>IF(B32&gt;MAX('10 YEAR PROJECTION'!$Y$4:$AN$4),
    0,
    IF(INDEX('10 YEAR PROJECTION'!$X$5:$AN$9, MATCH($I$1, '10 YEAR PROJECTION'!$X$5:$X$9, 0), MATCH(B32, '10 YEAR PROJECTION'!$X$4:$AN$4, 0)) &gt; 0,
        INDEX('10 YEAR PROJECTION'!$X$5:$AN$9, MATCH($I$1, '10 YEAR PROJECTION'!$X$5:$X$9, 0), MATCH(B32, '10 YEAR PROJECTION'!$X$4:$AN$4, 0))/1000000,
        0)
    )</f>
        <v>0</v>
      </c>
      <c r="D32" s="219">
        <f>IF(A32, IF(B32&gt;MAX('10 YEAR PROJECTION'!$Y$12:$AN$12),
    D31,
    IF(INDEX('10 YEAR PROJECTION'!$X$13:$AN$17, MATCH($I$1, '10 YEAR PROJECTION'!$X$13:$X$17, 0), MATCH(B32, '10 YEAR PROJECTION'!$X$12:$AN$12, 0)) &gt; 0,
        INDEX('10 YEAR PROJECTION'!$X$13:$AN$17, MATCH($I$1, '10 YEAR PROJECTION'!$X$13:$X$17, 0), MATCH(B32, '10 YEAR PROJECTION'!$X$12:$AN$12, 0))/1000000,
        0)
    ), 0)</f>
        <v>1.6047739052097945</v>
      </c>
      <c r="E32" s="220">
        <f t="shared" si="1"/>
        <v>0.65700000000000003</v>
      </c>
      <c r="F32" s="220">
        <f t="shared" si="2"/>
        <v>0</v>
      </c>
      <c r="G32" s="221">
        <f t="shared" si="3"/>
        <v>3.1671601327300136</v>
      </c>
      <c r="H32" s="222">
        <f t="shared" si="4"/>
        <v>1.6193181118595015</v>
      </c>
      <c r="I32" s="220">
        <f t="shared" si="5"/>
        <v>0</v>
      </c>
      <c r="J32" s="221">
        <f t="shared" si="6"/>
        <v>3.1671601327300136</v>
      </c>
      <c r="K32" s="222">
        <f t="shared" si="7"/>
        <v>1.6193181118595015</v>
      </c>
      <c r="L32" s="220">
        <f t="shared" si="8"/>
        <v>0</v>
      </c>
      <c r="M32" s="223">
        <f t="shared" si="9"/>
        <v>0</v>
      </c>
      <c r="N32" s="223">
        <f t="shared" si="10"/>
        <v>0</v>
      </c>
      <c r="O32" s="227">
        <f t="shared" si="21"/>
        <v>0</v>
      </c>
      <c r="P32" s="228">
        <f t="shared" si="11"/>
        <v>0</v>
      </c>
      <c r="Q32" s="228">
        <f t="shared" si="12"/>
        <v>4.7864782445895155</v>
      </c>
      <c r="R32" s="229">
        <f t="shared" si="22"/>
        <v>264.70093176532356</v>
      </c>
      <c r="S32" s="158">
        <f>IF(A32,
    IF(NOT(C32=0),
        IF(B32&lt;2020,
             INDEX(MP_new!$A$4:$J$9, INDEX('Cost Analysis Input'!$B$2:$D$7, IF(MATCH(B32, 'Cost Analysis Input'!$C$2:$C$7, 1)&gt;$I$1, $I$1, MATCH(B32, 'Cost Analysis Input'!$C$2:$C$7, 1)), 3)+1, 7),
             INDEX(MP_new!$A$4:$J$9, INDEX('Cost Analysis Input'!$B$2:$D$7, IF(MATCH(B32, 'Cost Analysis Input'!$C$2:$C$7, 1)&gt;$I$1, $I$1, MATCH(B32, 'Cost Analysis Input'!$C$2:$C$7, 1)), 3)+1, 7)-5000),
        INDEX(MP_new!$A$4:$J$9, $I$1+1, 7)),
    0)</f>
        <v>59692.434433137103</v>
      </c>
      <c r="T32" s="157">
        <f>IF(A32, IF(EXACT($S$5, "Yes"),
    IF(C32=0,
        T31,
        INDEX(MP_new!$A$5:$J$9, INDEX('Cost Analysis Input'!$B$3:$D$7, MATCH(B32, 'Cost Analysis Input'!$B$3:$B$7, 1), 3), 10)),
    0), 0)</f>
        <v>9000</v>
      </c>
      <c r="U32" s="1">
        <f>IF(A32, (MP_new!$G$4-S32)+T32, 0)</f>
        <v>13926.620720270636</v>
      </c>
      <c r="V32" s="1">
        <f t="shared" si="13"/>
        <v>2671.7985000000003</v>
      </c>
      <c r="W32" s="230">
        <f t="shared" si="14"/>
        <v>37.209124350488004</v>
      </c>
      <c r="X32" s="227">
        <f t="shared" si="23"/>
        <v>527.6263373372783</v>
      </c>
      <c r="Y32" s="227">
        <f t="shared" si="24"/>
        <v>32.422646105898487</v>
      </c>
      <c r="Z32" s="227">
        <f t="shared" si="25"/>
        <v>262.92540557195474</v>
      </c>
      <c r="AA32" s="227">
        <f>IF(SUM(AA$9:AA31)&gt;0,0,IF(SUM(X32-R32)&gt;0,B32,0))</f>
        <v>0</v>
      </c>
      <c r="AB32" s="227">
        <f>ABS(Z32)*1000000/SUM(U$9:U32)</f>
        <v>854.74789802261944</v>
      </c>
      <c r="AH32" s="19">
        <f t="shared" si="26"/>
        <v>2041</v>
      </c>
      <c r="AI32" s="185">
        <f t="shared" si="27"/>
        <v>0</v>
      </c>
      <c r="AJ32" s="193"/>
      <c r="AK32" s="19">
        <f t="shared" si="28"/>
        <v>2041</v>
      </c>
      <c r="AL32" s="232">
        <f t="shared" si="35"/>
        <v>0.05</v>
      </c>
      <c r="AM32" s="189">
        <f t="shared" si="36"/>
        <v>3281.8668750000002</v>
      </c>
      <c r="AN32" s="190">
        <f t="shared" si="37"/>
        <v>2671.7985000000003</v>
      </c>
      <c r="AO32" s="14"/>
      <c r="AP32" s="15">
        <f t="shared" si="15"/>
        <v>2041</v>
      </c>
      <c r="AQ32" s="29">
        <f t="shared" si="0"/>
        <v>0</v>
      </c>
      <c r="AR32" s="14"/>
      <c r="AS32" s="54">
        <f t="shared" si="16"/>
        <v>2041</v>
      </c>
      <c r="AT32" s="29">
        <f t="shared" si="30"/>
        <v>0</v>
      </c>
      <c r="AU32" s="29">
        <f t="shared" si="31"/>
        <v>0</v>
      </c>
      <c r="AV32" s="29">
        <f t="shared" si="32"/>
        <v>0</v>
      </c>
      <c r="AW32" s="29">
        <f t="shared" si="34"/>
        <v>0</v>
      </c>
      <c r="AX32" s="29">
        <f t="shared" si="38"/>
        <v>0</v>
      </c>
      <c r="AY32" s="29">
        <f>SUM($M$9:$M31)</f>
        <v>0</v>
      </c>
      <c r="AZ32" s="29">
        <f>SUM($M$9:$M31)</f>
        <v>0</v>
      </c>
      <c r="BA32" s="29">
        <f>SUM($M$9:$M31)</f>
        <v>0</v>
      </c>
      <c r="BB32" s="29">
        <f>SUM($M$9:$M31)</f>
        <v>0</v>
      </c>
      <c r="BC32" s="14"/>
      <c r="BD32" s="15">
        <f t="shared" si="17"/>
        <v>2041</v>
      </c>
      <c r="BE32" s="29">
        <f t="shared" si="18"/>
        <v>0</v>
      </c>
      <c r="BF32" s="14"/>
      <c r="BG32" s="15">
        <f t="shared" si="19"/>
        <v>2041</v>
      </c>
      <c r="BH32" s="29">
        <f t="shared" si="33"/>
        <v>0</v>
      </c>
      <c r="BI32" s="29">
        <f>SUM($O$9:O31)</f>
        <v>0</v>
      </c>
      <c r="BY32" s="193"/>
      <c r="BZ32" s="193"/>
    </row>
    <row r="33" spans="1:78" s="14" customFormat="1" ht="12.75" customHeight="1" x14ac:dyDescent="0.2">
      <c r="A33" s="193" t="b">
        <f>IF(B32+1&lt;INDEX('Step Analysis'!$B$9:$B$51, MATCH(TRUE, INDEX('Step Analysis'!$C$9:$C$51=0,), 0))+100, TRUE, FALSE)</f>
        <v>1</v>
      </c>
      <c r="B33" s="41">
        <f t="shared" si="20"/>
        <v>2042</v>
      </c>
      <c r="C33" s="219">
        <f>IF(B33&gt;MAX('10 YEAR PROJECTION'!$Y$4:$AN$4),
    0,
    IF(INDEX('10 YEAR PROJECTION'!$X$5:$AN$9, MATCH($I$1, '10 YEAR PROJECTION'!$X$5:$X$9, 0), MATCH(B33, '10 YEAR PROJECTION'!$X$4:$AN$4, 0)) &gt; 0,
        INDEX('10 YEAR PROJECTION'!$X$5:$AN$9, MATCH($I$1, '10 YEAR PROJECTION'!$X$5:$X$9, 0), MATCH(B33, '10 YEAR PROJECTION'!$X$4:$AN$4, 0))/1000000,
        0)
    )</f>
        <v>0</v>
      </c>
      <c r="D33" s="219">
        <f>IF(A33, IF(B33&gt;MAX('10 YEAR PROJECTION'!$Y$12:$AN$12),
    D32,
    IF(INDEX('10 YEAR PROJECTION'!$X$13:$AN$17, MATCH($I$1, '10 YEAR PROJECTION'!$X$13:$X$17, 0), MATCH(B33, '10 YEAR PROJECTION'!$X$12:$AN$12, 0)) &gt; 0,
        INDEX('10 YEAR PROJECTION'!$X$13:$AN$17, MATCH($I$1, '10 YEAR PROJECTION'!$X$13:$X$17, 0), MATCH(B33, '10 YEAR PROJECTION'!$X$12:$AN$12, 0))/1000000,
        0)
    ), 0)</f>
        <v>1.6047739052097945</v>
      </c>
      <c r="E33" s="220">
        <f t="shared" si="1"/>
        <v>0.65700000000000003</v>
      </c>
      <c r="F33" s="220">
        <f t="shared" si="2"/>
        <v>0</v>
      </c>
      <c r="G33" s="221">
        <f t="shared" si="3"/>
        <v>3.2621749367119137</v>
      </c>
      <c r="H33" s="222">
        <f t="shared" si="4"/>
        <v>1.6840908363338816</v>
      </c>
      <c r="I33" s="220">
        <f t="shared" si="5"/>
        <v>0</v>
      </c>
      <c r="J33" s="221">
        <f t="shared" si="6"/>
        <v>3.2621749367119137</v>
      </c>
      <c r="K33" s="222">
        <f t="shared" si="7"/>
        <v>1.6840908363338816</v>
      </c>
      <c r="L33" s="220">
        <f t="shared" si="8"/>
        <v>0</v>
      </c>
      <c r="M33" s="223">
        <f t="shared" si="9"/>
        <v>0</v>
      </c>
      <c r="N33" s="223">
        <f t="shared" si="10"/>
        <v>0</v>
      </c>
      <c r="O33" s="220">
        <f t="shared" si="21"/>
        <v>0</v>
      </c>
      <c r="P33" s="221">
        <f t="shared" si="11"/>
        <v>0</v>
      </c>
      <c r="Q33" s="221">
        <f t="shared" si="12"/>
        <v>4.9462657730457948</v>
      </c>
      <c r="R33" s="229">
        <f t="shared" si="22"/>
        <v>269.64719753836937</v>
      </c>
      <c r="S33" s="158">
        <f>IF(A33,
    IF(NOT(C33=0),
        IF(B33&lt;2020,
             INDEX(MP_new!$A$4:$J$9, INDEX('Cost Analysis Input'!$B$2:$D$7, IF(MATCH(B33, 'Cost Analysis Input'!$C$2:$C$7, 1)&gt;$I$1, $I$1, MATCH(B33, 'Cost Analysis Input'!$C$2:$C$7, 1)), 3)+1, 7),
             INDEX(MP_new!$A$4:$J$9, INDEX('Cost Analysis Input'!$B$2:$D$7, IF(MATCH(B33, 'Cost Analysis Input'!$C$2:$C$7, 1)&gt;$I$1, $I$1, MATCH(B33, 'Cost Analysis Input'!$C$2:$C$7, 1)), 3)+1, 7)-5000),
        INDEX(MP_new!$A$4:$J$9, $I$1+1, 7)),
    0)</f>
        <v>59692.434433137103</v>
      </c>
      <c r="T33" s="157">
        <f>IF(A33, IF(EXACT($S$5, "Yes"),
    IF(C33=0,
        T32,
        INDEX(MP_new!$A$5:$J$9, INDEX('Cost Analysis Input'!$B$3:$D$7, MATCH(B33, 'Cost Analysis Input'!$B$3:$B$7, 1), 3), 10)),
    0), 0)</f>
        <v>9000</v>
      </c>
      <c r="U33" s="1">
        <f>IF(A33, (MP_new!$G$4-S33)+T33, 0)</f>
        <v>13926.620720270636</v>
      </c>
      <c r="V33" s="1">
        <f t="shared" si="13"/>
        <v>2805.3884250000006</v>
      </c>
      <c r="W33" s="223">
        <f t="shared" si="14"/>
        <v>39.069580568012412</v>
      </c>
      <c r="X33" s="220">
        <f t="shared" si="23"/>
        <v>566.69591790529068</v>
      </c>
      <c r="Y33" s="220">
        <f t="shared" si="24"/>
        <v>34.123314794966618</v>
      </c>
      <c r="Z33" s="220">
        <f t="shared" si="25"/>
        <v>297.04872036692132</v>
      </c>
      <c r="AA33" s="220">
        <f>IF(SUM(AA$9:AA32)&gt;0,0,IF(SUM(X33-R33)&gt;0,B33,0))</f>
        <v>0</v>
      </c>
      <c r="AB33" s="220">
        <f>ABS(Z33)*1000000/SUM(U$9:U33)</f>
        <v>923.85310798674107</v>
      </c>
      <c r="AH33" s="17">
        <f t="shared" si="26"/>
        <v>2042</v>
      </c>
      <c r="AI33" s="186">
        <f t="shared" si="27"/>
        <v>0</v>
      </c>
      <c r="AK33" s="17">
        <f t="shared" si="28"/>
        <v>2042</v>
      </c>
      <c r="AL33" s="232">
        <f t="shared" si="35"/>
        <v>0.05</v>
      </c>
      <c r="AM33" s="187">
        <f t="shared" si="36"/>
        <v>3445.9602187500004</v>
      </c>
      <c r="AN33" s="18">
        <f t="shared" si="37"/>
        <v>2805.3884250000006</v>
      </c>
      <c r="AP33" s="5">
        <f t="shared" si="15"/>
        <v>2042</v>
      </c>
      <c r="AQ33" s="28">
        <f t="shared" si="0"/>
        <v>0</v>
      </c>
      <c r="AS33" s="57">
        <f t="shared" si="16"/>
        <v>2042</v>
      </c>
      <c r="AT33" s="28">
        <f t="shared" si="30"/>
        <v>0</v>
      </c>
      <c r="AU33" s="28">
        <f t="shared" si="31"/>
        <v>0</v>
      </c>
      <c r="AV33" s="28">
        <f t="shared" si="32"/>
        <v>0</v>
      </c>
      <c r="AW33" s="28">
        <f t="shared" si="34"/>
        <v>0</v>
      </c>
      <c r="AX33" s="28">
        <f t="shared" si="38"/>
        <v>0</v>
      </c>
      <c r="AY33" s="28">
        <f>SUM($M$9:$M32)</f>
        <v>0</v>
      </c>
      <c r="AZ33" s="28">
        <f>SUM($M$9:$M32)</f>
        <v>0</v>
      </c>
      <c r="BA33" s="28">
        <f>SUM($M$9:$M32)</f>
        <v>0</v>
      </c>
      <c r="BB33" s="28">
        <f>SUM($M$9:$M32)</f>
        <v>0</v>
      </c>
      <c r="BD33" s="5">
        <f t="shared" si="17"/>
        <v>2042</v>
      </c>
      <c r="BE33" s="28">
        <f t="shared" si="18"/>
        <v>0</v>
      </c>
      <c r="BF33" s="193"/>
      <c r="BG33" s="5">
        <f t="shared" si="19"/>
        <v>2042</v>
      </c>
      <c r="BH33" s="28">
        <f t="shared" si="33"/>
        <v>0</v>
      </c>
      <c r="BI33" s="28">
        <f>SUM($O$9:O32)</f>
        <v>0</v>
      </c>
    </row>
    <row r="34" spans="1:78" x14ac:dyDescent="0.25">
      <c r="A34" s="193" t="b">
        <f>IF(B33+1&lt;INDEX('Step Analysis'!$B$9:$B$51, MATCH(TRUE, INDEX('Step Analysis'!$C$9:$C$51=0,), 0))+100, TRUE, FALSE)</f>
        <v>1</v>
      </c>
      <c r="B34" s="40">
        <f t="shared" si="20"/>
        <v>2043</v>
      </c>
      <c r="C34" s="219">
        <f>IF(B34&gt;MAX('10 YEAR PROJECTION'!$Y$4:$AN$4),
    0,
    IF(INDEX('10 YEAR PROJECTION'!$X$5:$AN$9, MATCH($I$1, '10 YEAR PROJECTION'!$X$5:$X$9, 0), MATCH(B34, '10 YEAR PROJECTION'!$X$4:$AN$4, 0)) &gt; 0,
        INDEX('10 YEAR PROJECTION'!$X$5:$AN$9, MATCH($I$1, '10 YEAR PROJECTION'!$X$5:$X$9, 0), MATCH(B34, '10 YEAR PROJECTION'!$X$4:$AN$4, 0))/1000000,
        0)
    )</f>
        <v>0</v>
      </c>
      <c r="D34" s="219">
        <f>IF(A34, IF(B34&gt;MAX('10 YEAR PROJECTION'!$Y$12:$AN$12),
    D33,
    IF(INDEX('10 YEAR PROJECTION'!$X$13:$AN$17, MATCH($I$1, '10 YEAR PROJECTION'!$X$13:$X$17, 0), MATCH(B34, '10 YEAR PROJECTION'!$X$12:$AN$12, 0)) &gt; 0,
        INDEX('10 YEAR PROJECTION'!$X$13:$AN$17, MATCH($I$1, '10 YEAR PROJECTION'!$X$13:$X$17, 0), MATCH(B34, '10 YEAR PROJECTION'!$X$12:$AN$12, 0))/1000000,
        0)
    ), 0)</f>
        <v>1.6047739052097945</v>
      </c>
      <c r="E34" s="220">
        <f t="shared" si="1"/>
        <v>0.65700000000000003</v>
      </c>
      <c r="F34" s="220">
        <f t="shared" si="2"/>
        <v>0</v>
      </c>
      <c r="G34" s="221">
        <f t="shared" si="3"/>
        <v>3.360040184813271</v>
      </c>
      <c r="H34" s="222">
        <f t="shared" si="4"/>
        <v>1.7514544697872372</v>
      </c>
      <c r="I34" s="220">
        <f t="shared" si="5"/>
        <v>0</v>
      </c>
      <c r="J34" s="221">
        <f t="shared" si="6"/>
        <v>3.360040184813271</v>
      </c>
      <c r="K34" s="222">
        <f t="shared" si="7"/>
        <v>1.7514544697872372</v>
      </c>
      <c r="L34" s="220">
        <f t="shared" si="8"/>
        <v>0</v>
      </c>
      <c r="M34" s="223">
        <f t="shared" si="9"/>
        <v>0</v>
      </c>
      <c r="N34" s="223">
        <f t="shared" si="10"/>
        <v>0</v>
      </c>
      <c r="O34" s="227">
        <f t="shared" si="21"/>
        <v>0</v>
      </c>
      <c r="P34" s="228">
        <f t="shared" si="11"/>
        <v>0</v>
      </c>
      <c r="Q34" s="228">
        <f t="shared" si="12"/>
        <v>5.1114946546005084</v>
      </c>
      <c r="R34" s="229">
        <f t="shared" si="22"/>
        <v>274.75869219296987</v>
      </c>
      <c r="S34" s="158">
        <f>IF(A34,
    IF(NOT(C34=0),
        IF(B34&lt;2020,
             INDEX(MP_new!$A$4:$J$9, INDEX('Cost Analysis Input'!$B$2:$D$7, IF(MATCH(B34, 'Cost Analysis Input'!$C$2:$C$7, 1)&gt;$I$1, $I$1, MATCH(B34, 'Cost Analysis Input'!$C$2:$C$7, 1)), 3)+1, 7),
             INDEX(MP_new!$A$4:$J$9, INDEX('Cost Analysis Input'!$B$2:$D$7, IF(MATCH(B34, 'Cost Analysis Input'!$C$2:$C$7, 1)&gt;$I$1, $I$1, MATCH(B34, 'Cost Analysis Input'!$C$2:$C$7, 1)), 3)+1, 7)-5000),
        INDEX(MP_new!$A$4:$J$9, $I$1+1, 7)),
    0)</f>
        <v>59692.434433137103</v>
      </c>
      <c r="T34" s="157">
        <f>IF(A34, IF(EXACT($S$5, "Yes"),
    IF(C34=0,
        T33,
        INDEX(MP_new!$A$5:$J$9, INDEX('Cost Analysis Input'!$B$3:$D$7, MATCH(B34, 'Cost Analysis Input'!$B$3:$B$7, 1), 3), 10)),
    0), 0)</f>
        <v>9000</v>
      </c>
      <c r="U34" s="1">
        <f>IF(A34, (MP_new!$G$4-S34)+T34, 0)</f>
        <v>13926.620720270636</v>
      </c>
      <c r="V34" s="1">
        <f t="shared" si="13"/>
        <v>2945.6578462500006</v>
      </c>
      <c r="W34" s="230">
        <f t="shared" si="14"/>
        <v>41.023059596413034</v>
      </c>
      <c r="X34" s="227">
        <f t="shared" si="23"/>
        <v>607.71897750170376</v>
      </c>
      <c r="Y34" s="227">
        <f t="shared" si="24"/>
        <v>35.911564941812529</v>
      </c>
      <c r="Z34" s="227">
        <f t="shared" si="25"/>
        <v>332.96028530873389</v>
      </c>
      <c r="AA34" s="227">
        <f>IF(SUM(AA$9:AA33)&gt;0,0,IF(SUM(X34-R34)&gt;0,B34,0))</f>
        <v>0</v>
      </c>
      <c r="AB34" s="227">
        <f>ABS(Z34)*1000000/SUM(U$9:U34)</f>
        <v>992.55125200007433</v>
      </c>
      <c r="AH34" s="19">
        <f t="shared" si="26"/>
        <v>2043</v>
      </c>
      <c r="AI34" s="185">
        <f t="shared" si="27"/>
        <v>0</v>
      </c>
      <c r="AJ34" s="13"/>
      <c r="AK34" s="19">
        <f t="shared" si="28"/>
        <v>2043</v>
      </c>
      <c r="AL34" s="232">
        <f t="shared" si="35"/>
        <v>0.05</v>
      </c>
      <c r="AM34" s="189">
        <f t="shared" si="36"/>
        <v>3618.2582296875007</v>
      </c>
      <c r="AN34" s="190">
        <f t="shared" si="37"/>
        <v>2945.6578462500006</v>
      </c>
      <c r="AO34" s="14"/>
      <c r="AP34" s="15">
        <f t="shared" si="15"/>
        <v>2043</v>
      </c>
      <c r="AQ34" s="29">
        <f t="shared" si="0"/>
        <v>0</v>
      </c>
      <c r="AR34" s="14"/>
      <c r="AS34" s="54">
        <f t="shared" si="16"/>
        <v>2043</v>
      </c>
      <c r="AT34" s="29">
        <f t="shared" si="30"/>
        <v>0</v>
      </c>
      <c r="AU34" s="29">
        <f t="shared" si="31"/>
        <v>0</v>
      </c>
      <c r="AV34" s="29">
        <f t="shared" si="32"/>
        <v>0</v>
      </c>
      <c r="AW34" s="29">
        <f t="shared" si="34"/>
        <v>0</v>
      </c>
      <c r="AX34" s="29">
        <f t="shared" si="38"/>
        <v>0</v>
      </c>
      <c r="AY34" s="29">
        <f>SUM($M$9:$M33)</f>
        <v>0</v>
      </c>
      <c r="AZ34" s="29">
        <f>SUM($M$9:$M33)</f>
        <v>0</v>
      </c>
      <c r="BA34" s="29">
        <f>SUM($M$9:$M33)</f>
        <v>0</v>
      </c>
      <c r="BB34" s="29">
        <f>SUM($M$9:$M33)</f>
        <v>0</v>
      </c>
      <c r="BC34" s="14"/>
      <c r="BD34" s="15">
        <f t="shared" si="17"/>
        <v>2043</v>
      </c>
      <c r="BE34" s="29">
        <f t="shared" si="18"/>
        <v>0</v>
      </c>
      <c r="BF34" s="14"/>
      <c r="BG34" s="15">
        <f t="shared" si="19"/>
        <v>2043</v>
      </c>
      <c r="BH34" s="29">
        <f t="shared" si="33"/>
        <v>0</v>
      </c>
      <c r="BI34" s="29">
        <f>SUM($O$9:O33)</f>
        <v>0</v>
      </c>
      <c r="BY34" s="193"/>
      <c r="BZ34" s="193"/>
    </row>
    <row r="35" spans="1:78" s="14" customFormat="1" ht="12.75" customHeight="1" x14ac:dyDescent="0.2">
      <c r="A35" s="193" t="b">
        <f>IF(B34+1&lt;INDEX('Step Analysis'!$B$9:$B$51, MATCH(TRUE, INDEX('Step Analysis'!$C$9:$C$51=0,), 0))+100, TRUE, FALSE)</f>
        <v>1</v>
      </c>
      <c r="B35" s="41">
        <f t="shared" si="20"/>
        <v>2044</v>
      </c>
      <c r="C35" s="219">
        <f>IF(B35&gt;MAX('10 YEAR PROJECTION'!$Y$4:$AN$4),
    0,
    IF(INDEX('10 YEAR PROJECTION'!$X$5:$AN$9, MATCH($I$1, '10 YEAR PROJECTION'!$X$5:$X$9, 0), MATCH(B35, '10 YEAR PROJECTION'!$X$4:$AN$4, 0)) &gt; 0,
        INDEX('10 YEAR PROJECTION'!$X$5:$AN$9, MATCH($I$1, '10 YEAR PROJECTION'!$X$5:$X$9, 0), MATCH(B35, '10 YEAR PROJECTION'!$X$4:$AN$4, 0))/1000000,
        0)
    )</f>
        <v>0</v>
      </c>
      <c r="D35" s="219">
        <f>IF(A35, IF(B35&gt;MAX('10 YEAR PROJECTION'!$Y$12:$AN$12),
    D34,
    IF(INDEX('10 YEAR PROJECTION'!$X$13:$AN$17, MATCH($I$1, '10 YEAR PROJECTION'!$X$13:$X$17, 0), MATCH(B35, '10 YEAR PROJECTION'!$X$12:$AN$12, 0)) &gt; 0,
        INDEX('10 YEAR PROJECTION'!$X$13:$AN$17, MATCH($I$1, '10 YEAR PROJECTION'!$X$13:$X$17, 0), MATCH(B35, '10 YEAR PROJECTION'!$X$12:$AN$12, 0))/1000000,
        0)
    ), 0)</f>
        <v>1.6047739052097945</v>
      </c>
      <c r="E35" s="220">
        <f t="shared" si="1"/>
        <v>0.65700000000000003</v>
      </c>
      <c r="F35" s="220">
        <f t="shared" si="2"/>
        <v>0</v>
      </c>
      <c r="G35" s="221">
        <f t="shared" si="3"/>
        <v>3.4608413903576696</v>
      </c>
      <c r="H35" s="222">
        <f t="shared" si="4"/>
        <v>1.8215126485787265</v>
      </c>
      <c r="I35" s="220">
        <f t="shared" si="5"/>
        <v>0</v>
      </c>
      <c r="J35" s="221">
        <f t="shared" si="6"/>
        <v>3.4608413903576696</v>
      </c>
      <c r="K35" s="222">
        <f t="shared" si="7"/>
        <v>1.8215126485787265</v>
      </c>
      <c r="L35" s="220">
        <f t="shared" si="8"/>
        <v>0</v>
      </c>
      <c r="M35" s="223">
        <f t="shared" si="9"/>
        <v>0</v>
      </c>
      <c r="N35" s="223">
        <f t="shared" si="10"/>
        <v>0</v>
      </c>
      <c r="O35" s="220">
        <f t="shared" si="21"/>
        <v>0</v>
      </c>
      <c r="P35" s="221">
        <f t="shared" si="11"/>
        <v>0</v>
      </c>
      <c r="Q35" s="221">
        <f t="shared" si="12"/>
        <v>5.2823540389363961</v>
      </c>
      <c r="R35" s="229">
        <f t="shared" si="22"/>
        <v>280.04104623190625</v>
      </c>
      <c r="S35" s="158">
        <f>IF(A35,
    IF(NOT(C35=0),
        IF(B35&lt;2020,
             INDEX(MP_new!$A$4:$J$9, INDEX('Cost Analysis Input'!$B$2:$D$7, IF(MATCH(B35, 'Cost Analysis Input'!$C$2:$C$7, 1)&gt;$I$1, $I$1, MATCH(B35, 'Cost Analysis Input'!$C$2:$C$7, 1)), 3)+1, 7),
             INDEX(MP_new!$A$4:$J$9, INDEX('Cost Analysis Input'!$B$2:$D$7, IF(MATCH(B35, 'Cost Analysis Input'!$C$2:$C$7, 1)&gt;$I$1, $I$1, MATCH(B35, 'Cost Analysis Input'!$C$2:$C$7, 1)), 3)+1, 7)-5000),
        INDEX(MP_new!$A$4:$J$9, $I$1+1, 7)),
    0)</f>
        <v>59692.434433137103</v>
      </c>
      <c r="T35" s="157">
        <f>IF(A35, IF(EXACT($S$5, "Yes"),
    IF(C35=0,
        T34,
        INDEX(MP_new!$A$5:$J$9, INDEX('Cost Analysis Input'!$B$3:$D$7, MATCH(B35, 'Cost Analysis Input'!$B$3:$B$7, 1), 3), 10)),
    0), 0)</f>
        <v>9000</v>
      </c>
      <c r="U35" s="1">
        <f>IF(A35, (MP_new!$G$4-S35)+T35, 0)</f>
        <v>13926.620720270636</v>
      </c>
      <c r="V35" s="1">
        <f t="shared" si="13"/>
        <v>3092.9407385625009</v>
      </c>
      <c r="W35" s="223">
        <f t="shared" si="14"/>
        <v>43.074212576233684</v>
      </c>
      <c r="X35" s="220">
        <f t="shared" si="23"/>
        <v>650.79319007793742</v>
      </c>
      <c r="Y35" s="220">
        <f t="shared" si="24"/>
        <v>37.791858537297287</v>
      </c>
      <c r="Z35" s="220">
        <f t="shared" si="25"/>
        <v>370.75214384603117</v>
      </c>
      <c r="AA35" s="220">
        <f>IF(SUM(AA$9:AA34)&gt;0,0,IF(SUM(X35-R35)&gt;0,B35,0))</f>
        <v>0</v>
      </c>
      <c r="AB35" s="220">
        <f>ABS(Z35)*1000000/SUM(U$9:U35)</f>
        <v>1061.154451084557</v>
      </c>
      <c r="AH35" s="17">
        <f t="shared" si="26"/>
        <v>2044</v>
      </c>
      <c r="AI35" s="186">
        <f t="shared" si="27"/>
        <v>0</v>
      </c>
      <c r="AJ35" s="184"/>
      <c r="AK35" s="17">
        <f t="shared" si="28"/>
        <v>2044</v>
      </c>
      <c r="AL35" s="232">
        <f t="shared" si="35"/>
        <v>0.05</v>
      </c>
      <c r="AM35" s="187">
        <f t="shared" si="36"/>
        <v>3799.1711411718761</v>
      </c>
      <c r="AN35" s="18">
        <f t="shared" si="37"/>
        <v>3092.9407385625009</v>
      </c>
      <c r="AP35" s="5">
        <f t="shared" si="15"/>
        <v>2044</v>
      </c>
      <c r="AQ35" s="28">
        <f t="shared" si="0"/>
        <v>0</v>
      </c>
      <c r="AS35" s="57">
        <f t="shared" si="16"/>
        <v>2044</v>
      </c>
      <c r="AT35" s="28">
        <f t="shared" si="30"/>
        <v>0</v>
      </c>
      <c r="AU35" s="28">
        <f t="shared" si="31"/>
        <v>0</v>
      </c>
      <c r="AV35" s="28">
        <f t="shared" si="32"/>
        <v>0</v>
      </c>
      <c r="AW35" s="28">
        <f t="shared" si="34"/>
        <v>0</v>
      </c>
      <c r="AX35" s="28">
        <f t="shared" si="38"/>
        <v>0</v>
      </c>
      <c r="AY35" s="28">
        <f t="shared" ref="AY35:AY50" si="39">SUM(M10:M34)</f>
        <v>0</v>
      </c>
      <c r="AZ35" s="28">
        <f>SUM($M$9:$M34)</f>
        <v>0</v>
      </c>
      <c r="BA35" s="28">
        <f>SUM($M$9:$M34)</f>
        <v>0</v>
      </c>
      <c r="BB35" s="28">
        <f>SUM($M$9:$M34)</f>
        <v>0</v>
      </c>
      <c r="BD35" s="5">
        <f t="shared" si="17"/>
        <v>2044</v>
      </c>
      <c r="BE35" s="28">
        <f t="shared" si="18"/>
        <v>0</v>
      </c>
      <c r="BF35" s="193"/>
      <c r="BG35" s="5">
        <f t="shared" si="19"/>
        <v>2044</v>
      </c>
      <c r="BH35" s="28">
        <f t="shared" si="33"/>
        <v>0</v>
      </c>
      <c r="BI35" s="28">
        <f t="shared" ref="BI35:BI50" si="40">SUM(O10:O34)</f>
        <v>0</v>
      </c>
    </row>
    <row r="36" spans="1:78" x14ac:dyDescent="0.25">
      <c r="A36" s="193" t="b">
        <f>IF(B35+1&lt;INDEX('Step Analysis'!$B$9:$B$51, MATCH(TRUE, INDEX('Step Analysis'!$C$9:$C$51=0,), 0))+100, TRUE, FALSE)</f>
        <v>1</v>
      </c>
      <c r="B36" s="40">
        <f t="shared" si="20"/>
        <v>2045</v>
      </c>
      <c r="C36" s="219">
        <f>IF(B36&gt;MAX('10 YEAR PROJECTION'!$Y$4:$AN$4),
    0,
    IF(INDEX('10 YEAR PROJECTION'!$X$5:$AN$9, MATCH($I$1, '10 YEAR PROJECTION'!$X$5:$X$9, 0), MATCH(B36, '10 YEAR PROJECTION'!$X$4:$AN$4, 0)) &gt; 0,
        INDEX('10 YEAR PROJECTION'!$X$5:$AN$9, MATCH($I$1, '10 YEAR PROJECTION'!$X$5:$X$9, 0), MATCH(B36, '10 YEAR PROJECTION'!$X$4:$AN$4, 0))/1000000,
        0)
    )</f>
        <v>0</v>
      </c>
      <c r="D36" s="219">
        <f>IF(A36, IF(B36&gt;MAX('10 YEAR PROJECTION'!$Y$12:$AN$12),
    D35,
    IF(INDEX('10 YEAR PROJECTION'!$X$13:$AN$17, MATCH($I$1, '10 YEAR PROJECTION'!$X$13:$X$17, 0), MATCH(B36, '10 YEAR PROJECTION'!$X$12:$AN$12, 0)) &gt; 0,
        INDEX('10 YEAR PROJECTION'!$X$13:$AN$17, MATCH($I$1, '10 YEAR PROJECTION'!$X$13:$X$17, 0), MATCH(B36, '10 YEAR PROJECTION'!$X$12:$AN$12, 0))/1000000,
        0)
    ), 0)</f>
        <v>1.6047739052097945</v>
      </c>
      <c r="E36" s="220">
        <f t="shared" si="1"/>
        <v>0.65700000000000003</v>
      </c>
      <c r="F36" s="220">
        <f t="shared" si="2"/>
        <v>0</v>
      </c>
      <c r="G36" s="221">
        <f t="shared" si="3"/>
        <v>3.5646666320683993</v>
      </c>
      <c r="H36" s="222">
        <f t="shared" si="4"/>
        <v>1.8943731545218756</v>
      </c>
      <c r="I36" s="220">
        <f t="shared" si="5"/>
        <v>0</v>
      </c>
      <c r="J36" s="221">
        <f t="shared" si="6"/>
        <v>3.5646666320683993</v>
      </c>
      <c r="K36" s="222">
        <f t="shared" si="7"/>
        <v>1.8943731545218756</v>
      </c>
      <c r="L36" s="220">
        <f t="shared" si="8"/>
        <v>0</v>
      </c>
      <c r="M36" s="223">
        <f t="shared" si="9"/>
        <v>0</v>
      </c>
      <c r="N36" s="223">
        <f t="shared" si="10"/>
        <v>0</v>
      </c>
      <c r="O36" s="227">
        <f t="shared" si="21"/>
        <v>0</v>
      </c>
      <c r="P36" s="228">
        <f t="shared" si="11"/>
        <v>0</v>
      </c>
      <c r="Q36" s="228">
        <f t="shared" si="12"/>
        <v>5.4590397865902744</v>
      </c>
      <c r="R36" s="229">
        <f t="shared" si="22"/>
        <v>285.50008601849652</v>
      </c>
      <c r="S36" s="158">
        <f>IF(A36,
    IF(NOT(C36=0),
        IF(B36&lt;2020,
             INDEX(MP_new!$A$4:$J$9, INDEX('Cost Analysis Input'!$B$2:$D$7, IF(MATCH(B36, 'Cost Analysis Input'!$C$2:$C$7, 1)&gt;$I$1, $I$1, MATCH(B36, 'Cost Analysis Input'!$C$2:$C$7, 1)), 3)+1, 7),
             INDEX(MP_new!$A$4:$J$9, INDEX('Cost Analysis Input'!$B$2:$D$7, IF(MATCH(B36, 'Cost Analysis Input'!$C$2:$C$7, 1)&gt;$I$1, $I$1, MATCH(B36, 'Cost Analysis Input'!$C$2:$C$7, 1)), 3)+1, 7)-5000),
        INDEX(MP_new!$A$4:$J$9, $I$1+1, 7)),
    0)</f>
        <v>59692.434433137103</v>
      </c>
      <c r="T36" s="157">
        <f>IF(A36, IF(EXACT($S$5, "Yes"),
    IF(C36=0,
        T35,
        INDEX(MP_new!$A$5:$J$9, INDEX('Cost Analysis Input'!$B$3:$D$7, MATCH(B36, 'Cost Analysis Input'!$B$3:$B$7, 1), 3), 10)),
    0), 0)</f>
        <v>9000</v>
      </c>
      <c r="U36" s="1">
        <f>IF(A36, (MP_new!$G$4-S36)+T36, 0)</f>
        <v>13926.620720270636</v>
      </c>
      <c r="V36" s="1">
        <f t="shared" si="13"/>
        <v>3247.587775490626</v>
      </c>
      <c r="W36" s="230">
        <f t="shared" si="14"/>
        <v>45.227923205045371</v>
      </c>
      <c r="X36" s="227">
        <f t="shared" si="23"/>
        <v>696.02111328298281</v>
      </c>
      <c r="Y36" s="227">
        <f t="shared" si="24"/>
        <v>39.768883418455097</v>
      </c>
      <c r="Z36" s="227">
        <f t="shared" si="25"/>
        <v>410.52102726448629</v>
      </c>
      <c r="AA36" s="227">
        <f>IF(SUM(AA$9:AA35)&gt;0,0,IF(SUM(X36-R36)&gt;0,B36,0))</f>
        <v>0</v>
      </c>
      <c r="AB36" s="227">
        <f>ABS(Z36)*1000000/SUM(U$9:U36)</f>
        <v>1129.9398719593132</v>
      </c>
      <c r="AH36" s="19">
        <f t="shared" si="26"/>
        <v>2045</v>
      </c>
      <c r="AI36" s="185">
        <f t="shared" si="27"/>
        <v>0</v>
      </c>
      <c r="AJ36" s="13"/>
      <c r="AK36" s="19">
        <f t="shared" si="28"/>
        <v>2045</v>
      </c>
      <c r="AL36" s="232">
        <f t="shared" si="35"/>
        <v>0.05</v>
      </c>
      <c r="AM36" s="189">
        <f t="shared" si="36"/>
        <v>3989.1296982304702</v>
      </c>
      <c r="AN36" s="190">
        <f t="shared" si="37"/>
        <v>3247.587775490626</v>
      </c>
      <c r="AO36" s="14"/>
      <c r="AP36" s="15">
        <f t="shared" si="15"/>
        <v>2045</v>
      </c>
      <c r="AQ36" s="29">
        <f t="shared" si="0"/>
        <v>0</v>
      </c>
      <c r="AR36" s="14"/>
      <c r="AS36" s="54">
        <f t="shared" si="16"/>
        <v>2045</v>
      </c>
      <c r="AT36" s="29">
        <f t="shared" si="30"/>
        <v>0</v>
      </c>
      <c r="AU36" s="29">
        <f t="shared" si="31"/>
        <v>0</v>
      </c>
      <c r="AV36" s="29">
        <f t="shared" si="32"/>
        <v>0</v>
      </c>
      <c r="AW36" s="29">
        <f t="shared" si="34"/>
        <v>0</v>
      </c>
      <c r="AX36" s="29">
        <f t="shared" si="38"/>
        <v>0</v>
      </c>
      <c r="AY36" s="29">
        <f t="shared" si="39"/>
        <v>0</v>
      </c>
      <c r="AZ36" s="29">
        <f>SUM($M$9:$M35)</f>
        <v>0</v>
      </c>
      <c r="BA36" s="29">
        <f>SUM($M$9:$M35)</f>
        <v>0</v>
      </c>
      <c r="BB36" s="29">
        <f>SUM($M$9:$M35)</f>
        <v>0</v>
      </c>
      <c r="BC36" s="14"/>
      <c r="BD36" s="15">
        <f t="shared" si="17"/>
        <v>2045</v>
      </c>
      <c r="BE36" s="29">
        <f t="shared" si="18"/>
        <v>0</v>
      </c>
      <c r="BF36" s="14"/>
      <c r="BG36" s="15">
        <f t="shared" si="19"/>
        <v>2045</v>
      </c>
      <c r="BH36" s="29">
        <f t="shared" si="33"/>
        <v>0</v>
      </c>
      <c r="BI36" s="29">
        <f t="shared" si="40"/>
        <v>0</v>
      </c>
      <c r="BY36" s="193"/>
      <c r="BZ36" s="193"/>
    </row>
    <row r="37" spans="1:78" s="14" customFormat="1" ht="13.5" customHeight="1" x14ac:dyDescent="0.2">
      <c r="A37" s="193" t="b">
        <f>IF(B36+1&lt;INDEX('Step Analysis'!$B$9:$B$51, MATCH(TRUE, INDEX('Step Analysis'!$C$9:$C$51=0,), 0))+100, TRUE, FALSE)</f>
        <v>1</v>
      </c>
      <c r="B37" s="41">
        <f t="shared" si="20"/>
        <v>2046</v>
      </c>
      <c r="C37" s="219">
        <f>IF(B37&gt;MAX('10 YEAR PROJECTION'!$Y$4:$AN$4),
    0,
    IF(INDEX('10 YEAR PROJECTION'!$X$5:$AN$9, MATCH($I$1, '10 YEAR PROJECTION'!$X$5:$X$9, 0), MATCH(B37, '10 YEAR PROJECTION'!$X$4:$AN$4, 0)) &gt; 0,
        INDEX('10 YEAR PROJECTION'!$X$5:$AN$9, MATCH($I$1, '10 YEAR PROJECTION'!$X$5:$X$9, 0), MATCH(B37, '10 YEAR PROJECTION'!$X$4:$AN$4, 0))/1000000,
        0)
    )</f>
        <v>0</v>
      </c>
      <c r="D37" s="219">
        <f>IF(A37, IF(B37&gt;MAX('10 YEAR PROJECTION'!$Y$12:$AN$12),
    D36,
    IF(INDEX('10 YEAR PROJECTION'!$X$13:$AN$17, MATCH($I$1, '10 YEAR PROJECTION'!$X$13:$X$17, 0), MATCH(B37, '10 YEAR PROJECTION'!$X$12:$AN$12, 0)) &gt; 0,
        INDEX('10 YEAR PROJECTION'!$X$13:$AN$17, MATCH($I$1, '10 YEAR PROJECTION'!$X$13:$X$17, 0), MATCH(B37, '10 YEAR PROJECTION'!$X$12:$AN$12, 0))/1000000,
        0)
    ), 0)</f>
        <v>1.6047739052097945</v>
      </c>
      <c r="E37" s="220">
        <f t="shared" si="1"/>
        <v>0.65700000000000003</v>
      </c>
      <c r="F37" s="220">
        <f t="shared" si="2"/>
        <v>0</v>
      </c>
      <c r="G37" s="221">
        <f t="shared" si="3"/>
        <v>3.6716066310304512</v>
      </c>
      <c r="H37" s="222">
        <f t="shared" si="4"/>
        <v>1.9701480807027512</v>
      </c>
      <c r="I37" s="220">
        <f t="shared" si="5"/>
        <v>0</v>
      </c>
      <c r="J37" s="221">
        <f t="shared" si="6"/>
        <v>3.6716066310304512</v>
      </c>
      <c r="K37" s="222">
        <f t="shared" si="7"/>
        <v>1.9701480807027512</v>
      </c>
      <c r="L37" s="220">
        <f t="shared" si="8"/>
        <v>0</v>
      </c>
      <c r="M37" s="223">
        <f t="shared" si="9"/>
        <v>0</v>
      </c>
      <c r="N37" s="223">
        <f t="shared" si="10"/>
        <v>0</v>
      </c>
      <c r="O37" s="220">
        <f t="shared" si="21"/>
        <v>0</v>
      </c>
      <c r="P37" s="221">
        <f t="shared" si="11"/>
        <v>0</v>
      </c>
      <c r="Q37" s="221">
        <f t="shared" si="12"/>
        <v>5.6417547117332028</v>
      </c>
      <c r="R37" s="229">
        <f t="shared" si="22"/>
        <v>291.14184073022972</v>
      </c>
      <c r="S37" s="158">
        <f>IF(A37,
    IF(NOT(C37=0),
        IF(B37&lt;2020,
             INDEX(MP_new!$A$4:$J$9, INDEX('Cost Analysis Input'!$B$2:$D$7, IF(MATCH(B37, 'Cost Analysis Input'!$C$2:$C$7, 1)&gt;$I$1, $I$1, MATCH(B37, 'Cost Analysis Input'!$C$2:$C$7, 1)), 3)+1, 7),
             INDEX(MP_new!$A$4:$J$9, INDEX('Cost Analysis Input'!$B$2:$D$7, IF(MATCH(B37, 'Cost Analysis Input'!$C$2:$C$7, 1)&gt;$I$1, $I$1, MATCH(B37, 'Cost Analysis Input'!$C$2:$C$7, 1)), 3)+1, 7)-5000),
        INDEX(MP_new!$A$4:$J$9, $I$1+1, 7)),
    0)</f>
        <v>59692.434433137103</v>
      </c>
      <c r="T37" s="157">
        <f>IF(A37, IF(EXACT($S$5, "Yes"),
    IF(C37=0,
        T36,
        INDEX(MP_new!$A$5:$J$9, INDEX('Cost Analysis Input'!$B$3:$D$7, MATCH(B37, 'Cost Analysis Input'!$B$3:$B$7, 1), 3), 10)),
    0), 0)</f>
        <v>9000</v>
      </c>
      <c r="U37" s="1">
        <f>IF(A37, (MP_new!$G$4-S37)+T37, 0)</f>
        <v>13926.620720270636</v>
      </c>
      <c r="V37" s="1">
        <f t="shared" si="13"/>
        <v>3409.9671642651574</v>
      </c>
      <c r="W37" s="223">
        <f t="shared" si="14"/>
        <v>47.489319365297646</v>
      </c>
      <c r="X37" s="220">
        <f t="shared" si="23"/>
        <v>743.51043264828047</v>
      </c>
      <c r="Y37" s="220">
        <f t="shared" si="24"/>
        <v>41.847564653564447</v>
      </c>
      <c r="Z37" s="220">
        <f t="shared" si="25"/>
        <v>452.36859191805075</v>
      </c>
      <c r="AA37" s="220">
        <f>IF(SUM(AA$9:AA36)&gt;0,0,IF(SUM(X37-R37)&gt;0,B37,0))</f>
        <v>0</v>
      </c>
      <c r="AB37" s="220">
        <f>ABS(Z37)*1000000/SUM(U$9:U37)</f>
        <v>1199.1568079855194</v>
      </c>
      <c r="AH37" s="17">
        <f t="shared" si="26"/>
        <v>2046</v>
      </c>
      <c r="AI37" s="186">
        <f t="shared" si="27"/>
        <v>0</v>
      </c>
      <c r="AJ37" s="184"/>
      <c r="AK37" s="17">
        <f t="shared" si="28"/>
        <v>2046</v>
      </c>
      <c r="AL37" s="232">
        <f t="shared" si="35"/>
        <v>0.05</v>
      </c>
      <c r="AM37" s="187">
        <f t="shared" si="36"/>
        <v>4188.5861831419943</v>
      </c>
      <c r="AN37" s="18">
        <f t="shared" si="37"/>
        <v>3409.9671642651574</v>
      </c>
      <c r="AO37" s="193"/>
      <c r="AP37" s="5">
        <f t="shared" si="15"/>
        <v>2046</v>
      </c>
      <c r="AQ37" s="28">
        <f t="shared" si="0"/>
        <v>0</v>
      </c>
      <c r="AR37" s="193"/>
      <c r="AS37" s="57">
        <f t="shared" si="16"/>
        <v>2046</v>
      </c>
      <c r="AT37" s="28">
        <f t="shared" si="30"/>
        <v>0</v>
      </c>
      <c r="AU37" s="28">
        <f t="shared" si="31"/>
        <v>0</v>
      </c>
      <c r="AV37" s="28">
        <f t="shared" si="32"/>
        <v>0</v>
      </c>
      <c r="AW37" s="28">
        <f t="shared" si="34"/>
        <v>0</v>
      </c>
      <c r="AX37" s="28">
        <f t="shared" si="38"/>
        <v>0</v>
      </c>
      <c r="AY37" s="28">
        <f t="shared" si="39"/>
        <v>0</v>
      </c>
      <c r="AZ37" s="28">
        <f>SUM($M$9:$M36)</f>
        <v>0</v>
      </c>
      <c r="BA37" s="28">
        <f>SUM($M$9:$M36)</f>
        <v>0</v>
      </c>
      <c r="BB37" s="28">
        <f>SUM($M$9:$M36)</f>
        <v>0</v>
      </c>
      <c r="BC37" s="193"/>
      <c r="BD37" s="5">
        <f t="shared" si="17"/>
        <v>2046</v>
      </c>
      <c r="BE37" s="28">
        <f t="shared" si="18"/>
        <v>0</v>
      </c>
      <c r="BF37" s="193"/>
      <c r="BG37" s="5">
        <f t="shared" si="19"/>
        <v>2046</v>
      </c>
      <c r="BH37" s="28">
        <f t="shared" si="33"/>
        <v>0</v>
      </c>
      <c r="BI37" s="28">
        <f t="shared" si="40"/>
        <v>0</v>
      </c>
    </row>
    <row r="38" spans="1:78" ht="12.75" customHeight="1" x14ac:dyDescent="0.2">
      <c r="A38" s="193" t="b">
        <f>IF(B37+1&lt;INDEX('Step Analysis'!$B$9:$B$51, MATCH(TRUE, INDEX('Step Analysis'!$C$9:$C$51=0,), 0))+100, TRUE, FALSE)</f>
        <v>1</v>
      </c>
      <c r="B38" s="40">
        <f t="shared" si="20"/>
        <v>2047</v>
      </c>
      <c r="C38" s="219">
        <f>IF(B38&gt;MAX('10 YEAR PROJECTION'!$Y$4:$AN$4),
    0,
    IF(INDEX('10 YEAR PROJECTION'!$X$5:$AN$9, MATCH($I$1, '10 YEAR PROJECTION'!$X$5:$X$9, 0), MATCH(B38, '10 YEAR PROJECTION'!$X$4:$AN$4, 0)) &gt; 0,
        INDEX('10 YEAR PROJECTION'!$X$5:$AN$9, MATCH($I$1, '10 YEAR PROJECTION'!$X$5:$X$9, 0), MATCH(B38, '10 YEAR PROJECTION'!$X$4:$AN$4, 0))/1000000,
        0)
    )</f>
        <v>0</v>
      </c>
      <c r="D38" s="219">
        <f>IF(A38, IF(B38&gt;MAX('10 YEAR PROJECTION'!$Y$12:$AN$12),
    D37,
    IF(INDEX('10 YEAR PROJECTION'!$X$13:$AN$17, MATCH($I$1, '10 YEAR PROJECTION'!$X$13:$X$17, 0), MATCH(B38, '10 YEAR PROJECTION'!$X$12:$AN$12, 0)) &gt; 0,
        INDEX('10 YEAR PROJECTION'!$X$13:$AN$17, MATCH($I$1, '10 YEAR PROJECTION'!$X$13:$X$17, 0), MATCH(B38, '10 YEAR PROJECTION'!$X$12:$AN$12, 0))/1000000,
        0)
    ), 0)</f>
        <v>1.6047739052097945</v>
      </c>
      <c r="E38" s="220">
        <f t="shared" si="1"/>
        <v>0.65700000000000003</v>
      </c>
      <c r="F38" s="220">
        <f t="shared" si="2"/>
        <v>0</v>
      </c>
      <c r="G38" s="221">
        <f t="shared" si="3"/>
        <v>3.7817548299613644</v>
      </c>
      <c r="H38" s="222">
        <f t="shared" si="4"/>
        <v>2.0489540039308611</v>
      </c>
      <c r="I38" s="220">
        <f t="shared" si="5"/>
        <v>0</v>
      </c>
      <c r="J38" s="221">
        <f t="shared" si="6"/>
        <v>3.7817548299613644</v>
      </c>
      <c r="K38" s="222">
        <f t="shared" si="7"/>
        <v>2.0489540039308611</v>
      </c>
      <c r="L38" s="220">
        <f t="shared" si="8"/>
        <v>0</v>
      </c>
      <c r="M38" s="223">
        <f t="shared" si="9"/>
        <v>0</v>
      </c>
      <c r="N38" s="223">
        <f t="shared" si="10"/>
        <v>0</v>
      </c>
      <c r="O38" s="227">
        <f t="shared" si="21"/>
        <v>0</v>
      </c>
      <c r="P38" s="228">
        <f t="shared" si="11"/>
        <v>0</v>
      </c>
      <c r="Q38" s="228">
        <f t="shared" si="12"/>
        <v>5.8307088338922259</v>
      </c>
      <c r="R38" s="229">
        <f t="shared" si="22"/>
        <v>296.97254956412195</v>
      </c>
      <c r="S38" s="158">
        <f>IF(A38,
    IF(NOT(C38=0),
        IF(B38&lt;2020,
             INDEX(MP_new!$A$4:$J$9, INDEX('Cost Analysis Input'!$B$2:$D$7, IF(MATCH(B38, 'Cost Analysis Input'!$C$2:$C$7, 1)&gt;$I$1, $I$1, MATCH(B38, 'Cost Analysis Input'!$C$2:$C$7, 1)), 3)+1, 7),
             INDEX(MP_new!$A$4:$J$9, INDEX('Cost Analysis Input'!$B$2:$D$7, IF(MATCH(B38, 'Cost Analysis Input'!$C$2:$C$7, 1)&gt;$I$1, $I$1, MATCH(B38, 'Cost Analysis Input'!$C$2:$C$7, 1)), 3)+1, 7)-5000),
        INDEX(MP_new!$A$4:$J$9, $I$1+1, 7)),
    0)</f>
        <v>59692.434433137103</v>
      </c>
      <c r="T38" s="157">
        <f>IF(A38, IF(EXACT($S$5, "Yes"),
    IF(C38=0,
        T37,
        INDEX(MP_new!$A$5:$J$9, INDEX('Cost Analysis Input'!$B$3:$D$7, MATCH(B38, 'Cost Analysis Input'!$B$3:$B$7, 1), 3), 10)),
    0), 0)</f>
        <v>9000</v>
      </c>
      <c r="U38" s="1">
        <f>IF(A38, (MP_new!$G$4-S38)+T38, 0)</f>
        <v>13926.620720270636</v>
      </c>
      <c r="V38" s="1">
        <f t="shared" si="13"/>
        <v>3580.4655224784156</v>
      </c>
      <c r="W38" s="230">
        <f t="shared" si="14"/>
        <v>49.863785333562532</v>
      </c>
      <c r="X38" s="227">
        <f t="shared" si="23"/>
        <v>793.374217981843</v>
      </c>
      <c r="Y38" s="227">
        <f t="shared" si="24"/>
        <v>44.033076499670308</v>
      </c>
      <c r="Z38" s="227">
        <f t="shared" si="25"/>
        <v>496.40166841772105</v>
      </c>
      <c r="AA38" s="227">
        <f>IF(SUM(AA$9:AA37)&gt;0,0,IF(SUM(X38-R38)&gt;0,B38,0))</f>
        <v>0</v>
      </c>
      <c r="AB38" s="227">
        <f>ABS(Z38)*1000000/SUM(U$9:U38)</f>
        <v>1269.0322780678614</v>
      </c>
      <c r="AC38" s="193"/>
      <c r="AD38" s="193"/>
      <c r="AE38" s="193"/>
      <c r="AF38" s="193"/>
      <c r="AG38" s="193"/>
      <c r="AH38" s="19">
        <f t="shared" si="26"/>
        <v>2047</v>
      </c>
      <c r="AI38" s="185">
        <f t="shared" si="27"/>
        <v>0</v>
      </c>
      <c r="AJ38" s="193"/>
      <c r="AK38" s="19">
        <f t="shared" si="28"/>
        <v>2047</v>
      </c>
      <c r="AL38" s="232">
        <f t="shared" si="35"/>
        <v>0.05</v>
      </c>
      <c r="AM38" s="189">
        <f t="shared" si="36"/>
        <v>4398.0154922990941</v>
      </c>
      <c r="AN38" s="190">
        <f t="shared" si="37"/>
        <v>3580.4655224784156</v>
      </c>
      <c r="AO38" s="14"/>
      <c r="AP38" s="15">
        <f t="shared" si="15"/>
        <v>2047</v>
      </c>
      <c r="AQ38" s="29">
        <f t="shared" si="0"/>
        <v>0</v>
      </c>
      <c r="AR38" s="14"/>
      <c r="AS38" s="54">
        <f t="shared" si="16"/>
        <v>2047</v>
      </c>
      <c r="AT38" s="29">
        <f t="shared" si="30"/>
        <v>0</v>
      </c>
      <c r="AU38" s="29">
        <f t="shared" si="31"/>
        <v>0</v>
      </c>
      <c r="AV38" s="29">
        <f t="shared" si="32"/>
        <v>0</v>
      </c>
      <c r="AW38" s="29">
        <f t="shared" si="34"/>
        <v>0</v>
      </c>
      <c r="AX38" s="29">
        <f t="shared" si="38"/>
        <v>0</v>
      </c>
      <c r="AY38" s="29">
        <f t="shared" si="39"/>
        <v>0</v>
      </c>
      <c r="AZ38" s="29">
        <f>SUM($M$9:$M37)</f>
        <v>0</v>
      </c>
      <c r="BA38" s="29">
        <f>SUM($M$9:$M37)</f>
        <v>0</v>
      </c>
      <c r="BB38" s="29">
        <f>SUM($M$9:$M37)</f>
        <v>0</v>
      </c>
      <c r="BC38" s="14"/>
      <c r="BD38" s="15">
        <f t="shared" si="17"/>
        <v>2047</v>
      </c>
      <c r="BE38" s="29">
        <f t="shared" si="18"/>
        <v>0</v>
      </c>
      <c r="BF38" s="14"/>
      <c r="BG38" s="15">
        <f t="shared" si="19"/>
        <v>2047</v>
      </c>
      <c r="BH38" s="29">
        <f t="shared" si="33"/>
        <v>0</v>
      </c>
      <c r="BI38" s="29">
        <f t="shared" si="40"/>
        <v>0</v>
      </c>
      <c r="BJ38" s="193"/>
      <c r="BK38" s="193"/>
      <c r="BL38" s="193"/>
      <c r="BM38" s="193"/>
      <c r="BN38" s="193"/>
      <c r="BO38" s="193"/>
      <c r="BP38" s="193"/>
      <c r="BQ38" s="193"/>
      <c r="BR38" s="193"/>
      <c r="BS38" s="193"/>
      <c r="BT38" s="193"/>
      <c r="BU38" s="193"/>
      <c r="BV38" s="193"/>
      <c r="BW38" s="193"/>
      <c r="BX38" s="193"/>
      <c r="BY38" s="193"/>
      <c r="BZ38" s="193"/>
    </row>
    <row r="39" spans="1:78" s="14" customFormat="1" ht="12.75" customHeight="1" x14ac:dyDescent="0.2">
      <c r="A39" s="193" t="b">
        <f>IF(B38+1&lt;INDEX('Step Analysis'!$B$9:$B$51, MATCH(TRUE, INDEX('Step Analysis'!$C$9:$C$51=0,), 0))+100, TRUE, FALSE)</f>
        <v>1</v>
      </c>
      <c r="B39" s="41">
        <f t="shared" si="20"/>
        <v>2048</v>
      </c>
      <c r="C39" s="219">
        <f>IF(B39&gt;MAX('10 YEAR PROJECTION'!$Y$4:$AN$4),
    0,
    IF(INDEX('10 YEAR PROJECTION'!$X$5:$AN$9, MATCH($I$1, '10 YEAR PROJECTION'!$X$5:$X$9, 0), MATCH(B39, '10 YEAR PROJECTION'!$X$4:$AN$4, 0)) &gt; 0,
        INDEX('10 YEAR PROJECTION'!$X$5:$AN$9, MATCH($I$1, '10 YEAR PROJECTION'!$X$5:$X$9, 0), MATCH(B39, '10 YEAR PROJECTION'!$X$4:$AN$4, 0))/1000000,
        0)
    )</f>
        <v>0</v>
      </c>
      <c r="D39" s="219">
        <f>IF(A39, IF(B39&gt;MAX('10 YEAR PROJECTION'!$Y$12:$AN$12),
    D38,
    IF(INDEX('10 YEAR PROJECTION'!$X$13:$AN$17, MATCH($I$1, '10 YEAR PROJECTION'!$X$13:$X$17, 0), MATCH(B39, '10 YEAR PROJECTION'!$X$12:$AN$12, 0)) &gt; 0,
        INDEX('10 YEAR PROJECTION'!$X$13:$AN$17, MATCH($I$1, '10 YEAR PROJECTION'!$X$13:$X$17, 0), MATCH(B39, '10 YEAR PROJECTION'!$X$12:$AN$12, 0))/1000000,
        0)
    ), 0)</f>
        <v>1.6047739052097945</v>
      </c>
      <c r="E39" s="220">
        <f t="shared" si="1"/>
        <v>0.65700000000000003</v>
      </c>
      <c r="F39" s="220">
        <f t="shared" si="2"/>
        <v>0</v>
      </c>
      <c r="G39" s="221">
        <f t="shared" si="3"/>
        <v>3.8952074748602055</v>
      </c>
      <c r="H39" s="222">
        <f t="shared" si="4"/>
        <v>2.1309121640880955</v>
      </c>
      <c r="I39" s="220">
        <f t="shared" si="5"/>
        <v>0</v>
      </c>
      <c r="J39" s="221">
        <f t="shared" si="6"/>
        <v>3.8952074748602055</v>
      </c>
      <c r="K39" s="222">
        <f t="shared" si="7"/>
        <v>2.1309121640880955</v>
      </c>
      <c r="L39" s="220">
        <f t="shared" si="8"/>
        <v>0</v>
      </c>
      <c r="M39" s="223">
        <f t="shared" si="9"/>
        <v>0</v>
      </c>
      <c r="N39" s="223">
        <f t="shared" si="10"/>
        <v>0</v>
      </c>
      <c r="O39" s="220">
        <f t="shared" si="21"/>
        <v>0</v>
      </c>
      <c r="P39" s="221">
        <f t="shared" si="11"/>
        <v>0</v>
      </c>
      <c r="Q39" s="221">
        <f t="shared" si="12"/>
        <v>6.0261196389483009</v>
      </c>
      <c r="R39" s="229">
        <f t="shared" si="22"/>
        <v>302.99866920307022</v>
      </c>
      <c r="S39" s="158">
        <f>IF(A39,
    IF(NOT(C39=0),
        IF(B39&lt;2020,
             INDEX(MP_new!$A$4:$J$9, INDEX('Cost Analysis Input'!$B$2:$D$7, IF(MATCH(B39, 'Cost Analysis Input'!$C$2:$C$7, 1)&gt;$I$1, $I$1, MATCH(B39, 'Cost Analysis Input'!$C$2:$C$7, 1)), 3)+1, 7),
             INDEX(MP_new!$A$4:$J$9, INDEX('Cost Analysis Input'!$B$2:$D$7, IF(MATCH(B39, 'Cost Analysis Input'!$C$2:$C$7, 1)&gt;$I$1, $I$1, MATCH(B39, 'Cost Analysis Input'!$C$2:$C$7, 1)), 3)+1, 7)-5000),
        INDEX(MP_new!$A$4:$J$9, $I$1+1, 7)),
    0)</f>
        <v>59692.434433137103</v>
      </c>
      <c r="T39" s="157">
        <f>IF(A39, IF(EXACT($S$5, "Yes"),
    IF(C39=0,
        T38,
        INDEX(MP_new!$A$5:$J$9, INDEX('Cost Analysis Input'!$B$3:$D$7, MATCH(B39, 'Cost Analysis Input'!$B$3:$B$7, 1), 3), 10)),
    0), 0)</f>
        <v>9000</v>
      </c>
      <c r="U39" s="1">
        <f>IF(A39, (MP_new!$G$4-S39)+T39, 0)</f>
        <v>13926.620720270636</v>
      </c>
      <c r="V39" s="1">
        <f t="shared" si="13"/>
        <v>3759.4887986023364</v>
      </c>
      <c r="W39" s="223">
        <f t="shared" si="14"/>
        <v>52.356974600240655</v>
      </c>
      <c r="X39" s="220">
        <f t="shared" si="23"/>
        <v>845.73119258208362</v>
      </c>
      <c r="Y39" s="220">
        <f t="shared" si="24"/>
        <v>46.330854961292353</v>
      </c>
      <c r="Z39" s="220">
        <f t="shared" si="25"/>
        <v>542.7325233790134</v>
      </c>
      <c r="AA39" s="220">
        <f>IF(SUM(AA$9:AA38)&gt;0,0,IF(SUM(X39-R39)&gt;0,B39,0))</f>
        <v>0</v>
      </c>
      <c r="AB39" s="220">
        <f>ABS(Z39)*1000000/SUM(U$9:U39)</f>
        <v>1339.7755016537692</v>
      </c>
      <c r="AH39" s="17">
        <f t="shared" si="26"/>
        <v>2048</v>
      </c>
      <c r="AI39" s="186">
        <f t="shared" si="27"/>
        <v>0</v>
      </c>
      <c r="AJ39" s="184"/>
      <c r="AK39" s="17">
        <f t="shared" si="28"/>
        <v>2048</v>
      </c>
      <c r="AL39" s="232">
        <f t="shared" si="35"/>
        <v>0.05</v>
      </c>
      <c r="AM39" s="187">
        <f t="shared" si="36"/>
        <v>4617.9162669140487</v>
      </c>
      <c r="AN39" s="18">
        <f t="shared" si="37"/>
        <v>3759.4887986023364</v>
      </c>
      <c r="AP39" s="5">
        <f t="shared" si="15"/>
        <v>2048</v>
      </c>
      <c r="AQ39" s="28">
        <f t="shared" si="0"/>
        <v>0</v>
      </c>
      <c r="AS39" s="57">
        <f t="shared" si="16"/>
        <v>2048</v>
      </c>
      <c r="AT39" s="28">
        <f t="shared" si="30"/>
        <v>0</v>
      </c>
      <c r="AU39" s="28">
        <f t="shared" si="31"/>
        <v>0</v>
      </c>
      <c r="AV39" s="28">
        <f t="shared" si="32"/>
        <v>0</v>
      </c>
      <c r="AW39" s="28">
        <f t="shared" si="34"/>
        <v>0</v>
      </c>
      <c r="AX39" s="28">
        <f t="shared" si="38"/>
        <v>0</v>
      </c>
      <c r="AY39" s="28">
        <f t="shared" si="39"/>
        <v>0</v>
      </c>
      <c r="AZ39" s="28">
        <f>SUM($M$9:$M38)</f>
        <v>0</v>
      </c>
      <c r="BA39" s="28">
        <f>SUM($M$9:$M38)</f>
        <v>0</v>
      </c>
      <c r="BB39" s="28">
        <f>SUM($M$9:$M38)</f>
        <v>0</v>
      </c>
      <c r="BD39" s="5">
        <f t="shared" si="17"/>
        <v>2048</v>
      </c>
      <c r="BE39" s="28">
        <f t="shared" si="18"/>
        <v>0</v>
      </c>
      <c r="BF39" s="193"/>
      <c r="BG39" s="5">
        <f t="shared" si="19"/>
        <v>2048</v>
      </c>
      <c r="BH39" s="28">
        <f t="shared" si="33"/>
        <v>0</v>
      </c>
      <c r="BI39" s="28">
        <f t="shared" si="40"/>
        <v>0</v>
      </c>
    </row>
    <row r="40" spans="1:78" x14ac:dyDescent="0.25">
      <c r="A40" s="193" t="b">
        <f>IF(B39+1&lt;INDEX('Step Analysis'!$B$9:$B$51, MATCH(TRUE, INDEX('Step Analysis'!$C$9:$C$51=0,), 0))+100, TRUE, FALSE)</f>
        <v>1</v>
      </c>
      <c r="B40" s="40">
        <f t="shared" si="20"/>
        <v>2049</v>
      </c>
      <c r="C40" s="219">
        <f>IF(B40&gt;MAX('10 YEAR PROJECTION'!$Y$4:$AN$4),
    0,
    IF(INDEX('10 YEAR PROJECTION'!$X$5:$AN$9, MATCH($I$1, '10 YEAR PROJECTION'!$X$5:$X$9, 0), MATCH(B40, '10 YEAR PROJECTION'!$X$4:$AN$4, 0)) &gt; 0,
        INDEX('10 YEAR PROJECTION'!$X$5:$AN$9, MATCH($I$1, '10 YEAR PROJECTION'!$X$5:$X$9, 0), MATCH(B40, '10 YEAR PROJECTION'!$X$4:$AN$4, 0))/1000000,
        0)
    )</f>
        <v>0</v>
      </c>
      <c r="D40" s="219">
        <f>IF(A40, IF(B40&gt;MAX('10 YEAR PROJECTION'!$Y$12:$AN$12),
    D39,
    IF(INDEX('10 YEAR PROJECTION'!$X$13:$AN$17, MATCH($I$1, '10 YEAR PROJECTION'!$X$13:$X$17, 0), MATCH(B40, '10 YEAR PROJECTION'!$X$12:$AN$12, 0)) &gt; 0,
        INDEX('10 YEAR PROJECTION'!$X$13:$AN$17, MATCH($I$1, '10 YEAR PROJECTION'!$X$13:$X$17, 0), MATCH(B40, '10 YEAR PROJECTION'!$X$12:$AN$12, 0))/1000000,
        0)
    ), 0)</f>
        <v>1.6047739052097945</v>
      </c>
      <c r="E40" s="220">
        <f t="shared" si="1"/>
        <v>0.65700000000000003</v>
      </c>
      <c r="F40" s="220">
        <f t="shared" si="2"/>
        <v>0</v>
      </c>
      <c r="G40" s="221">
        <f t="shared" si="3"/>
        <v>4.0120636991060126</v>
      </c>
      <c r="H40" s="222">
        <f t="shared" si="4"/>
        <v>2.2161486506516193</v>
      </c>
      <c r="I40" s="220">
        <f t="shared" si="5"/>
        <v>0</v>
      </c>
      <c r="J40" s="221">
        <f t="shared" si="6"/>
        <v>4.0120636991060126</v>
      </c>
      <c r="K40" s="222">
        <f t="shared" si="7"/>
        <v>2.2161486506516193</v>
      </c>
      <c r="L40" s="220">
        <f t="shared" si="8"/>
        <v>0</v>
      </c>
      <c r="M40" s="223">
        <f t="shared" si="9"/>
        <v>0</v>
      </c>
      <c r="N40" s="223">
        <f t="shared" si="10"/>
        <v>0</v>
      </c>
      <c r="O40" s="227">
        <f t="shared" si="21"/>
        <v>0</v>
      </c>
      <c r="P40" s="228">
        <f t="shared" si="11"/>
        <v>0</v>
      </c>
      <c r="Q40" s="228">
        <f t="shared" si="12"/>
        <v>6.2282123497576318</v>
      </c>
      <c r="R40" s="229">
        <f t="shared" si="22"/>
        <v>309.22688155282788</v>
      </c>
      <c r="S40" s="158">
        <f>IF(A40,
    IF(NOT(C40=0),
        IF(B40&lt;2020,
             INDEX(MP_new!$A$4:$J$9, INDEX('Cost Analysis Input'!$B$2:$D$7, IF(MATCH(B40, 'Cost Analysis Input'!$C$2:$C$7, 1)&gt;$I$1, $I$1, MATCH(B40, 'Cost Analysis Input'!$C$2:$C$7, 1)), 3)+1, 7),
             INDEX(MP_new!$A$4:$J$9, INDEX('Cost Analysis Input'!$B$2:$D$7, IF(MATCH(B40, 'Cost Analysis Input'!$C$2:$C$7, 1)&gt;$I$1, $I$1, MATCH(B40, 'Cost Analysis Input'!$C$2:$C$7, 1)), 3)+1, 7)-5000),
        INDEX(MP_new!$A$4:$J$9, $I$1+1, 7)),
    0)</f>
        <v>59692.434433137103</v>
      </c>
      <c r="T40" s="157">
        <f>IF(A40, IF(EXACT($S$5, "Yes"),
    IF(C40=0,
        T39,
        INDEX(MP_new!$A$5:$J$9, INDEX('Cost Analysis Input'!$B$3:$D$7, MATCH(B40, 'Cost Analysis Input'!$B$3:$B$7, 1), 3), 10)),
    0), 0)</f>
        <v>9000</v>
      </c>
      <c r="U40" s="1">
        <f>IF(A40, (MP_new!$G$4-S40)+T40, 0)</f>
        <v>13926.620720270636</v>
      </c>
      <c r="V40" s="1">
        <f t="shared" si="13"/>
        <v>3947.4632385324535</v>
      </c>
      <c r="W40" s="230">
        <f t="shared" si="14"/>
        <v>54.97482333025269</v>
      </c>
      <c r="X40" s="227">
        <f t="shared" si="23"/>
        <v>900.70601591233628</v>
      </c>
      <c r="Y40" s="227">
        <f t="shared" si="24"/>
        <v>48.746610980495056</v>
      </c>
      <c r="Z40" s="227">
        <f t="shared" si="25"/>
        <v>591.47913435950841</v>
      </c>
      <c r="AA40" s="227">
        <f>IF(SUM(AA$9:AA39)&gt;0,0,IF(SUM(X40-R40)&gt;0,B40,0))</f>
        <v>0</v>
      </c>
      <c r="AB40" s="227">
        <f>ABS(Z40)*1000000/SUM(U$9:U40)</f>
        <v>1411.5815128174206</v>
      </c>
      <c r="AH40" s="17">
        <f t="shared" si="26"/>
        <v>2049</v>
      </c>
      <c r="AI40" s="186">
        <f t="shared" si="27"/>
        <v>0</v>
      </c>
      <c r="AJ40" s="184"/>
      <c r="AK40" s="17">
        <f t="shared" si="28"/>
        <v>2049</v>
      </c>
      <c r="AL40" s="232">
        <f t="shared" si="35"/>
        <v>0.05</v>
      </c>
      <c r="AM40" s="187">
        <f t="shared" si="36"/>
        <v>4848.8120802597514</v>
      </c>
      <c r="AN40" s="18">
        <f t="shared" si="37"/>
        <v>3947.4632385324535</v>
      </c>
      <c r="AO40" s="14"/>
      <c r="AP40" s="15">
        <f t="shared" si="15"/>
        <v>2049</v>
      </c>
      <c r="AQ40" s="29">
        <f t="shared" si="0"/>
        <v>0</v>
      </c>
      <c r="AR40" s="14"/>
      <c r="AS40" s="54">
        <f t="shared" si="16"/>
        <v>2049</v>
      </c>
      <c r="AT40" s="29">
        <f t="shared" si="30"/>
        <v>0</v>
      </c>
      <c r="AU40" s="29">
        <f t="shared" si="31"/>
        <v>0</v>
      </c>
      <c r="AV40" s="29">
        <f t="shared" si="32"/>
        <v>0</v>
      </c>
      <c r="AW40" s="29">
        <f t="shared" si="34"/>
        <v>0</v>
      </c>
      <c r="AX40" s="29">
        <f t="shared" si="38"/>
        <v>0</v>
      </c>
      <c r="AY40" s="29">
        <f t="shared" si="39"/>
        <v>0</v>
      </c>
      <c r="AZ40" s="29">
        <f t="shared" ref="AZ40:AZ50" si="41">SUM(M10:M39)</f>
        <v>0</v>
      </c>
      <c r="BA40" s="29">
        <f>SUM($M$9:$M39)</f>
        <v>0</v>
      </c>
      <c r="BB40" s="29">
        <f>SUM($M$9:$M39)</f>
        <v>0</v>
      </c>
      <c r="BC40" s="14"/>
      <c r="BD40" s="15">
        <f t="shared" si="17"/>
        <v>2049</v>
      </c>
      <c r="BE40" s="29">
        <f t="shared" si="18"/>
        <v>0</v>
      </c>
      <c r="BF40" s="14"/>
      <c r="BG40" s="15">
        <f t="shared" si="19"/>
        <v>2049</v>
      </c>
      <c r="BH40" s="29">
        <f t="shared" si="33"/>
        <v>0</v>
      </c>
      <c r="BI40" s="29">
        <f t="shared" si="40"/>
        <v>0</v>
      </c>
      <c r="BY40" s="193"/>
      <c r="BZ40" s="193"/>
    </row>
    <row r="41" spans="1:78" s="14" customFormat="1" ht="12.75" customHeight="1" x14ac:dyDescent="0.2">
      <c r="A41" s="193" t="b">
        <f>IF(B40+1&lt;INDEX('Step Analysis'!$B$9:$B$51, MATCH(TRUE, INDEX('Step Analysis'!$C$9:$C$51=0,), 0))+100, TRUE, FALSE)</f>
        <v>1</v>
      </c>
      <c r="B41" s="41">
        <f t="shared" si="20"/>
        <v>2050</v>
      </c>
      <c r="C41" s="219">
        <f>IF(B41&gt;MAX('10 YEAR PROJECTION'!$Y$4:$AN$4),
    0,
    IF(INDEX('10 YEAR PROJECTION'!$X$5:$AN$9, MATCH($I$1, '10 YEAR PROJECTION'!$X$5:$X$9, 0), MATCH(B41, '10 YEAR PROJECTION'!$X$4:$AN$4, 0)) &gt; 0,
        INDEX('10 YEAR PROJECTION'!$X$5:$AN$9, MATCH($I$1, '10 YEAR PROJECTION'!$X$5:$X$9, 0), MATCH(B41, '10 YEAR PROJECTION'!$X$4:$AN$4, 0))/1000000,
        0)
    )</f>
        <v>0</v>
      </c>
      <c r="D41" s="219">
        <f>IF(A41, IF(B41&gt;MAX('10 YEAR PROJECTION'!$Y$12:$AN$12),
    D40,
    IF(INDEX('10 YEAR PROJECTION'!$X$13:$AN$17, MATCH($I$1, '10 YEAR PROJECTION'!$X$13:$X$17, 0), MATCH(B41, '10 YEAR PROJECTION'!$X$12:$AN$12, 0)) &gt; 0,
        INDEX('10 YEAR PROJECTION'!$X$13:$AN$17, MATCH($I$1, '10 YEAR PROJECTION'!$X$13:$X$17, 0), MATCH(B41, '10 YEAR PROJECTION'!$X$12:$AN$12, 0))/1000000,
        0)
    ), 0)</f>
        <v>1.6047739052097945</v>
      </c>
      <c r="E41" s="220">
        <f t="shared" si="1"/>
        <v>0.65700000000000003</v>
      </c>
      <c r="F41" s="220">
        <f t="shared" si="2"/>
        <v>0</v>
      </c>
      <c r="G41" s="221">
        <f t="shared" si="3"/>
        <v>4.1324256100791921</v>
      </c>
      <c r="H41" s="222">
        <f t="shared" si="4"/>
        <v>2.3047945966776844</v>
      </c>
      <c r="I41" s="220">
        <f t="shared" si="5"/>
        <v>0</v>
      </c>
      <c r="J41" s="221">
        <f t="shared" si="6"/>
        <v>4.1324256100791921</v>
      </c>
      <c r="K41" s="222">
        <f t="shared" si="7"/>
        <v>2.3047945966776844</v>
      </c>
      <c r="L41" s="220">
        <f t="shared" si="8"/>
        <v>0</v>
      </c>
      <c r="M41" s="223">
        <f t="shared" si="9"/>
        <v>0</v>
      </c>
      <c r="N41" s="223">
        <f t="shared" si="10"/>
        <v>0</v>
      </c>
      <c r="O41" s="220">
        <f t="shared" si="21"/>
        <v>0</v>
      </c>
      <c r="P41" s="221">
        <f t="shared" si="11"/>
        <v>0</v>
      </c>
      <c r="Q41" s="221">
        <f t="shared" si="12"/>
        <v>6.4372202067568765</v>
      </c>
      <c r="R41" s="229">
        <f t="shared" si="22"/>
        <v>315.66410175958475</v>
      </c>
      <c r="S41" s="158">
        <f>IF(A41,
    IF(NOT(C41=0),
        IF(B41&lt;2020,
             INDEX(MP_new!$A$4:$J$9, INDEX('Cost Analysis Input'!$B$2:$D$7, IF(MATCH(B41, 'Cost Analysis Input'!$C$2:$C$7, 1)&gt;$I$1, $I$1, MATCH(B41, 'Cost Analysis Input'!$C$2:$C$7, 1)), 3)+1, 7),
             INDEX(MP_new!$A$4:$J$9, INDEX('Cost Analysis Input'!$B$2:$D$7, IF(MATCH(B41, 'Cost Analysis Input'!$C$2:$C$7, 1)&gt;$I$1, $I$1, MATCH(B41, 'Cost Analysis Input'!$C$2:$C$7, 1)), 3)+1, 7)-5000),
        INDEX(MP_new!$A$4:$J$9, $I$1+1, 7)),
    0)</f>
        <v>59692.434433137103</v>
      </c>
      <c r="T41" s="157">
        <f>IF(A41, IF(EXACT($S$5, "Yes"),
    IF(C41=0,
        T40,
        INDEX(MP_new!$A$5:$J$9, INDEX('Cost Analysis Input'!$B$3:$D$7, MATCH(B41, 'Cost Analysis Input'!$B$3:$B$7, 1), 3), 10)),
    0), 0)</f>
        <v>9000</v>
      </c>
      <c r="U41" s="1">
        <f>IF(A41, (MP_new!$G$4-S41)+T41, 0)</f>
        <v>13926.620720270636</v>
      </c>
      <c r="V41" s="1">
        <f t="shared" si="13"/>
        <v>4144.8364004590767</v>
      </c>
      <c r="W41" s="223">
        <f t="shared" si="14"/>
        <v>57.723564496765341</v>
      </c>
      <c r="X41" s="220">
        <f t="shared" si="23"/>
        <v>958.42958040910162</v>
      </c>
      <c r="Y41" s="220">
        <f t="shared" si="24"/>
        <v>51.286344290008465</v>
      </c>
      <c r="Z41" s="220">
        <f t="shared" si="25"/>
        <v>642.76547864951681</v>
      </c>
      <c r="AA41" s="220">
        <f>IF(SUM(AA$9:AA40)&gt;0,0,IF(SUM(X41-R41)&gt;0,B41,0))</f>
        <v>0</v>
      </c>
      <c r="AB41" s="220">
        <f>ABS(Z41)*1000000/SUM(U$9:U41)</f>
        <v>1484.6341088123527</v>
      </c>
      <c r="AH41" s="17">
        <f t="shared" si="26"/>
        <v>2050</v>
      </c>
      <c r="AI41" s="186">
        <f t="shared" si="27"/>
        <v>0</v>
      </c>
      <c r="AJ41" s="184"/>
      <c r="AK41" s="17">
        <f t="shared" si="28"/>
        <v>2050</v>
      </c>
      <c r="AL41" s="232">
        <f t="shared" si="35"/>
        <v>0.05</v>
      </c>
      <c r="AM41" s="187">
        <f t="shared" si="36"/>
        <v>5091.2526842727393</v>
      </c>
      <c r="AN41" s="18">
        <f t="shared" si="37"/>
        <v>4144.8364004590767</v>
      </c>
      <c r="AP41" s="5">
        <f t="shared" si="15"/>
        <v>2050</v>
      </c>
      <c r="AQ41" s="28">
        <f t="shared" si="0"/>
        <v>0</v>
      </c>
      <c r="AS41" s="57">
        <f t="shared" si="16"/>
        <v>2050</v>
      </c>
      <c r="AT41" s="28">
        <f t="shared" si="30"/>
        <v>0</v>
      </c>
      <c r="AU41" s="28">
        <f t="shared" si="31"/>
        <v>0</v>
      </c>
      <c r="AV41" s="28">
        <f t="shared" si="32"/>
        <v>0</v>
      </c>
      <c r="AW41" s="28">
        <f t="shared" si="34"/>
        <v>0</v>
      </c>
      <c r="AX41" s="28">
        <f t="shared" si="38"/>
        <v>0</v>
      </c>
      <c r="AY41" s="28">
        <f t="shared" si="39"/>
        <v>0</v>
      </c>
      <c r="AZ41" s="28">
        <f t="shared" si="41"/>
        <v>0</v>
      </c>
      <c r="BA41" s="28">
        <f>SUM($M$9:$M40)</f>
        <v>0</v>
      </c>
      <c r="BB41" s="28">
        <f>SUM($M$9:$M40)</f>
        <v>0</v>
      </c>
      <c r="BD41" s="5">
        <f t="shared" si="17"/>
        <v>2050</v>
      </c>
      <c r="BE41" s="28">
        <f t="shared" si="18"/>
        <v>0</v>
      </c>
      <c r="BF41" s="193"/>
      <c r="BG41" s="5">
        <f t="shared" si="19"/>
        <v>2050</v>
      </c>
      <c r="BH41" s="28">
        <f t="shared" si="33"/>
        <v>0</v>
      </c>
      <c r="BI41" s="28">
        <f t="shared" si="40"/>
        <v>0</v>
      </c>
    </row>
    <row r="42" spans="1:78" x14ac:dyDescent="0.25">
      <c r="A42" s="193" t="b">
        <f>IF(B41+1&lt;INDEX('Step Analysis'!$B$9:$B$51, MATCH(TRUE, INDEX('Step Analysis'!$C$9:$C$51=0,), 0))+100, TRUE, FALSE)</f>
        <v>1</v>
      </c>
      <c r="B42" s="40">
        <f t="shared" si="20"/>
        <v>2051</v>
      </c>
      <c r="C42" s="219">
        <f>IF(B42&gt;MAX('10 YEAR PROJECTION'!$Y$4:$AN$4),
    0,
    IF(INDEX('10 YEAR PROJECTION'!$X$5:$AN$9, MATCH($I$1, '10 YEAR PROJECTION'!$X$5:$X$9, 0), MATCH(B42, '10 YEAR PROJECTION'!$X$4:$AN$4, 0)) &gt; 0,
        INDEX('10 YEAR PROJECTION'!$X$5:$AN$9, MATCH($I$1, '10 YEAR PROJECTION'!$X$5:$X$9, 0), MATCH(B42, '10 YEAR PROJECTION'!$X$4:$AN$4, 0))/1000000,
        0)
    )</f>
        <v>0</v>
      </c>
      <c r="D42" s="219">
        <f>IF(A42, IF(B42&gt;MAX('10 YEAR PROJECTION'!$Y$12:$AN$12),
    D41,
    IF(INDEX('10 YEAR PROJECTION'!$X$13:$AN$17, MATCH($I$1, '10 YEAR PROJECTION'!$X$13:$X$17, 0), MATCH(B42, '10 YEAR PROJECTION'!$X$12:$AN$12, 0)) &gt; 0,
        INDEX('10 YEAR PROJECTION'!$X$13:$AN$17, MATCH($I$1, '10 YEAR PROJECTION'!$X$13:$X$17, 0), MATCH(B42, '10 YEAR PROJECTION'!$X$12:$AN$12, 0))/1000000,
        0)
    ), 0)</f>
        <v>1.6047739052097945</v>
      </c>
      <c r="E42" s="220">
        <f t="shared" si="1"/>
        <v>0.65700000000000003</v>
      </c>
      <c r="F42" s="220">
        <f t="shared" si="2"/>
        <v>0</v>
      </c>
      <c r="G42" s="221">
        <f t="shared" si="3"/>
        <v>4.2563983783815678</v>
      </c>
      <c r="H42" s="222">
        <f t="shared" si="4"/>
        <v>2.3969863805447917</v>
      </c>
      <c r="I42" s="220">
        <f t="shared" si="5"/>
        <v>0</v>
      </c>
      <c r="J42" s="221">
        <f t="shared" si="6"/>
        <v>4.2563983783815678</v>
      </c>
      <c r="K42" s="222">
        <f t="shared" si="7"/>
        <v>2.3969863805447917</v>
      </c>
      <c r="L42" s="220">
        <f t="shared" si="8"/>
        <v>0</v>
      </c>
      <c r="M42" s="223">
        <f t="shared" si="9"/>
        <v>0</v>
      </c>
      <c r="N42" s="223">
        <f t="shared" si="10"/>
        <v>0</v>
      </c>
      <c r="O42" s="227">
        <f t="shared" si="21"/>
        <v>0</v>
      </c>
      <c r="P42" s="228">
        <f t="shared" si="11"/>
        <v>0</v>
      </c>
      <c r="Q42" s="228">
        <f t="shared" si="12"/>
        <v>6.6533847589263591</v>
      </c>
      <c r="R42" s="229">
        <f t="shared" si="22"/>
        <v>322.31748651851109</v>
      </c>
      <c r="S42" s="158">
        <f>IF(A42,
    IF(NOT(C42=0),
        IF(B42&lt;2020,
             INDEX(MP_new!$A$4:$J$9, INDEX('Cost Analysis Input'!$B$2:$D$7, IF(MATCH(B42, 'Cost Analysis Input'!$C$2:$C$7, 1)&gt;$I$1, $I$1, MATCH(B42, 'Cost Analysis Input'!$C$2:$C$7, 1)), 3)+1, 7),
             INDEX(MP_new!$A$4:$J$9, INDEX('Cost Analysis Input'!$B$2:$D$7, IF(MATCH(B42, 'Cost Analysis Input'!$C$2:$C$7, 1)&gt;$I$1, $I$1, MATCH(B42, 'Cost Analysis Input'!$C$2:$C$7, 1)), 3)+1, 7)-5000),
        INDEX(MP_new!$A$4:$J$9, $I$1+1, 7)),
    0)</f>
        <v>59692.434433137103</v>
      </c>
      <c r="T42" s="157">
        <f>IF(A42, IF(EXACT($S$5, "Yes"),
    IF(C42=0,
        T41,
        INDEX(MP_new!$A$5:$J$9, INDEX('Cost Analysis Input'!$B$3:$D$7, MATCH(B42, 'Cost Analysis Input'!$B$3:$B$7, 1), 3), 10)),
    0), 0)</f>
        <v>9000</v>
      </c>
      <c r="U42" s="1">
        <f>IF(A42, (MP_new!$G$4-S42)+T42, 0)</f>
        <v>13926.620720270636</v>
      </c>
      <c r="V42" s="1">
        <f t="shared" si="13"/>
        <v>4352.0782204820307</v>
      </c>
      <c r="W42" s="230">
        <f t="shared" si="14"/>
        <v>60.609742721603602</v>
      </c>
      <c r="X42" s="227">
        <f t="shared" si="23"/>
        <v>1019.0393231307053</v>
      </c>
      <c r="Y42" s="227">
        <f t="shared" si="24"/>
        <v>53.956357962677245</v>
      </c>
      <c r="Z42" s="227">
        <f t="shared" si="25"/>
        <v>696.72183661219424</v>
      </c>
      <c r="AA42" s="227">
        <f>IF(SUM(AA$9:AA41)&gt;0,0,IF(SUM(X42-R42)&gt;0,B42,0))</f>
        <v>0</v>
      </c>
      <c r="AB42" s="227">
        <f>ABS(Z42)*1000000/SUM(U$9:U42)</f>
        <v>1559.1082798383939</v>
      </c>
      <c r="AH42" s="17">
        <f t="shared" si="26"/>
        <v>2051</v>
      </c>
      <c r="AI42" s="186">
        <f t="shared" si="27"/>
        <v>0</v>
      </c>
      <c r="AJ42" s="184"/>
      <c r="AK42" s="17">
        <f t="shared" si="28"/>
        <v>2051</v>
      </c>
      <c r="AL42" s="232">
        <f t="shared" si="35"/>
        <v>0.05</v>
      </c>
      <c r="AM42" s="187">
        <f t="shared" si="36"/>
        <v>5345.8153184863768</v>
      </c>
      <c r="AN42" s="18">
        <f t="shared" si="37"/>
        <v>4352.0782204820307</v>
      </c>
      <c r="AO42" s="14"/>
      <c r="AP42" s="15">
        <f t="shared" si="15"/>
        <v>2051</v>
      </c>
      <c r="AQ42" s="29">
        <f t="shared" si="0"/>
        <v>0</v>
      </c>
      <c r="AR42" s="14"/>
      <c r="AS42" s="54">
        <f t="shared" si="16"/>
        <v>2051</v>
      </c>
      <c r="AT42" s="29">
        <f t="shared" si="30"/>
        <v>0</v>
      </c>
      <c r="AU42" s="29">
        <f t="shared" si="31"/>
        <v>0</v>
      </c>
      <c r="AV42" s="29">
        <f t="shared" si="32"/>
        <v>0</v>
      </c>
      <c r="AW42" s="29">
        <f t="shared" si="34"/>
        <v>0</v>
      </c>
      <c r="AX42" s="29">
        <f t="shared" si="38"/>
        <v>0</v>
      </c>
      <c r="AY42" s="29">
        <f t="shared" si="39"/>
        <v>0</v>
      </c>
      <c r="AZ42" s="29">
        <f t="shared" si="41"/>
        <v>0</v>
      </c>
      <c r="BA42" s="29">
        <f>SUM($M$9:$M41)</f>
        <v>0</v>
      </c>
      <c r="BB42" s="29">
        <f>SUM($M$9:$M41)</f>
        <v>0</v>
      </c>
      <c r="BC42" s="14"/>
      <c r="BD42" s="15">
        <f t="shared" si="17"/>
        <v>2051</v>
      </c>
      <c r="BE42" s="29">
        <f t="shared" si="18"/>
        <v>0</v>
      </c>
      <c r="BF42" s="14"/>
      <c r="BG42" s="15">
        <f t="shared" si="19"/>
        <v>2051</v>
      </c>
      <c r="BH42" s="29">
        <f t="shared" si="33"/>
        <v>0</v>
      </c>
      <c r="BI42" s="29">
        <f t="shared" si="40"/>
        <v>0</v>
      </c>
      <c r="BY42" s="193"/>
      <c r="BZ42" s="193"/>
    </row>
    <row r="43" spans="1:78" s="14" customFormat="1" ht="12.75" customHeight="1" x14ac:dyDescent="0.2">
      <c r="A43" s="193" t="b">
        <f>IF(B42+1&lt;INDEX('Step Analysis'!$B$9:$B$51, MATCH(TRUE, INDEX('Step Analysis'!$C$9:$C$51=0,), 0))+100, TRUE, FALSE)</f>
        <v>1</v>
      </c>
      <c r="B43" s="41">
        <f t="shared" si="20"/>
        <v>2052</v>
      </c>
      <c r="C43" s="219">
        <f>IF(B43&gt;MAX('10 YEAR PROJECTION'!$Y$4:$AN$4),
    0,
    IF(INDEX('10 YEAR PROJECTION'!$X$5:$AN$9, MATCH($I$1, '10 YEAR PROJECTION'!$X$5:$X$9, 0), MATCH(B43, '10 YEAR PROJECTION'!$X$4:$AN$4, 0)) &gt; 0,
        INDEX('10 YEAR PROJECTION'!$X$5:$AN$9, MATCH($I$1, '10 YEAR PROJECTION'!$X$5:$X$9, 0), MATCH(B43, '10 YEAR PROJECTION'!$X$4:$AN$4, 0))/1000000,
        0)
    )</f>
        <v>0</v>
      </c>
      <c r="D43" s="219">
        <f>IF(A43, IF(B43&gt;MAX('10 YEAR PROJECTION'!$Y$12:$AN$12),
    D42,
    IF(INDEX('10 YEAR PROJECTION'!$X$13:$AN$17, MATCH($I$1, '10 YEAR PROJECTION'!$X$13:$X$17, 0), MATCH(B43, '10 YEAR PROJECTION'!$X$12:$AN$12, 0)) &gt; 0,
        INDEX('10 YEAR PROJECTION'!$X$13:$AN$17, MATCH($I$1, '10 YEAR PROJECTION'!$X$13:$X$17, 0), MATCH(B43, '10 YEAR PROJECTION'!$X$12:$AN$12, 0))/1000000,
        0)
    ), 0)</f>
        <v>1.6047739052097945</v>
      </c>
      <c r="E43" s="220">
        <f t="shared" si="1"/>
        <v>0.65700000000000003</v>
      </c>
      <c r="F43" s="220">
        <f t="shared" si="2"/>
        <v>0</v>
      </c>
      <c r="G43" s="221">
        <f t="shared" si="3"/>
        <v>4.3840903297330138</v>
      </c>
      <c r="H43" s="222">
        <f t="shared" si="4"/>
        <v>2.4928658357665836</v>
      </c>
      <c r="I43" s="220">
        <f t="shared" si="5"/>
        <v>0</v>
      </c>
      <c r="J43" s="221">
        <f t="shared" si="6"/>
        <v>4.3840903297330138</v>
      </c>
      <c r="K43" s="222">
        <f t="shared" si="7"/>
        <v>2.4928658357665836</v>
      </c>
      <c r="L43" s="220">
        <f t="shared" si="8"/>
        <v>0</v>
      </c>
      <c r="M43" s="223">
        <f t="shared" si="9"/>
        <v>0</v>
      </c>
      <c r="N43" s="223">
        <f t="shared" si="10"/>
        <v>0</v>
      </c>
      <c r="O43" s="220">
        <f t="shared" si="21"/>
        <v>0</v>
      </c>
      <c r="P43" s="221">
        <f t="shared" si="11"/>
        <v>0</v>
      </c>
      <c r="Q43" s="221">
        <f t="shared" si="12"/>
        <v>6.8769561654995979</v>
      </c>
      <c r="R43" s="229">
        <f t="shared" si="22"/>
        <v>329.19444268401071</v>
      </c>
      <c r="S43" s="158">
        <f>IF(A43,
    IF(NOT(C43=0),
        IF(B43&lt;2020,
             INDEX(MP_new!$A$4:$J$9, INDEX('Cost Analysis Input'!$B$2:$D$7, IF(MATCH(B43, 'Cost Analysis Input'!$C$2:$C$7, 1)&gt;$I$1, $I$1, MATCH(B43, 'Cost Analysis Input'!$C$2:$C$7, 1)), 3)+1, 7),
             INDEX(MP_new!$A$4:$J$9, INDEX('Cost Analysis Input'!$B$2:$D$7, IF(MATCH(B43, 'Cost Analysis Input'!$C$2:$C$7, 1)&gt;$I$1, $I$1, MATCH(B43, 'Cost Analysis Input'!$C$2:$C$7, 1)), 3)+1, 7)-5000),
        INDEX(MP_new!$A$4:$J$9, $I$1+1, 7)),
    0)</f>
        <v>59692.434433137103</v>
      </c>
      <c r="T43" s="157">
        <f>IF(A43, IF(EXACT($S$5, "Yes"),
    IF(C43=0,
        T42,
        INDEX(MP_new!$A$5:$J$9, INDEX('Cost Analysis Input'!$B$3:$D$7, MATCH(B43, 'Cost Analysis Input'!$B$3:$B$7, 1), 3), 10)),
    0), 0)</f>
        <v>9000</v>
      </c>
      <c r="U43" s="1">
        <f>IF(A43, (MP_new!$G$4-S43)+T43, 0)</f>
        <v>13926.620720270636</v>
      </c>
      <c r="V43" s="1">
        <f t="shared" si="13"/>
        <v>4569.6821315061325</v>
      </c>
      <c r="W43" s="223">
        <f t="shared" si="14"/>
        <v>63.640229857683785</v>
      </c>
      <c r="X43" s="220">
        <f t="shared" si="23"/>
        <v>1082.6795529883891</v>
      </c>
      <c r="Y43" s="220">
        <f t="shared" si="24"/>
        <v>56.763273692184185</v>
      </c>
      <c r="Z43" s="220">
        <f t="shared" si="25"/>
        <v>753.4851103043784</v>
      </c>
      <c r="AA43" s="220">
        <f>IF(SUM(AA$9:AA42)&gt;0,0,IF(SUM(X43-R43)&gt;0,B43,0))</f>
        <v>0</v>
      </c>
      <c r="AB43" s="220">
        <f>ABS(Z43)*1000000/SUM(U$9:U43)</f>
        <v>1635.1722313639464</v>
      </c>
      <c r="AH43" s="17">
        <f t="shared" si="26"/>
        <v>2052</v>
      </c>
      <c r="AI43" s="186">
        <f t="shared" si="27"/>
        <v>0</v>
      </c>
      <c r="AJ43" s="184"/>
      <c r="AK43" s="17">
        <f t="shared" si="28"/>
        <v>2052</v>
      </c>
      <c r="AL43" s="232">
        <f t="shared" si="35"/>
        <v>0.05</v>
      </c>
      <c r="AM43" s="187">
        <f t="shared" si="36"/>
        <v>5613.106084410696</v>
      </c>
      <c r="AN43" s="18">
        <f t="shared" si="37"/>
        <v>4569.6821315061325</v>
      </c>
      <c r="AP43" s="5">
        <f t="shared" si="15"/>
        <v>2052</v>
      </c>
      <c r="AQ43" s="28">
        <f t="shared" si="0"/>
        <v>0</v>
      </c>
      <c r="AS43" s="57">
        <f t="shared" si="16"/>
        <v>2052</v>
      </c>
      <c r="AT43" s="28">
        <f t="shared" si="30"/>
        <v>0</v>
      </c>
      <c r="AU43" s="28">
        <f t="shared" si="31"/>
        <v>0</v>
      </c>
      <c r="AV43" s="28">
        <f t="shared" si="32"/>
        <v>0</v>
      </c>
      <c r="AW43" s="28">
        <f t="shared" si="34"/>
        <v>0</v>
      </c>
      <c r="AX43" s="28">
        <f t="shared" si="38"/>
        <v>0</v>
      </c>
      <c r="AY43" s="28">
        <f t="shared" si="39"/>
        <v>0</v>
      </c>
      <c r="AZ43" s="28">
        <f t="shared" si="41"/>
        <v>0</v>
      </c>
      <c r="BA43" s="28">
        <f>SUM($M$9:$M42)</f>
        <v>0</v>
      </c>
      <c r="BB43" s="28">
        <f>SUM($M$9:$M42)</f>
        <v>0</v>
      </c>
      <c r="BD43" s="5">
        <f t="shared" si="17"/>
        <v>2052</v>
      </c>
      <c r="BE43" s="28">
        <f t="shared" si="18"/>
        <v>0</v>
      </c>
      <c r="BF43" s="193"/>
      <c r="BG43" s="5">
        <f t="shared" si="19"/>
        <v>2052</v>
      </c>
      <c r="BH43" s="28">
        <f t="shared" si="33"/>
        <v>0</v>
      </c>
      <c r="BI43" s="28">
        <f t="shared" si="40"/>
        <v>0</v>
      </c>
    </row>
    <row r="44" spans="1:78" x14ac:dyDescent="0.25">
      <c r="A44" s="193" t="b">
        <f>IF(B43+1&lt;INDEX('Step Analysis'!$B$9:$B$51, MATCH(TRUE, INDEX('Step Analysis'!$C$9:$C$51=0,), 0))+100, TRUE, FALSE)</f>
        <v>1</v>
      </c>
      <c r="B44" s="40">
        <f t="shared" si="20"/>
        <v>2053</v>
      </c>
      <c r="C44" s="219">
        <f>IF(B44&gt;MAX('10 YEAR PROJECTION'!$Y$4:$AN$4),
    0,
    IF(INDEX('10 YEAR PROJECTION'!$X$5:$AN$9, MATCH($I$1, '10 YEAR PROJECTION'!$X$5:$X$9, 0), MATCH(B44, '10 YEAR PROJECTION'!$X$4:$AN$4, 0)) &gt; 0,
        INDEX('10 YEAR PROJECTION'!$X$5:$AN$9, MATCH($I$1, '10 YEAR PROJECTION'!$X$5:$X$9, 0), MATCH(B44, '10 YEAR PROJECTION'!$X$4:$AN$4, 0))/1000000,
        0)
    )</f>
        <v>0</v>
      </c>
      <c r="D44" s="219">
        <f>IF(A44, IF(B44&gt;MAX('10 YEAR PROJECTION'!$Y$12:$AN$12),
    D43,
    IF(INDEX('10 YEAR PROJECTION'!$X$13:$AN$17, MATCH($I$1, '10 YEAR PROJECTION'!$X$13:$X$17, 0), MATCH(B44, '10 YEAR PROJECTION'!$X$12:$AN$12, 0)) &gt; 0,
        INDEX('10 YEAR PROJECTION'!$X$13:$AN$17, MATCH($I$1, '10 YEAR PROJECTION'!$X$13:$X$17, 0), MATCH(B44, '10 YEAR PROJECTION'!$X$12:$AN$12, 0))/1000000,
        0)
    ), 0)</f>
        <v>1.6047739052097945</v>
      </c>
      <c r="E44" s="220">
        <f t="shared" si="1"/>
        <v>0.65700000000000003</v>
      </c>
      <c r="F44" s="220">
        <f t="shared" si="2"/>
        <v>0</v>
      </c>
      <c r="G44" s="221">
        <f t="shared" si="3"/>
        <v>4.5156130396250056</v>
      </c>
      <c r="H44" s="222">
        <f t="shared" si="4"/>
        <v>2.5925804691972472</v>
      </c>
      <c r="I44" s="220">
        <f t="shared" si="5"/>
        <v>0</v>
      </c>
      <c r="J44" s="221">
        <f t="shared" si="6"/>
        <v>4.5156130396250056</v>
      </c>
      <c r="K44" s="222">
        <f t="shared" si="7"/>
        <v>2.5925804691972472</v>
      </c>
      <c r="L44" s="220">
        <f t="shared" si="8"/>
        <v>0</v>
      </c>
      <c r="M44" s="223">
        <f t="shared" si="9"/>
        <v>0</v>
      </c>
      <c r="N44" s="223">
        <f t="shared" si="10"/>
        <v>0</v>
      </c>
      <c r="O44" s="227">
        <f t="shared" si="21"/>
        <v>0</v>
      </c>
      <c r="P44" s="228">
        <f t="shared" si="11"/>
        <v>0</v>
      </c>
      <c r="Q44" s="228">
        <f t="shared" si="12"/>
        <v>7.1081935088222528</v>
      </c>
      <c r="R44" s="229">
        <f t="shared" si="22"/>
        <v>336.30263619283295</v>
      </c>
      <c r="S44" s="158">
        <f>IF(A44,
    IF(NOT(C44=0),
        IF(B44&lt;2020,
             INDEX(MP_new!$A$4:$J$9, INDEX('Cost Analysis Input'!$B$2:$D$7, IF(MATCH(B44, 'Cost Analysis Input'!$C$2:$C$7, 1)&gt;$I$1, $I$1, MATCH(B44, 'Cost Analysis Input'!$C$2:$C$7, 1)), 3)+1, 7),
             INDEX(MP_new!$A$4:$J$9, INDEX('Cost Analysis Input'!$B$2:$D$7, IF(MATCH(B44, 'Cost Analysis Input'!$C$2:$C$7, 1)&gt;$I$1, $I$1, MATCH(B44, 'Cost Analysis Input'!$C$2:$C$7, 1)), 3)+1, 7)-5000),
        INDEX(MP_new!$A$4:$J$9, $I$1+1, 7)),
    0)</f>
        <v>59692.434433137103</v>
      </c>
      <c r="T44" s="157">
        <f>IF(A44, IF(EXACT($S$5, "Yes"),
    IF(C44=0,
        T43,
        INDEX(MP_new!$A$5:$J$9, INDEX('Cost Analysis Input'!$B$3:$D$7, MATCH(B44, 'Cost Analysis Input'!$B$3:$B$7, 1), 3), 10)),
    0), 0)</f>
        <v>9000</v>
      </c>
      <c r="U44" s="1">
        <f>IF(A44, (MP_new!$G$4-S44)+T44, 0)</f>
        <v>13926.620720270636</v>
      </c>
      <c r="V44" s="1">
        <f t="shared" si="13"/>
        <v>4798.1662380814396</v>
      </c>
      <c r="W44" s="230">
        <f t="shared" si="14"/>
        <v>66.822241350567978</v>
      </c>
      <c r="X44" s="227">
        <f t="shared" si="23"/>
        <v>1149.5017943389571</v>
      </c>
      <c r="Y44" s="227">
        <f t="shared" si="24"/>
        <v>59.714047841745725</v>
      </c>
      <c r="Z44" s="227">
        <f t="shared" si="25"/>
        <v>813.19915814612409</v>
      </c>
      <c r="AA44" s="227">
        <f>IF(SUM(AA$9:AA43)&gt;0,0,IF(SUM(X44-R44)&gt;0,B44,0))</f>
        <v>0</v>
      </c>
      <c r="AB44" s="227">
        <f>ABS(Z44)*1000000/SUM(U$9:U44)</f>
        <v>1712.9890842914072</v>
      </c>
      <c r="AH44" s="17">
        <f t="shared" si="26"/>
        <v>2053</v>
      </c>
      <c r="AI44" s="186">
        <f t="shared" si="27"/>
        <v>0</v>
      </c>
      <c r="AJ44" s="184"/>
      <c r="AK44" s="17">
        <f t="shared" si="28"/>
        <v>2053</v>
      </c>
      <c r="AL44" s="232">
        <f t="shared" si="35"/>
        <v>0.05</v>
      </c>
      <c r="AM44" s="187">
        <f t="shared" si="36"/>
        <v>5893.7613886312311</v>
      </c>
      <c r="AN44" s="18">
        <f t="shared" si="37"/>
        <v>4798.1662380814396</v>
      </c>
      <c r="AO44" s="14"/>
      <c r="AP44" s="15">
        <f t="shared" si="15"/>
        <v>2053</v>
      </c>
      <c r="AQ44" s="29">
        <f t="shared" si="0"/>
        <v>0</v>
      </c>
      <c r="AR44" s="14"/>
      <c r="AS44" s="54">
        <f t="shared" si="16"/>
        <v>2053</v>
      </c>
      <c r="AT44" s="29">
        <f t="shared" si="30"/>
        <v>0</v>
      </c>
      <c r="AU44" s="29">
        <f t="shared" si="31"/>
        <v>0</v>
      </c>
      <c r="AV44" s="29">
        <f t="shared" si="32"/>
        <v>0</v>
      </c>
      <c r="AW44" s="29">
        <f t="shared" si="34"/>
        <v>0</v>
      </c>
      <c r="AX44" s="29">
        <f t="shared" si="38"/>
        <v>0</v>
      </c>
      <c r="AY44" s="29">
        <f t="shared" si="39"/>
        <v>0</v>
      </c>
      <c r="AZ44" s="29">
        <f t="shared" si="41"/>
        <v>0</v>
      </c>
      <c r="BA44" s="29">
        <f>SUM($M$9:$M43)</f>
        <v>0</v>
      </c>
      <c r="BB44" s="29">
        <f>SUM($M$9:$M43)</f>
        <v>0</v>
      </c>
      <c r="BC44" s="14"/>
      <c r="BD44" s="15">
        <f t="shared" si="17"/>
        <v>2053</v>
      </c>
      <c r="BE44" s="29">
        <f t="shared" si="18"/>
        <v>0</v>
      </c>
      <c r="BF44" s="14"/>
      <c r="BG44" s="15">
        <f t="shared" si="19"/>
        <v>2053</v>
      </c>
      <c r="BH44" s="29">
        <f t="shared" si="33"/>
        <v>0</v>
      </c>
      <c r="BI44" s="29">
        <f t="shared" si="40"/>
        <v>0</v>
      </c>
      <c r="BY44" s="193"/>
      <c r="BZ44" s="193"/>
    </row>
    <row r="45" spans="1:78" s="14" customFormat="1" ht="12.75" customHeight="1" x14ac:dyDescent="0.2">
      <c r="A45" s="193" t="b">
        <f>IF(B44+1&lt;INDEX('Step Analysis'!$B$9:$B$51, MATCH(TRUE, INDEX('Step Analysis'!$C$9:$C$51=0,), 0))+100, TRUE, FALSE)</f>
        <v>1</v>
      </c>
      <c r="B45" s="41">
        <f t="shared" si="20"/>
        <v>2054</v>
      </c>
      <c r="C45" s="219">
        <f>IF(B45&gt;MAX('10 YEAR PROJECTION'!$Y$4:$AN$4),
    0,
    IF(INDEX('10 YEAR PROJECTION'!$X$5:$AN$9, MATCH($I$1, '10 YEAR PROJECTION'!$X$5:$X$9, 0), MATCH(B45, '10 YEAR PROJECTION'!$X$4:$AN$4, 0)) &gt; 0,
        INDEX('10 YEAR PROJECTION'!$X$5:$AN$9, MATCH($I$1, '10 YEAR PROJECTION'!$X$5:$X$9, 0), MATCH(B45, '10 YEAR PROJECTION'!$X$4:$AN$4, 0))/1000000,
        0)
    )</f>
        <v>0</v>
      </c>
      <c r="D45" s="219">
        <f>IF(A45, IF(B45&gt;MAX('10 YEAR PROJECTION'!$Y$12:$AN$12),
    D44,
    IF(INDEX('10 YEAR PROJECTION'!$X$13:$AN$17, MATCH($I$1, '10 YEAR PROJECTION'!$X$13:$X$17, 0), MATCH(B45, '10 YEAR PROJECTION'!$X$12:$AN$12, 0)) &gt; 0,
        INDEX('10 YEAR PROJECTION'!$X$13:$AN$17, MATCH($I$1, '10 YEAR PROJECTION'!$X$13:$X$17, 0), MATCH(B45, '10 YEAR PROJECTION'!$X$12:$AN$12, 0))/1000000,
        0)
    ), 0)</f>
        <v>1.6047739052097945</v>
      </c>
      <c r="E45" s="220">
        <f t="shared" si="1"/>
        <v>0.65700000000000003</v>
      </c>
      <c r="F45" s="220">
        <f t="shared" si="2"/>
        <v>0</v>
      </c>
      <c r="G45" s="221">
        <f t="shared" si="3"/>
        <v>4.6510814308137549</v>
      </c>
      <c r="H45" s="222">
        <f t="shared" si="4"/>
        <v>2.6962836879651366</v>
      </c>
      <c r="I45" s="220">
        <f t="shared" si="5"/>
        <v>0</v>
      </c>
      <c r="J45" s="221">
        <f t="shared" si="6"/>
        <v>4.6510814308137549</v>
      </c>
      <c r="K45" s="222">
        <f t="shared" si="7"/>
        <v>2.6962836879651366</v>
      </c>
      <c r="L45" s="220">
        <f t="shared" si="8"/>
        <v>0</v>
      </c>
      <c r="M45" s="223">
        <f t="shared" si="9"/>
        <v>0</v>
      </c>
      <c r="N45" s="223">
        <f t="shared" si="10"/>
        <v>0</v>
      </c>
      <c r="O45" s="220">
        <f t="shared" si="21"/>
        <v>0</v>
      </c>
      <c r="P45" s="221">
        <f t="shared" si="11"/>
        <v>0</v>
      </c>
      <c r="Q45" s="221">
        <f t="shared" si="12"/>
        <v>7.3473651187788915</v>
      </c>
      <c r="R45" s="229">
        <f t="shared" si="22"/>
        <v>343.65000131161185</v>
      </c>
      <c r="S45" s="158">
        <f>IF(A45,
    IF(NOT(C45=0),
        IF(B45&lt;2020,
             INDEX(MP_new!$A$4:$J$9, INDEX('Cost Analysis Input'!$B$2:$D$7, IF(MATCH(B45, 'Cost Analysis Input'!$C$2:$C$7, 1)&gt;$I$1, $I$1, MATCH(B45, 'Cost Analysis Input'!$C$2:$C$7, 1)), 3)+1, 7),
             INDEX(MP_new!$A$4:$J$9, INDEX('Cost Analysis Input'!$B$2:$D$7, IF(MATCH(B45, 'Cost Analysis Input'!$C$2:$C$7, 1)&gt;$I$1, $I$1, MATCH(B45, 'Cost Analysis Input'!$C$2:$C$7, 1)), 3)+1, 7)-5000),
        INDEX(MP_new!$A$4:$J$9, $I$1+1, 7)),
    0)</f>
        <v>59692.434433137103</v>
      </c>
      <c r="T45" s="157">
        <f>IF(A45, IF(EXACT($S$5, "Yes"),
    IF(C45=0,
        T44,
        INDEX(MP_new!$A$5:$J$9, INDEX('Cost Analysis Input'!$B$3:$D$7, MATCH(B45, 'Cost Analysis Input'!$B$3:$B$7, 1), 3), 10)),
    0), 0)</f>
        <v>9000</v>
      </c>
      <c r="U45" s="1">
        <f>IF(A45, (MP_new!$G$4-S45)+T45, 0)</f>
        <v>13926.620720270636</v>
      </c>
      <c r="V45" s="1">
        <f t="shared" si="13"/>
        <v>5038.074549985512</v>
      </c>
      <c r="W45" s="223">
        <f t="shared" si="14"/>
        <v>70.163353418096392</v>
      </c>
      <c r="X45" s="220">
        <f t="shared" si="23"/>
        <v>1219.6651477570535</v>
      </c>
      <c r="Y45" s="220">
        <f t="shared" si="24"/>
        <v>62.815988299317503</v>
      </c>
      <c r="Z45" s="220">
        <f t="shared" si="25"/>
        <v>876.0151464454417</v>
      </c>
      <c r="AA45" s="220">
        <f>IF(SUM(AA$9:AA44)&gt;0,0,IF(SUM(X45-R45)&gt;0,B45,0))</f>
        <v>0</v>
      </c>
      <c r="AB45" s="220">
        <f>ABS(Z45)*1000000/SUM(U$9:U45)</f>
        <v>1792.7183188866875</v>
      </c>
      <c r="AH45" s="17">
        <f t="shared" si="26"/>
        <v>2054</v>
      </c>
      <c r="AI45" s="186">
        <f t="shared" si="27"/>
        <v>0</v>
      </c>
      <c r="AJ45" s="184"/>
      <c r="AK45" s="17">
        <f t="shared" si="28"/>
        <v>2054</v>
      </c>
      <c r="AL45" s="232">
        <f t="shared" si="35"/>
        <v>0.05</v>
      </c>
      <c r="AM45" s="187">
        <f t="shared" si="36"/>
        <v>6188.4494580627925</v>
      </c>
      <c r="AN45" s="18">
        <f t="shared" si="37"/>
        <v>5038.074549985512</v>
      </c>
      <c r="AP45" s="5">
        <f t="shared" si="15"/>
        <v>2054</v>
      </c>
      <c r="AQ45" s="28">
        <f t="shared" si="0"/>
        <v>0</v>
      </c>
      <c r="AS45" s="57">
        <f t="shared" si="16"/>
        <v>2054</v>
      </c>
      <c r="AT45" s="28">
        <f t="shared" si="30"/>
        <v>0</v>
      </c>
      <c r="AU45" s="28">
        <f t="shared" si="31"/>
        <v>0</v>
      </c>
      <c r="AV45" s="28">
        <f t="shared" si="32"/>
        <v>0</v>
      </c>
      <c r="AW45" s="28">
        <f t="shared" si="34"/>
        <v>0</v>
      </c>
      <c r="AX45" s="28">
        <f t="shared" si="38"/>
        <v>0</v>
      </c>
      <c r="AY45" s="28">
        <f t="shared" si="39"/>
        <v>0</v>
      </c>
      <c r="AZ45" s="28">
        <f t="shared" si="41"/>
        <v>0</v>
      </c>
      <c r="BA45" s="28">
        <f t="shared" ref="BA45:BA50" si="42">SUM(M10:M44)</f>
        <v>0</v>
      </c>
      <c r="BB45" s="28">
        <f>SUM($M$9:$M44)</f>
        <v>0</v>
      </c>
      <c r="BD45" s="5">
        <f t="shared" si="17"/>
        <v>2054</v>
      </c>
      <c r="BE45" s="28">
        <f t="shared" si="18"/>
        <v>0</v>
      </c>
      <c r="BF45" s="193"/>
      <c r="BG45" s="5">
        <f t="shared" si="19"/>
        <v>2054</v>
      </c>
      <c r="BH45" s="28">
        <f t="shared" si="33"/>
        <v>0</v>
      </c>
      <c r="BI45" s="28">
        <f t="shared" si="40"/>
        <v>0</v>
      </c>
    </row>
    <row r="46" spans="1:78" x14ac:dyDescent="0.25">
      <c r="A46" s="193" t="b">
        <f>IF(B45+1&lt;INDEX('Step Analysis'!$B$9:$B$51, MATCH(TRUE, INDEX('Step Analysis'!$C$9:$C$51=0,), 0))+100, TRUE, FALSE)</f>
        <v>1</v>
      </c>
      <c r="B46" s="40">
        <f t="shared" si="20"/>
        <v>2055</v>
      </c>
      <c r="C46" s="219">
        <f>IF(B46&gt;MAX('10 YEAR PROJECTION'!$Y$4:$AN$4),
    0,
    IF(INDEX('10 YEAR PROJECTION'!$X$5:$AN$9, MATCH($I$1, '10 YEAR PROJECTION'!$X$5:$X$9, 0), MATCH(B46, '10 YEAR PROJECTION'!$X$4:$AN$4, 0)) &gt; 0,
        INDEX('10 YEAR PROJECTION'!$X$5:$AN$9, MATCH($I$1, '10 YEAR PROJECTION'!$X$5:$X$9, 0), MATCH(B46, '10 YEAR PROJECTION'!$X$4:$AN$4, 0))/1000000,
        0)
    )</f>
        <v>0</v>
      </c>
      <c r="D46" s="219">
        <f>IF(A46, IF(B46&gt;MAX('10 YEAR PROJECTION'!$Y$12:$AN$12),
    D45,
    IF(INDEX('10 YEAR PROJECTION'!$X$13:$AN$17, MATCH($I$1, '10 YEAR PROJECTION'!$X$13:$X$17, 0), MATCH(B46, '10 YEAR PROJECTION'!$X$12:$AN$12, 0)) &gt; 0,
        INDEX('10 YEAR PROJECTION'!$X$13:$AN$17, MATCH($I$1, '10 YEAR PROJECTION'!$X$13:$X$17, 0), MATCH(B46, '10 YEAR PROJECTION'!$X$12:$AN$12, 0))/1000000,
        0)
    ), 0)</f>
        <v>1.6047739052097945</v>
      </c>
      <c r="E46" s="220">
        <f t="shared" si="1"/>
        <v>0.65700000000000003</v>
      </c>
      <c r="F46" s="220">
        <f t="shared" si="2"/>
        <v>0</v>
      </c>
      <c r="G46" s="221">
        <f t="shared" si="3"/>
        <v>4.7906138737381667</v>
      </c>
      <c r="H46" s="222">
        <f t="shared" si="4"/>
        <v>2.8041350354837431</v>
      </c>
      <c r="I46" s="220">
        <f t="shared" si="5"/>
        <v>0</v>
      </c>
      <c r="J46" s="221">
        <f t="shared" si="6"/>
        <v>4.7906138737381667</v>
      </c>
      <c r="K46" s="222">
        <f t="shared" si="7"/>
        <v>2.8041350354837431</v>
      </c>
      <c r="L46" s="220">
        <f t="shared" si="8"/>
        <v>0</v>
      </c>
      <c r="M46" s="223">
        <f t="shared" si="9"/>
        <v>0</v>
      </c>
      <c r="N46" s="223">
        <f t="shared" si="10"/>
        <v>0</v>
      </c>
      <c r="O46" s="227">
        <f t="shared" si="21"/>
        <v>0</v>
      </c>
      <c r="P46" s="228">
        <f t="shared" si="11"/>
        <v>0</v>
      </c>
      <c r="Q46" s="228">
        <f t="shared" si="12"/>
        <v>7.5947489092219094</v>
      </c>
      <c r="R46" s="229">
        <f t="shared" si="22"/>
        <v>351.24475022083374</v>
      </c>
      <c r="S46" s="158">
        <f>IF(A46,
    IF(NOT(C46=0),
        IF(B46&lt;2020,
             INDEX(MP_new!$A$4:$J$9, INDEX('Cost Analysis Input'!$B$2:$D$7, IF(MATCH(B46, 'Cost Analysis Input'!$C$2:$C$7, 1)&gt;$I$1, $I$1, MATCH(B46, 'Cost Analysis Input'!$C$2:$C$7, 1)), 3)+1, 7),
             INDEX(MP_new!$A$4:$J$9, INDEX('Cost Analysis Input'!$B$2:$D$7, IF(MATCH(B46, 'Cost Analysis Input'!$C$2:$C$7, 1)&gt;$I$1, $I$1, MATCH(B46, 'Cost Analysis Input'!$C$2:$C$7, 1)), 3)+1, 7)-5000),
        INDEX(MP_new!$A$4:$J$9, $I$1+1, 7)),
    0)</f>
        <v>59692.434433137103</v>
      </c>
      <c r="T46" s="157">
        <f>IF(A46, IF(EXACT($S$5, "Yes"),
    IF(C46=0,
        T45,
        INDEX(MP_new!$A$5:$J$9, INDEX('Cost Analysis Input'!$B$3:$D$7, MATCH(B46, 'Cost Analysis Input'!$B$3:$B$7, 1), 3), 10)),
    0), 0)</f>
        <v>9000</v>
      </c>
      <c r="U46" s="1">
        <f>IF(A46, (MP_new!$G$4-S46)+T46, 0)</f>
        <v>13926.620720270636</v>
      </c>
      <c r="V46" s="1">
        <f t="shared" si="13"/>
        <v>5289.9782774847881</v>
      </c>
      <c r="W46" s="230">
        <f t="shared" si="14"/>
        <v>73.671521089001203</v>
      </c>
      <c r="X46" s="227">
        <f t="shared" si="23"/>
        <v>1293.3366688460546</v>
      </c>
      <c r="Y46" s="227">
        <f t="shared" si="24"/>
        <v>66.076772179779297</v>
      </c>
      <c r="Z46" s="227">
        <f t="shared" si="25"/>
        <v>942.09191862522084</v>
      </c>
      <c r="AA46" s="227">
        <f>IF(SUM(AA$9:AA45)&gt;0,0,IF(SUM(X46-R46)&gt;0,B46,0))</f>
        <v>0</v>
      </c>
      <c r="AB46" s="227">
        <f>ABS(Z46)*1000000/SUM(U$9:U46)</f>
        <v>1874.517013860793</v>
      </c>
      <c r="AH46" s="17">
        <f t="shared" si="26"/>
        <v>2055</v>
      </c>
      <c r="AI46" s="186">
        <f t="shared" si="27"/>
        <v>0</v>
      </c>
      <c r="AJ46" s="184"/>
      <c r="AK46" s="17">
        <f t="shared" si="28"/>
        <v>2055</v>
      </c>
      <c r="AL46" s="232">
        <f t="shared" si="35"/>
        <v>0.05</v>
      </c>
      <c r="AM46" s="187">
        <f t="shared" si="36"/>
        <v>6497.8719309659327</v>
      </c>
      <c r="AN46" s="18">
        <f t="shared" si="37"/>
        <v>5289.9782774847881</v>
      </c>
      <c r="AO46" s="14"/>
      <c r="AP46" s="15">
        <f t="shared" si="15"/>
        <v>2055</v>
      </c>
      <c r="AQ46" s="29">
        <f t="shared" si="0"/>
        <v>0</v>
      </c>
      <c r="AR46" s="14"/>
      <c r="AS46" s="54">
        <f t="shared" si="16"/>
        <v>2055</v>
      </c>
      <c r="AT46" s="29">
        <f t="shared" si="30"/>
        <v>0</v>
      </c>
      <c r="AU46" s="29">
        <f t="shared" si="31"/>
        <v>0</v>
      </c>
      <c r="AV46" s="29">
        <f t="shared" si="32"/>
        <v>0</v>
      </c>
      <c r="AW46" s="29">
        <f t="shared" si="34"/>
        <v>0</v>
      </c>
      <c r="AX46" s="29">
        <f t="shared" si="38"/>
        <v>0</v>
      </c>
      <c r="AY46" s="29">
        <f t="shared" si="39"/>
        <v>0</v>
      </c>
      <c r="AZ46" s="29">
        <f t="shared" si="41"/>
        <v>0</v>
      </c>
      <c r="BA46" s="29">
        <f t="shared" si="42"/>
        <v>0</v>
      </c>
      <c r="BB46" s="29">
        <f>SUM($M$9:$M45)</f>
        <v>0</v>
      </c>
      <c r="BC46" s="14"/>
      <c r="BD46" s="15">
        <f t="shared" si="17"/>
        <v>2055</v>
      </c>
      <c r="BE46" s="29">
        <f t="shared" si="18"/>
        <v>0</v>
      </c>
      <c r="BF46" s="14"/>
      <c r="BG46" s="15">
        <f t="shared" si="19"/>
        <v>2055</v>
      </c>
      <c r="BH46" s="29">
        <f t="shared" si="33"/>
        <v>0</v>
      </c>
      <c r="BI46" s="29">
        <f t="shared" si="40"/>
        <v>0</v>
      </c>
      <c r="BY46" s="193"/>
      <c r="BZ46" s="193"/>
    </row>
    <row r="47" spans="1:78" s="14" customFormat="1" ht="13.5" customHeight="1" x14ac:dyDescent="0.2">
      <c r="A47" s="193" t="b">
        <f>IF(B46+1&lt;INDEX('Step Analysis'!$B$9:$B$51, MATCH(TRUE, INDEX('Step Analysis'!$C$9:$C$51=0,), 0))+100, TRUE, FALSE)</f>
        <v>1</v>
      </c>
      <c r="B47" s="41">
        <f t="shared" si="20"/>
        <v>2056</v>
      </c>
      <c r="C47" s="219">
        <f>IF(B47&gt;MAX('10 YEAR PROJECTION'!$Y$4:$AN$4),
    0,
    IF(INDEX('10 YEAR PROJECTION'!$X$5:$AN$9, MATCH($I$1, '10 YEAR PROJECTION'!$X$5:$X$9, 0), MATCH(B47, '10 YEAR PROJECTION'!$X$4:$AN$4, 0)) &gt; 0,
        INDEX('10 YEAR PROJECTION'!$X$5:$AN$9, MATCH($I$1, '10 YEAR PROJECTION'!$X$5:$X$9, 0), MATCH(B47, '10 YEAR PROJECTION'!$X$4:$AN$4, 0))/1000000,
        0)
    )</f>
        <v>0</v>
      </c>
      <c r="D47" s="219">
        <f>IF(A47, IF(B47&gt;MAX('10 YEAR PROJECTION'!$Y$12:$AN$12),
    D46,
    IF(INDEX('10 YEAR PROJECTION'!$X$13:$AN$17, MATCH($I$1, '10 YEAR PROJECTION'!$X$13:$X$17, 0), MATCH(B47, '10 YEAR PROJECTION'!$X$12:$AN$12, 0)) &gt; 0,
        INDEX('10 YEAR PROJECTION'!$X$13:$AN$17, MATCH($I$1, '10 YEAR PROJECTION'!$X$13:$X$17, 0), MATCH(B47, '10 YEAR PROJECTION'!$X$12:$AN$12, 0))/1000000,
        0)
    ), 0)</f>
        <v>1.6047739052097945</v>
      </c>
      <c r="E47" s="220">
        <f t="shared" si="1"/>
        <v>0.65700000000000003</v>
      </c>
      <c r="F47" s="220">
        <f t="shared" si="2"/>
        <v>0</v>
      </c>
      <c r="G47" s="221">
        <f t="shared" si="3"/>
        <v>4.9343322899503121</v>
      </c>
      <c r="H47" s="222">
        <f t="shared" si="4"/>
        <v>2.916300436903092</v>
      </c>
      <c r="I47" s="220">
        <f t="shared" si="5"/>
        <v>0</v>
      </c>
      <c r="J47" s="221">
        <f t="shared" si="6"/>
        <v>4.9343322899503121</v>
      </c>
      <c r="K47" s="222">
        <f t="shared" si="7"/>
        <v>2.916300436903092</v>
      </c>
      <c r="L47" s="220">
        <f t="shared" si="8"/>
        <v>0</v>
      </c>
      <c r="M47" s="223">
        <f t="shared" si="9"/>
        <v>0</v>
      </c>
      <c r="N47" s="223">
        <f t="shared" si="10"/>
        <v>0</v>
      </c>
      <c r="O47" s="220">
        <f t="shared" si="21"/>
        <v>0</v>
      </c>
      <c r="P47" s="221">
        <f t="shared" si="11"/>
        <v>0</v>
      </c>
      <c r="Q47" s="221">
        <f t="shared" si="12"/>
        <v>7.8506327268534042</v>
      </c>
      <c r="R47" s="229">
        <f t="shared" si="22"/>
        <v>359.09538294768714</v>
      </c>
      <c r="S47" s="158">
        <f>IF(A47,
    IF(NOT(C47=0),
        IF(B47&lt;2020,
             INDEX(MP_new!$A$4:$J$9, INDEX('Cost Analysis Input'!$B$2:$D$7, IF(MATCH(B47, 'Cost Analysis Input'!$C$2:$C$7, 1)&gt;$I$1, $I$1, MATCH(B47, 'Cost Analysis Input'!$C$2:$C$7, 1)), 3)+1, 7),
             INDEX(MP_new!$A$4:$J$9, INDEX('Cost Analysis Input'!$B$2:$D$7, IF(MATCH(B47, 'Cost Analysis Input'!$C$2:$C$7, 1)&gt;$I$1, $I$1, MATCH(B47, 'Cost Analysis Input'!$C$2:$C$7, 1)), 3)+1, 7)-5000),
        INDEX(MP_new!$A$4:$J$9, $I$1+1, 7)),
    0)</f>
        <v>59692.434433137103</v>
      </c>
      <c r="T47" s="157">
        <f>IF(A47, IF(EXACT($S$5, "Yes"),
    IF(C47=0,
        T46,
        INDEX(MP_new!$A$5:$J$9, INDEX('Cost Analysis Input'!$B$3:$D$7, MATCH(B47, 'Cost Analysis Input'!$B$3:$B$7, 1), 3), 10)),
    0), 0)</f>
        <v>9000</v>
      </c>
      <c r="U47" s="1">
        <f>IF(A47, (MP_new!$G$4-S47)+T47, 0)</f>
        <v>13926.620720270636</v>
      </c>
      <c r="V47" s="1">
        <f t="shared" si="13"/>
        <v>5554.4771913590275</v>
      </c>
      <c r="W47" s="223">
        <f t="shared" si="14"/>
        <v>77.355097143451275</v>
      </c>
      <c r="X47" s="220">
        <f t="shared" si="23"/>
        <v>1370.6917659895059</v>
      </c>
      <c r="Y47" s="220">
        <f t="shared" si="24"/>
        <v>69.50446441659787</v>
      </c>
      <c r="Z47" s="220">
        <f t="shared" si="25"/>
        <v>1011.5963830418189</v>
      </c>
      <c r="AA47" s="220">
        <f>IF(SUM(AA$9:AA46)&gt;0,0,IF(SUM(X47-R47)&gt;0,B47,0))</f>
        <v>0</v>
      </c>
      <c r="AB47" s="220">
        <f>ABS(Z47)*1000000/SUM(U$9:U47)</f>
        <v>1958.5409209890365</v>
      </c>
      <c r="AH47" s="17">
        <f t="shared" si="26"/>
        <v>2056</v>
      </c>
      <c r="AI47" s="186">
        <f t="shared" si="27"/>
        <v>0</v>
      </c>
      <c r="AJ47" s="184"/>
      <c r="AK47" s="17">
        <f t="shared" si="28"/>
        <v>2056</v>
      </c>
      <c r="AL47" s="232">
        <f t="shared" si="35"/>
        <v>0.05</v>
      </c>
      <c r="AM47" s="187">
        <f t="shared" si="36"/>
        <v>6822.7655275142297</v>
      </c>
      <c r="AN47" s="18">
        <f t="shared" si="37"/>
        <v>5554.4771913590275</v>
      </c>
      <c r="AP47" s="5">
        <f t="shared" si="15"/>
        <v>2056</v>
      </c>
      <c r="AQ47" s="28">
        <f t="shared" si="0"/>
        <v>0</v>
      </c>
      <c r="AS47" s="57">
        <f t="shared" si="16"/>
        <v>2056</v>
      </c>
      <c r="AT47" s="28">
        <f t="shared" si="30"/>
        <v>0</v>
      </c>
      <c r="AU47" s="28">
        <f t="shared" si="31"/>
        <v>0</v>
      </c>
      <c r="AV47" s="28">
        <f t="shared" si="32"/>
        <v>0</v>
      </c>
      <c r="AW47" s="28">
        <f t="shared" si="34"/>
        <v>0</v>
      </c>
      <c r="AX47" s="28">
        <f t="shared" si="38"/>
        <v>0</v>
      </c>
      <c r="AY47" s="28">
        <f t="shared" si="39"/>
        <v>0</v>
      </c>
      <c r="AZ47" s="28">
        <f t="shared" si="41"/>
        <v>0</v>
      </c>
      <c r="BA47" s="28">
        <f t="shared" si="42"/>
        <v>0</v>
      </c>
      <c r="BB47" s="28">
        <f>SUM($M$9:$M46)</f>
        <v>0</v>
      </c>
      <c r="BD47" s="5">
        <f t="shared" si="17"/>
        <v>2056</v>
      </c>
      <c r="BE47" s="28">
        <f t="shared" si="18"/>
        <v>0</v>
      </c>
      <c r="BF47" s="193"/>
      <c r="BG47" s="5">
        <f t="shared" si="19"/>
        <v>2056</v>
      </c>
      <c r="BH47" s="28">
        <f t="shared" si="33"/>
        <v>0</v>
      </c>
      <c r="BI47" s="28">
        <f t="shared" si="40"/>
        <v>0</v>
      </c>
    </row>
    <row r="48" spans="1:78" ht="13.5" customHeight="1" x14ac:dyDescent="0.25">
      <c r="A48" s="193" t="b">
        <f>IF(B47+1&lt;INDEX('Step Analysis'!$B$9:$B$51, MATCH(TRUE, INDEX('Step Analysis'!$C$9:$C$51=0,), 0))+100, TRUE, FALSE)</f>
        <v>1</v>
      </c>
      <c r="B48" s="40">
        <f t="shared" si="20"/>
        <v>2057</v>
      </c>
      <c r="C48" s="219">
        <f>IF(B48&gt;MAX('10 YEAR PROJECTION'!$Y$4:$AN$4),
    0,
    IF(INDEX('10 YEAR PROJECTION'!$X$5:$AN$9, MATCH($I$1, '10 YEAR PROJECTION'!$X$5:$X$9, 0), MATCH(B48, '10 YEAR PROJECTION'!$X$4:$AN$4, 0)) &gt; 0,
        INDEX('10 YEAR PROJECTION'!$X$5:$AN$9, MATCH($I$1, '10 YEAR PROJECTION'!$X$5:$X$9, 0), MATCH(B48, '10 YEAR PROJECTION'!$X$4:$AN$4, 0))/1000000,
        0)
    )</f>
        <v>0</v>
      </c>
      <c r="D48" s="219">
        <f>IF(A48, IF(B48&gt;MAX('10 YEAR PROJECTION'!$Y$12:$AN$12),
    D47,
    IF(INDEX('10 YEAR PROJECTION'!$X$13:$AN$17, MATCH($I$1, '10 YEAR PROJECTION'!$X$13:$X$17, 0), MATCH(B48, '10 YEAR PROJECTION'!$X$12:$AN$12, 0)) &gt; 0,
        INDEX('10 YEAR PROJECTION'!$X$13:$AN$17, MATCH($I$1, '10 YEAR PROJECTION'!$X$13:$X$17, 0), MATCH(B48, '10 YEAR PROJECTION'!$X$12:$AN$12, 0))/1000000,
        0)
    ), 0)</f>
        <v>1.6047739052097945</v>
      </c>
      <c r="E48" s="220">
        <f t="shared" si="1"/>
        <v>0.65700000000000003</v>
      </c>
      <c r="F48" s="220">
        <f t="shared" si="2"/>
        <v>0</v>
      </c>
      <c r="G48" s="221">
        <f t="shared" si="3"/>
        <v>5.0823622586488222</v>
      </c>
      <c r="H48" s="222">
        <f t="shared" si="4"/>
        <v>3.0329524543792159</v>
      </c>
      <c r="I48" s="220">
        <f t="shared" si="5"/>
        <v>0</v>
      </c>
      <c r="J48" s="221">
        <f t="shared" si="6"/>
        <v>5.0823622586488222</v>
      </c>
      <c r="K48" s="222">
        <f t="shared" si="7"/>
        <v>3.0329524543792159</v>
      </c>
      <c r="L48" s="220">
        <f t="shared" si="8"/>
        <v>0</v>
      </c>
      <c r="M48" s="223">
        <f t="shared" si="9"/>
        <v>0</v>
      </c>
      <c r="N48" s="223">
        <f t="shared" si="10"/>
        <v>0</v>
      </c>
      <c r="O48" s="227">
        <f t="shared" si="21"/>
        <v>0</v>
      </c>
      <c r="P48" s="228">
        <f t="shared" si="11"/>
        <v>0</v>
      </c>
      <c r="Q48" s="228">
        <f t="shared" si="12"/>
        <v>8.1153147130280381</v>
      </c>
      <c r="R48" s="229">
        <f t="shared" si="22"/>
        <v>367.2106976607152</v>
      </c>
      <c r="S48" s="158">
        <f>IF(A48,
    IF(NOT(C48=0),
        IF(B48&lt;2020,
             INDEX(MP_new!$A$4:$J$9, INDEX('Cost Analysis Input'!$B$2:$D$7, IF(MATCH(B48, 'Cost Analysis Input'!$C$2:$C$7, 1)&gt;$I$1, $I$1, MATCH(B48, 'Cost Analysis Input'!$C$2:$C$7, 1)), 3)+1, 7),
             INDEX(MP_new!$A$4:$J$9, INDEX('Cost Analysis Input'!$B$2:$D$7, IF(MATCH(B48, 'Cost Analysis Input'!$C$2:$C$7, 1)&gt;$I$1, $I$1, MATCH(B48, 'Cost Analysis Input'!$C$2:$C$7, 1)), 3)+1, 7)-5000),
        INDEX(MP_new!$A$4:$J$9, $I$1+1, 7)),
    0)</f>
        <v>59692.434433137103</v>
      </c>
      <c r="T48" s="157">
        <f>IF(A48, IF(EXACT($S$5, "Yes"),
    IF(C48=0,
        T47,
        INDEX(MP_new!$A$5:$J$9, INDEX('Cost Analysis Input'!$B$3:$D$7, MATCH(B48, 'Cost Analysis Input'!$B$3:$B$7, 1), 3), 10)),
    0), 0)</f>
        <v>9000</v>
      </c>
      <c r="U48" s="1">
        <f>IF(A48, (MP_new!$G$4-S48)+T48, 0)</f>
        <v>13926.620720270636</v>
      </c>
      <c r="V48" s="1">
        <f t="shared" si="13"/>
        <v>5832.2010509269794</v>
      </c>
      <c r="W48" s="230">
        <f t="shared" si="14"/>
        <v>81.222852000623845</v>
      </c>
      <c r="X48" s="227">
        <f t="shared" si="23"/>
        <v>1451.9146179901297</v>
      </c>
      <c r="Y48" s="227">
        <f t="shared" si="24"/>
        <v>73.107537287595804</v>
      </c>
      <c r="Z48" s="227">
        <f t="shared" si="25"/>
        <v>1084.7039203294146</v>
      </c>
      <c r="AA48" s="227">
        <f>IF(SUM(AA$9:AA47)&gt;0,0,IF(SUM(X48-R48)&gt;0,B48,0))</f>
        <v>0</v>
      </c>
      <c r="AB48" s="227">
        <f>ABS(Z48)*1000000/SUM(U$9:U48)</f>
        <v>2044.9454072549224</v>
      </c>
      <c r="AH48" s="17">
        <f t="shared" si="26"/>
        <v>2057</v>
      </c>
      <c r="AI48" s="186">
        <f t="shared" si="27"/>
        <v>0</v>
      </c>
      <c r="AJ48" s="184"/>
      <c r="AK48" s="17">
        <f t="shared" si="28"/>
        <v>2057</v>
      </c>
      <c r="AL48" s="232">
        <f t="shared" si="35"/>
        <v>0.05</v>
      </c>
      <c r="AM48" s="187">
        <f t="shared" si="36"/>
        <v>7163.9038038899416</v>
      </c>
      <c r="AN48" s="18">
        <f t="shared" si="37"/>
        <v>5832.2010509269794</v>
      </c>
      <c r="AO48" s="14"/>
      <c r="AP48" s="15">
        <f t="shared" si="15"/>
        <v>2057</v>
      </c>
      <c r="AQ48" s="29">
        <f t="shared" si="0"/>
        <v>0</v>
      </c>
      <c r="AR48" s="14"/>
      <c r="AS48" s="54">
        <f t="shared" si="16"/>
        <v>2057</v>
      </c>
      <c r="AT48" s="29">
        <f t="shared" si="30"/>
        <v>0</v>
      </c>
      <c r="AU48" s="29">
        <f t="shared" si="31"/>
        <v>0</v>
      </c>
      <c r="AV48" s="29">
        <f t="shared" si="32"/>
        <v>0</v>
      </c>
      <c r="AW48" s="29">
        <f t="shared" si="34"/>
        <v>0</v>
      </c>
      <c r="AX48" s="29">
        <f t="shared" si="38"/>
        <v>0</v>
      </c>
      <c r="AY48" s="29">
        <f t="shared" si="39"/>
        <v>0</v>
      </c>
      <c r="AZ48" s="29">
        <f t="shared" si="41"/>
        <v>0</v>
      </c>
      <c r="BA48" s="29">
        <f t="shared" si="42"/>
        <v>0</v>
      </c>
      <c r="BB48" s="29">
        <f>SUM($M$9:$M47)</f>
        <v>0</v>
      </c>
      <c r="BC48" s="14"/>
      <c r="BD48" s="15">
        <f t="shared" si="17"/>
        <v>2057</v>
      </c>
      <c r="BE48" s="29">
        <f t="shared" si="18"/>
        <v>0</v>
      </c>
      <c r="BF48" s="14"/>
      <c r="BG48" s="15">
        <f t="shared" si="19"/>
        <v>2057</v>
      </c>
      <c r="BH48" s="29">
        <f t="shared" si="33"/>
        <v>0</v>
      </c>
      <c r="BI48" s="29">
        <f t="shared" si="40"/>
        <v>0</v>
      </c>
      <c r="BY48" s="193"/>
      <c r="BZ48" s="193"/>
    </row>
    <row r="49" spans="1:78" s="14" customFormat="1" ht="13.5" customHeight="1" x14ac:dyDescent="0.2">
      <c r="A49" s="193" t="b">
        <f>IF(B48+1&lt;INDEX('Step Analysis'!$B$9:$B$51, MATCH(TRUE, INDEX('Step Analysis'!$C$9:$C$51=0,), 0))+100, TRUE, FALSE)</f>
        <v>1</v>
      </c>
      <c r="B49" s="41">
        <f t="shared" si="20"/>
        <v>2058</v>
      </c>
      <c r="C49" s="219">
        <f>IF(B49&gt;MAX('10 YEAR PROJECTION'!$Y$4:$AN$4),
    0,
    IF(INDEX('10 YEAR PROJECTION'!$X$5:$AN$9, MATCH($I$1, '10 YEAR PROJECTION'!$X$5:$X$9, 0), MATCH(B49, '10 YEAR PROJECTION'!$X$4:$AN$4, 0)) &gt; 0,
        INDEX('10 YEAR PROJECTION'!$X$5:$AN$9, MATCH($I$1, '10 YEAR PROJECTION'!$X$5:$X$9, 0), MATCH(B49, '10 YEAR PROJECTION'!$X$4:$AN$4, 0))/1000000,
        0)
    )</f>
        <v>0</v>
      </c>
      <c r="D49" s="219">
        <f>IF(A49, IF(B49&gt;MAX('10 YEAR PROJECTION'!$Y$12:$AN$12),
    D48,
    IF(INDEX('10 YEAR PROJECTION'!$X$13:$AN$17, MATCH($I$1, '10 YEAR PROJECTION'!$X$13:$X$17, 0), MATCH(B49, '10 YEAR PROJECTION'!$X$12:$AN$12, 0)) &gt; 0,
        INDEX('10 YEAR PROJECTION'!$X$13:$AN$17, MATCH($I$1, '10 YEAR PROJECTION'!$X$13:$X$17, 0), MATCH(B49, '10 YEAR PROJECTION'!$X$12:$AN$12, 0))/1000000,
        0)
    ), 0)</f>
        <v>1.6047739052097945</v>
      </c>
      <c r="E49" s="220">
        <f t="shared" si="1"/>
        <v>0.65700000000000003</v>
      </c>
      <c r="F49" s="220">
        <f t="shared" si="2"/>
        <v>0</v>
      </c>
      <c r="G49" s="221">
        <f t="shared" si="3"/>
        <v>5.2348331264082857</v>
      </c>
      <c r="H49" s="222">
        <f t="shared" si="4"/>
        <v>3.1542705525543853</v>
      </c>
      <c r="I49" s="220">
        <f t="shared" si="5"/>
        <v>0</v>
      </c>
      <c r="J49" s="221">
        <f t="shared" si="6"/>
        <v>5.2348331264082857</v>
      </c>
      <c r="K49" s="222">
        <f t="shared" si="7"/>
        <v>3.1542705525543853</v>
      </c>
      <c r="L49" s="220">
        <f t="shared" si="8"/>
        <v>0</v>
      </c>
      <c r="M49" s="223">
        <f t="shared" si="9"/>
        <v>0</v>
      </c>
      <c r="N49" s="223">
        <f t="shared" si="10"/>
        <v>0</v>
      </c>
      <c r="O49" s="220">
        <f t="shared" si="21"/>
        <v>0</v>
      </c>
      <c r="P49" s="221">
        <f t="shared" si="11"/>
        <v>0</v>
      </c>
      <c r="Q49" s="221">
        <f t="shared" si="12"/>
        <v>8.3891036789626714</v>
      </c>
      <c r="R49" s="229">
        <f t="shared" si="22"/>
        <v>375.59980133967787</v>
      </c>
      <c r="S49" s="158">
        <f>IF(A49,
    IF(NOT(C49=0),
        IF(B49&lt;2020,
             INDEX(MP_new!$A$4:$J$9, INDEX('Cost Analysis Input'!$B$2:$D$7, IF(MATCH(B49, 'Cost Analysis Input'!$C$2:$C$7, 1)&gt;$I$1, $I$1, MATCH(B49, 'Cost Analysis Input'!$C$2:$C$7, 1)), 3)+1, 7),
             INDEX(MP_new!$A$4:$J$9, INDEX('Cost Analysis Input'!$B$2:$D$7, IF(MATCH(B49, 'Cost Analysis Input'!$C$2:$C$7, 1)&gt;$I$1, $I$1, MATCH(B49, 'Cost Analysis Input'!$C$2:$C$7, 1)), 3)+1, 7)-5000),
        INDEX(MP_new!$A$4:$J$9, $I$1+1, 7)),
    0)</f>
        <v>59692.434433137103</v>
      </c>
      <c r="T49" s="157">
        <f>IF(A49, IF(EXACT($S$5, "Yes"),
    IF(C49=0,
        T48,
        INDEX(MP_new!$A$5:$J$9, INDEX('Cost Analysis Input'!$B$3:$D$7, MATCH(B49, 'Cost Analysis Input'!$B$3:$B$7, 1), 3), 10)),
    0), 0)</f>
        <v>9000</v>
      </c>
      <c r="U49" s="1">
        <f>IF(A49, (MP_new!$G$4-S49)+T49, 0)</f>
        <v>13926.620720270636</v>
      </c>
      <c r="V49" s="1">
        <f t="shared" si="13"/>
        <v>6123.8111034733283</v>
      </c>
      <c r="W49" s="223">
        <f t="shared" si="14"/>
        <v>85.283994600655035</v>
      </c>
      <c r="X49" s="220">
        <f t="shared" si="23"/>
        <v>1537.1986125907847</v>
      </c>
      <c r="Y49" s="220">
        <f t="shared" si="24"/>
        <v>76.894890921692365</v>
      </c>
      <c r="Z49" s="220">
        <f t="shared" si="25"/>
        <v>1161.5988112511068</v>
      </c>
      <c r="AA49" s="220">
        <f>IF(SUM(AA$9:AA48)&gt;0,0,IF(SUM(X49-R49)&gt;0,B49,0))</f>
        <v>0</v>
      </c>
      <c r="AB49" s="220">
        <f>ABS(Z49)*1000000/SUM(U$9:U49)</f>
        <v>2133.8862900451022</v>
      </c>
      <c r="AH49" s="17">
        <f t="shared" si="26"/>
        <v>2058</v>
      </c>
      <c r="AI49" s="186">
        <f t="shared" si="27"/>
        <v>0</v>
      </c>
      <c r="AJ49" s="184"/>
      <c r="AK49" s="17">
        <f t="shared" si="28"/>
        <v>2058</v>
      </c>
      <c r="AL49" s="232">
        <f t="shared" si="35"/>
        <v>0.05</v>
      </c>
      <c r="AM49" s="187">
        <f t="shared" si="36"/>
        <v>7522.0989940844393</v>
      </c>
      <c r="AN49" s="18">
        <f t="shared" si="37"/>
        <v>6123.8111034733283</v>
      </c>
      <c r="AP49" s="5">
        <f t="shared" si="15"/>
        <v>2058</v>
      </c>
      <c r="AQ49" s="28">
        <f t="shared" si="0"/>
        <v>0</v>
      </c>
      <c r="AS49" s="57">
        <f t="shared" si="16"/>
        <v>2058</v>
      </c>
      <c r="AT49" s="28">
        <f t="shared" si="30"/>
        <v>0</v>
      </c>
      <c r="AU49" s="28">
        <f t="shared" si="31"/>
        <v>0</v>
      </c>
      <c r="AV49" s="28">
        <f t="shared" si="32"/>
        <v>0</v>
      </c>
      <c r="AW49" s="28">
        <f t="shared" si="34"/>
        <v>0</v>
      </c>
      <c r="AX49" s="28">
        <f t="shared" si="38"/>
        <v>0</v>
      </c>
      <c r="AY49" s="28">
        <f t="shared" si="39"/>
        <v>0</v>
      </c>
      <c r="AZ49" s="28">
        <f t="shared" si="41"/>
        <v>0</v>
      </c>
      <c r="BA49" s="28">
        <f t="shared" si="42"/>
        <v>0</v>
      </c>
      <c r="BB49" s="28">
        <f>SUM($M$9:$M48)</f>
        <v>0</v>
      </c>
      <c r="BD49" s="5">
        <f t="shared" si="17"/>
        <v>2058</v>
      </c>
      <c r="BE49" s="28">
        <f t="shared" si="18"/>
        <v>0</v>
      </c>
      <c r="BF49" s="193"/>
      <c r="BG49" s="5">
        <f t="shared" si="19"/>
        <v>2058</v>
      </c>
      <c r="BH49" s="28">
        <f t="shared" si="33"/>
        <v>0</v>
      </c>
      <c r="BI49" s="28">
        <f t="shared" si="40"/>
        <v>0</v>
      </c>
    </row>
    <row r="50" spans="1:78" ht="13.5" customHeight="1" x14ac:dyDescent="0.25">
      <c r="A50" s="193" t="b">
        <f>IF(B49+1&lt;INDEX('Step Analysis'!$B$9:$B$51, MATCH(TRUE, INDEX('Step Analysis'!$C$9:$C$51=0,), 0))+100, TRUE, FALSE)</f>
        <v>1</v>
      </c>
      <c r="B50" s="40">
        <f t="shared" si="20"/>
        <v>2059</v>
      </c>
      <c r="C50" s="219">
        <f>IF(B50&gt;MAX('10 YEAR PROJECTION'!$Y$4:$AN$4),
    0,
    IF(INDEX('10 YEAR PROJECTION'!$X$5:$AN$9, MATCH($I$1, '10 YEAR PROJECTION'!$X$5:$X$9, 0), MATCH(B50, '10 YEAR PROJECTION'!$X$4:$AN$4, 0)) &gt; 0,
        INDEX('10 YEAR PROJECTION'!$X$5:$AN$9, MATCH($I$1, '10 YEAR PROJECTION'!$X$5:$X$9, 0), MATCH(B50, '10 YEAR PROJECTION'!$X$4:$AN$4, 0))/1000000,
        0)
    )</f>
        <v>0</v>
      </c>
      <c r="D50" s="219">
        <f>IF(A50, IF(B50&gt;MAX('10 YEAR PROJECTION'!$Y$12:$AN$12),
    D49,
    IF(INDEX('10 YEAR PROJECTION'!$X$13:$AN$17, MATCH($I$1, '10 YEAR PROJECTION'!$X$13:$X$17, 0), MATCH(B50, '10 YEAR PROJECTION'!$X$12:$AN$12, 0)) &gt; 0,
        INDEX('10 YEAR PROJECTION'!$X$13:$AN$17, MATCH($I$1, '10 YEAR PROJECTION'!$X$13:$X$17, 0), MATCH(B50, '10 YEAR PROJECTION'!$X$12:$AN$12, 0))/1000000,
        0)
    ), 0)</f>
        <v>1.6047739052097945</v>
      </c>
      <c r="E50" s="220">
        <f t="shared" si="1"/>
        <v>0.65700000000000003</v>
      </c>
      <c r="F50" s="220">
        <f t="shared" si="2"/>
        <v>0</v>
      </c>
      <c r="G50" s="221">
        <f t="shared" si="3"/>
        <v>5.391878120200535</v>
      </c>
      <c r="H50" s="222">
        <f t="shared" si="4"/>
        <v>3.2804413746565606</v>
      </c>
      <c r="I50" s="220">
        <f t="shared" si="5"/>
        <v>0</v>
      </c>
      <c r="J50" s="221">
        <f t="shared" si="6"/>
        <v>5.391878120200535</v>
      </c>
      <c r="K50" s="222">
        <f t="shared" si="7"/>
        <v>3.2804413746565606</v>
      </c>
      <c r="L50" s="220">
        <f t="shared" si="8"/>
        <v>0</v>
      </c>
      <c r="M50" s="223">
        <f t="shared" si="9"/>
        <v>0</v>
      </c>
      <c r="N50" s="223">
        <f t="shared" si="10"/>
        <v>0</v>
      </c>
      <c r="O50" s="227">
        <f t="shared" si="21"/>
        <v>0</v>
      </c>
      <c r="P50" s="228">
        <f t="shared" si="11"/>
        <v>0</v>
      </c>
      <c r="Q50" s="228">
        <f t="shared" si="12"/>
        <v>8.6723194948570956</v>
      </c>
      <c r="R50" s="229">
        <f t="shared" si="22"/>
        <v>384.27212083453497</v>
      </c>
      <c r="S50" s="158">
        <f>IF(A50,
    IF(NOT(C50=0),
        IF(B50&lt;2020,
             INDEX(MP_new!$A$4:$J$9, INDEX('Cost Analysis Input'!$B$2:$D$7, IF(MATCH(B50, 'Cost Analysis Input'!$C$2:$C$7, 1)&gt;$I$1, $I$1, MATCH(B50, 'Cost Analysis Input'!$C$2:$C$7, 1)), 3)+1, 7),
             INDEX(MP_new!$A$4:$J$9, INDEX('Cost Analysis Input'!$B$2:$D$7, IF(MATCH(B50, 'Cost Analysis Input'!$C$2:$C$7, 1)&gt;$I$1, $I$1, MATCH(B50, 'Cost Analysis Input'!$C$2:$C$7, 1)), 3)+1, 7)-5000),
        INDEX(MP_new!$A$4:$J$9, $I$1+1, 7)),
    0)</f>
        <v>59692.434433137103</v>
      </c>
      <c r="T50" s="157">
        <f>IF(A50, IF(EXACT($S$5, "Yes"),
    IF(C50=0,
        T49,
        INDEX(MP_new!$A$5:$J$9, INDEX('Cost Analysis Input'!$B$3:$D$7, MATCH(B50, 'Cost Analysis Input'!$B$3:$B$7, 1), 3), 10)),
    0), 0)</f>
        <v>9000</v>
      </c>
      <c r="U50" s="1">
        <f>IF(A50, (MP_new!$G$4-S50)+T50, 0)</f>
        <v>13926.620720270636</v>
      </c>
      <c r="V50" s="1">
        <f t="shared" si="13"/>
        <v>6430.0016586469947</v>
      </c>
      <c r="W50" s="230">
        <f t="shared" si="14"/>
        <v>89.548194330687792</v>
      </c>
      <c r="X50" s="227">
        <f t="shared" si="23"/>
        <v>1626.7468069214724</v>
      </c>
      <c r="Y50" s="227">
        <f t="shared" si="24"/>
        <v>80.8758748358307</v>
      </c>
      <c r="Z50" s="227">
        <f t="shared" si="25"/>
        <v>1242.4746860869375</v>
      </c>
      <c r="AA50" s="227">
        <f>IF(SUM(AA$9:AA49)&gt;0,0,IF(SUM(X50-R50)&gt;0,B50,0))</f>
        <v>0</v>
      </c>
      <c r="AB50" s="227">
        <f>ABS(Z50)*1000000/SUM(U$9:U50)</f>
        <v>2225.5205859158305</v>
      </c>
      <c r="AH50" s="17">
        <f t="shared" si="26"/>
        <v>2059</v>
      </c>
      <c r="AI50" s="186">
        <f t="shared" si="27"/>
        <v>0</v>
      </c>
      <c r="AJ50" s="184"/>
      <c r="AK50" s="17">
        <f t="shared" si="28"/>
        <v>2059</v>
      </c>
      <c r="AL50" s="232">
        <f t="shared" si="35"/>
        <v>0.05</v>
      </c>
      <c r="AM50" s="187">
        <f t="shared" si="36"/>
        <v>7898.2039437886615</v>
      </c>
      <c r="AN50" s="18">
        <f t="shared" si="37"/>
        <v>6430.0016586469947</v>
      </c>
      <c r="AO50" s="14"/>
      <c r="AP50" s="15">
        <f t="shared" si="15"/>
        <v>2059</v>
      </c>
      <c r="AQ50" s="29">
        <f t="shared" si="0"/>
        <v>0</v>
      </c>
      <c r="AR50" s="14"/>
      <c r="AS50" s="54">
        <f t="shared" si="16"/>
        <v>2059</v>
      </c>
      <c r="AT50" s="29">
        <f t="shared" si="30"/>
        <v>0</v>
      </c>
      <c r="AU50" s="29">
        <f t="shared" si="31"/>
        <v>0</v>
      </c>
      <c r="AV50" s="29">
        <f t="shared" si="32"/>
        <v>0</v>
      </c>
      <c r="AW50" s="29">
        <f t="shared" si="34"/>
        <v>0</v>
      </c>
      <c r="AX50" s="29">
        <f t="shared" si="38"/>
        <v>0</v>
      </c>
      <c r="AY50" s="29">
        <f t="shared" si="39"/>
        <v>0</v>
      </c>
      <c r="AZ50" s="29">
        <f t="shared" si="41"/>
        <v>0</v>
      </c>
      <c r="BA50" s="29">
        <f t="shared" si="42"/>
        <v>0</v>
      </c>
      <c r="BB50" s="29">
        <f>SUM(M10:M49)</f>
        <v>0</v>
      </c>
      <c r="BC50" s="14"/>
      <c r="BD50" s="15">
        <f t="shared" si="17"/>
        <v>2059</v>
      </c>
      <c r="BE50" s="29">
        <f t="shared" si="18"/>
        <v>0</v>
      </c>
      <c r="BF50" s="14"/>
      <c r="BG50" s="15">
        <f t="shared" si="19"/>
        <v>2059</v>
      </c>
      <c r="BH50" s="29">
        <f t="shared" si="33"/>
        <v>0</v>
      </c>
      <c r="BI50" s="29">
        <f t="shared" si="40"/>
        <v>0</v>
      </c>
      <c r="BY50" s="193"/>
      <c r="BZ50" s="193"/>
    </row>
    <row r="51" spans="1:78" s="14" customFormat="1" ht="13.5" customHeight="1" x14ac:dyDescent="0.2">
      <c r="A51" s="193" t="b">
        <f>IF(B50+1&lt;INDEX('Step Analysis'!$B$9:$B$51, MATCH(TRUE, INDEX('Step Analysis'!$C$9:$C$51=0,), 0))+100, TRUE, FALSE)</f>
        <v>1</v>
      </c>
      <c r="B51" s="41">
        <f t="shared" si="20"/>
        <v>2060</v>
      </c>
      <c r="C51" s="219">
        <f>IF(B51&gt;MAX('10 YEAR PROJECTION'!$Y$4:$AN$4),
    0,
    IF(INDEX('10 YEAR PROJECTION'!$X$5:$AN$9, MATCH($I$1, '10 YEAR PROJECTION'!$X$5:$X$9, 0), MATCH(B51, '10 YEAR PROJECTION'!$X$4:$AN$4, 0)) &gt; 0,
        INDEX('10 YEAR PROJECTION'!$X$5:$AN$9, MATCH($I$1, '10 YEAR PROJECTION'!$X$5:$X$9, 0), MATCH(B51, '10 YEAR PROJECTION'!$X$4:$AN$4, 0))/1000000,
        0)
    )</f>
        <v>0</v>
      </c>
      <c r="D51" s="219">
        <f>IF(A51, IF(B51&gt;MAX('10 YEAR PROJECTION'!$Y$12:$AN$12),
    D50,
    IF(INDEX('10 YEAR PROJECTION'!$X$13:$AN$17, MATCH($I$1, '10 YEAR PROJECTION'!$X$13:$X$17, 0), MATCH(B51, '10 YEAR PROJECTION'!$X$12:$AN$12, 0)) &gt; 0,
        INDEX('10 YEAR PROJECTION'!$X$13:$AN$17, MATCH($I$1, '10 YEAR PROJECTION'!$X$13:$X$17, 0), MATCH(B51, '10 YEAR PROJECTION'!$X$12:$AN$12, 0))/1000000,
        0)
    ), 0)</f>
        <v>1.6047739052097945</v>
      </c>
      <c r="E51" s="220">
        <f t="shared" si="1"/>
        <v>0.65700000000000003</v>
      </c>
      <c r="F51" s="220">
        <f t="shared" si="2"/>
        <v>0</v>
      </c>
      <c r="G51" s="221">
        <f t="shared" si="3"/>
        <v>5.5536344638065511</v>
      </c>
      <c r="H51" s="222">
        <f t="shared" si="4"/>
        <v>3.4116590296428231</v>
      </c>
      <c r="I51" s="220">
        <f t="shared" si="5"/>
        <v>0</v>
      </c>
      <c r="J51" s="221">
        <f t="shared" si="6"/>
        <v>5.5536344638065511</v>
      </c>
      <c r="K51" s="222">
        <f t="shared" si="7"/>
        <v>3.4116590296428231</v>
      </c>
      <c r="L51" s="220">
        <f t="shared" si="8"/>
        <v>0</v>
      </c>
      <c r="M51" s="223">
        <f t="shared" si="9"/>
        <v>0</v>
      </c>
      <c r="N51" s="223">
        <f>AQ52</f>
        <v>0</v>
      </c>
      <c r="O51" s="220">
        <f t="shared" si="21"/>
        <v>0</v>
      </c>
      <c r="P51" s="221">
        <f>BE52</f>
        <v>0</v>
      </c>
      <c r="Q51" s="221">
        <f t="shared" si="12"/>
        <v>8.9652934934493747</v>
      </c>
      <c r="R51" s="229">
        <f t="shared" si="22"/>
        <v>393.23741432798437</v>
      </c>
      <c r="S51" s="158">
        <f>IF(A51,
    IF(NOT(C51=0),
        IF(B51&lt;2020,
             INDEX(MP_new!$A$4:$J$9, INDEX('Cost Analysis Input'!$B$2:$D$7, IF(MATCH(B51, 'Cost Analysis Input'!$C$2:$C$7, 1)&gt;$I$1, $I$1, MATCH(B51, 'Cost Analysis Input'!$C$2:$C$7, 1)), 3)+1, 7),
             INDEX(MP_new!$A$4:$J$9, INDEX('Cost Analysis Input'!$B$2:$D$7, IF(MATCH(B51, 'Cost Analysis Input'!$C$2:$C$7, 1)&gt;$I$1, $I$1, MATCH(B51, 'Cost Analysis Input'!$C$2:$C$7, 1)), 3)+1, 7)-5000),
        INDEX(MP_new!$A$4:$J$9, $I$1+1, 7)),
    0)</f>
        <v>59692.434433137103</v>
      </c>
      <c r="T51" s="157">
        <f>IF(A51, IF(EXACT($S$5, "Yes"),
    IF(C51=0,
        T50,
        INDEX(MP_new!$A$5:$J$9, INDEX('Cost Analysis Input'!$B$3:$D$7, MATCH(B51, 'Cost Analysis Input'!$B$3:$B$7, 1), 3), 10)),
    0), 0)</f>
        <v>9000</v>
      </c>
      <c r="U51" s="1">
        <f>IF(A51, (MP_new!$G$4-S51)+T51, 0)</f>
        <v>13926.620720270636</v>
      </c>
      <c r="V51" s="1">
        <f t="shared" si="13"/>
        <v>6751.5017415793445</v>
      </c>
      <c r="W51" s="223">
        <f t="shared" si="14"/>
        <v>94.025604047222188</v>
      </c>
      <c r="X51" s="220">
        <f t="shared" si="23"/>
        <v>1720.7724109686947</v>
      </c>
      <c r="Y51" s="220">
        <f t="shared" si="24"/>
        <v>85.060310553772808</v>
      </c>
      <c r="Z51" s="220">
        <f t="shared" si="25"/>
        <v>1327.5349966407102</v>
      </c>
      <c r="AA51" s="220">
        <f>IF(SUM(AA$9:AA50)&gt;0,0,IF(SUM(X51-R51)&gt;0,B51,0))</f>
        <v>0</v>
      </c>
      <c r="AB51" s="220">
        <f>ABS(Z51)*1000000/SUM(U$9:U51)</f>
        <v>2320.0071895462138</v>
      </c>
      <c r="AH51" s="17">
        <f t="shared" si="26"/>
        <v>2060</v>
      </c>
      <c r="AI51" s="186">
        <f t="shared" si="27"/>
        <v>0</v>
      </c>
      <c r="AJ51" s="184"/>
      <c r="AK51" s="17">
        <f t="shared" si="28"/>
        <v>2060</v>
      </c>
      <c r="AL51" s="232">
        <f t="shared" si="35"/>
        <v>0.05</v>
      </c>
      <c r="AM51" s="187">
        <f t="shared" si="36"/>
        <v>8293.1141409780957</v>
      </c>
      <c r="AN51" s="18">
        <f t="shared" si="37"/>
        <v>6751.5017415793445</v>
      </c>
    </row>
    <row r="52" spans="1:78" ht="43.5" customHeight="1" thickBot="1" x14ac:dyDescent="0.3">
      <c r="C52" s="24"/>
      <c r="P52" s="66" t="s">
        <v>672</v>
      </c>
      <c r="Q52" s="233">
        <f>NPV($G$5,Q9:Q51)*(1+$G$5)^($F$5-($E$5-1))</f>
        <v>242.42204202680256</v>
      </c>
      <c r="T52" s="66" t="s">
        <v>673</v>
      </c>
      <c r="U52" s="191">
        <f>SUM(U9:U51)</f>
        <v>572211.5873702839</v>
      </c>
      <c r="X52" s="66" t="s">
        <v>674</v>
      </c>
      <c r="Y52" s="234">
        <f>NPV($G$5,W9:W51)*(1+$G$5)^($F$5-($E$5-1))</f>
        <v>589.53389736914983</v>
      </c>
      <c r="Z52" s="22" t="s">
        <v>675</v>
      </c>
      <c r="AA52" s="23">
        <f>IFERROR(IRR(Y9:Y51), 0)</f>
        <v>0.1223425781036338</v>
      </c>
      <c r="AC52" s="138" t="s">
        <v>676</v>
      </c>
      <c r="AD52" s="235">
        <f>MAX(R9:R51)*1000000/U52</f>
        <v>687.22378750697419</v>
      </c>
      <c r="BY52" s="193"/>
      <c r="BZ52" s="193"/>
    </row>
    <row r="53" spans="1:78" ht="42" customHeight="1" x14ac:dyDescent="0.25">
      <c r="C53" s="423"/>
      <c r="D53" s="423"/>
      <c r="E53" s="423"/>
      <c r="F53" s="423"/>
      <c r="G53" s="423"/>
      <c r="H53" s="423"/>
      <c r="I53" s="423"/>
      <c r="J53" s="423"/>
      <c r="K53" s="423"/>
      <c r="L53" s="423"/>
      <c r="M53" s="423"/>
      <c r="AC53" s="138" t="s">
        <v>677</v>
      </c>
      <c r="AD53" s="236">
        <f>Y52-Q52</f>
        <v>347.11185534234727</v>
      </c>
      <c r="BY53" s="193"/>
      <c r="BZ53" s="193"/>
    </row>
    <row r="54" spans="1:78" x14ac:dyDescent="0.25">
      <c r="BY54" s="193"/>
      <c r="BZ54" s="193"/>
    </row>
    <row r="55" spans="1:78" x14ac:dyDescent="0.25">
      <c r="BY55" s="193"/>
      <c r="BZ55" s="193"/>
    </row>
    <row r="56" spans="1:78" x14ac:dyDescent="0.25">
      <c r="D56" s="30"/>
      <c r="BY56" s="193"/>
      <c r="BZ56" s="193"/>
    </row>
    <row r="57" spans="1:78" x14ac:dyDescent="0.25">
      <c r="D57" s="11"/>
      <c r="BY57" s="193"/>
      <c r="BZ57" s="193"/>
    </row>
    <row r="58" spans="1:78" x14ac:dyDescent="0.25">
      <c r="BY58" s="193"/>
      <c r="BZ58" s="193"/>
    </row>
    <row r="59" spans="1:78" x14ac:dyDescent="0.25">
      <c r="BY59" s="193"/>
      <c r="BZ59" s="193"/>
    </row>
    <row r="60" spans="1:78" x14ac:dyDescent="0.25">
      <c r="BY60" s="193"/>
      <c r="BZ60" s="193"/>
    </row>
    <row r="61" spans="1:78" x14ac:dyDescent="0.25">
      <c r="BY61" s="193"/>
      <c r="BZ61" s="193"/>
    </row>
    <row r="62" spans="1:78" x14ac:dyDescent="0.25">
      <c r="BY62" s="193"/>
      <c r="BZ62" s="193"/>
    </row>
    <row r="63" spans="1:78" x14ac:dyDescent="0.25">
      <c r="BY63" s="193"/>
      <c r="BZ63" s="193"/>
    </row>
    <row r="64" spans="1:78" x14ac:dyDescent="0.25">
      <c r="BY64" s="193"/>
      <c r="BZ64" s="193"/>
    </row>
    <row r="65" spans="77:78" x14ac:dyDescent="0.25">
      <c r="BY65" s="193"/>
      <c r="BZ65" s="193"/>
    </row>
    <row r="66" spans="77:78" x14ac:dyDescent="0.25">
      <c r="BY66" s="193"/>
      <c r="BZ66" s="193"/>
    </row>
    <row r="67" spans="77:78" x14ac:dyDescent="0.25">
      <c r="BY67" s="193"/>
      <c r="BZ67" s="193"/>
    </row>
    <row r="68" spans="77:78" x14ac:dyDescent="0.25">
      <c r="BY68" s="193"/>
      <c r="BZ68" s="193"/>
    </row>
    <row r="69" spans="77:78" x14ac:dyDescent="0.25">
      <c r="BY69" s="193"/>
      <c r="BZ69" s="193"/>
    </row>
    <row r="70" spans="77:78" x14ac:dyDescent="0.25">
      <c r="BY70" s="193"/>
      <c r="BZ70" s="193"/>
    </row>
    <row r="71" spans="77:78" x14ac:dyDescent="0.25">
      <c r="BY71" s="193"/>
      <c r="BZ71" s="193"/>
    </row>
    <row r="72" spans="77:78" x14ac:dyDescent="0.25">
      <c r="BY72" s="193"/>
      <c r="BZ72" s="193"/>
    </row>
    <row r="73" spans="77:78" x14ac:dyDescent="0.25">
      <c r="BY73" s="193"/>
      <c r="BZ73" s="193"/>
    </row>
    <row r="74" spans="77:78" x14ac:dyDescent="0.25">
      <c r="BY74" s="193"/>
      <c r="BZ74" s="193"/>
    </row>
    <row r="75" spans="77:78" x14ac:dyDescent="0.25">
      <c r="BY75" s="193"/>
      <c r="BZ75" s="193"/>
    </row>
    <row r="76" spans="77:78" x14ac:dyDescent="0.25">
      <c r="BY76" s="193"/>
      <c r="BZ76" s="193"/>
    </row>
    <row r="77" spans="77:78" x14ac:dyDescent="0.25">
      <c r="BY77" s="193"/>
      <c r="BZ77" s="193"/>
    </row>
    <row r="78" spans="77:78" x14ac:dyDescent="0.25">
      <c r="BY78" s="193"/>
      <c r="BZ78" s="193"/>
    </row>
    <row r="79" spans="77:78" x14ac:dyDescent="0.25">
      <c r="BY79" s="193"/>
      <c r="BZ79" s="193"/>
    </row>
    <row r="80" spans="77:78" x14ac:dyDescent="0.25">
      <c r="BY80" s="193"/>
      <c r="BZ80" s="193"/>
    </row>
    <row r="81" spans="77:78" x14ac:dyDescent="0.25">
      <c r="BY81" s="193"/>
      <c r="BZ81" s="193"/>
    </row>
    <row r="82" spans="77:78" x14ac:dyDescent="0.25">
      <c r="BY82" s="193"/>
      <c r="BZ82" s="193"/>
    </row>
    <row r="83" spans="77:78" x14ac:dyDescent="0.25">
      <c r="BY83" s="193"/>
      <c r="BZ83" s="193"/>
    </row>
  </sheetData>
  <mergeCells count="21">
    <mergeCell ref="C53:M53"/>
    <mergeCell ref="C7:E7"/>
    <mergeCell ref="F7:H7"/>
    <mergeCell ref="I7:R7"/>
    <mergeCell ref="S7:X7"/>
    <mergeCell ref="A2:C2"/>
    <mergeCell ref="A3:C3"/>
    <mergeCell ref="BG7:BI7"/>
    <mergeCell ref="D2:T2"/>
    <mergeCell ref="F3:G3"/>
    <mergeCell ref="H3:J3"/>
    <mergeCell ref="K3:M3"/>
    <mergeCell ref="N3:P3"/>
    <mergeCell ref="Q3:R3"/>
    <mergeCell ref="S3:T3"/>
    <mergeCell ref="AH7:AI7"/>
    <mergeCell ref="AK7:AN7"/>
    <mergeCell ref="AP7:AQ7"/>
    <mergeCell ref="AS7:BB7"/>
    <mergeCell ref="BD7:BE7"/>
    <mergeCell ref="Y7:Z7"/>
  </mergeCells>
  <dataValidations count="5">
    <dataValidation type="list" showInputMessage="1" showErrorMessage="1" sqref="N5 S5 X6">
      <formula1>"Yes, No"</formula1>
    </dataValidation>
    <dataValidation type="list" showInputMessage="1" showErrorMessage="1" sqref="Q5">
      <formula1>"Treated, Untreated"</formula1>
    </dataValidation>
    <dataValidation type="list" showInputMessage="1" showErrorMessage="1" sqref="P5">
      <formula1>"15, 25"</formula1>
    </dataValidation>
    <dataValidation type="list" showInputMessage="1" showErrorMessage="1" sqref="L5">
      <formula1>"5,10,15,18,20,25,30,35,40"</formula1>
    </dataValidation>
    <dataValidation type="list" showInputMessage="1" showErrorMessage="1" sqref="K6">
      <formula1>"A,B"</formula1>
    </dataValidation>
  </dataValidations>
  <pageMargins left="0.25" right="0.25" top="0.75" bottom="0.75" header="0.3" footer="0.3"/>
  <pageSetup paperSize="3" scale="67" fitToHeight="0" orientation="landscape"/>
  <headerFooter>
    <oddHeader>&amp;C&amp;F&amp;R&amp;"Arial,Bold"version 9.18.15</oddHeader>
  </headerFooter>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MP_new</vt:lpstr>
      <vt:lpstr>10 YEAR PROJECTION</vt:lpstr>
      <vt:lpstr>MP Analysis Input</vt:lpstr>
      <vt:lpstr>Constraints Input</vt:lpstr>
      <vt:lpstr>As-Built HV &amp; WD</vt:lpstr>
      <vt:lpstr>Design HV &amp; WD</vt:lpstr>
      <vt:lpstr>Cost Analysis Input</vt:lpstr>
      <vt:lpstr>Area Summary</vt:lpstr>
      <vt:lpstr>Step Analysis</vt:lpstr>
      <vt:lpstr>'10 YEAR PROJECTION'!Print_Area</vt:lpstr>
      <vt:lpstr>'Step Analysis'!Print_Area</vt:lpstr>
      <vt:lpstr>'10 YEAR PROJECTION'!Print_Titles</vt:lpstr>
      <vt:lpstr>'Step Analysis'!Print_Titles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Almaraz</dc:creator>
  <cp:lastModifiedBy>John Bannister</cp:lastModifiedBy>
  <cp:lastPrinted>2018-05-16T22:30:16Z</cp:lastPrinted>
  <dcterms:created xsi:type="dcterms:W3CDTF">2014-01-15T22:08:08Z</dcterms:created>
  <dcterms:modified xsi:type="dcterms:W3CDTF">2018-07-19T21:29:42Z</dcterms:modified>
</cp:coreProperties>
</file>