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355" tabRatio="778" activeTab="3"/>
    <workbookView xWindow="14385" yWindow="-15" windowWidth="14430" windowHeight="11355" firstSheet="9" activeTab="14"/>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 r:id="rId17"/>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fileRecoveryPr repairLoad="1"/>
</workbook>
</file>

<file path=xl/calcChain.xml><?xml version="1.0" encoding="utf-8"?>
<calcChain xmlns="http://schemas.openxmlformats.org/spreadsheetml/2006/main">
  <c r="D26" i="20" l="1"/>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C24" i="20"/>
  <c r="C23" i="20"/>
  <c r="C22" i="20"/>
  <c r="C21" i="20"/>
  <c r="C20" i="20"/>
  <c r="C19" i="20"/>
  <c r="C18" i="20"/>
  <c r="C17" i="20"/>
  <c r="C16" i="20"/>
  <c r="C15" i="20"/>
  <c r="C14" i="20"/>
  <c r="C13" i="20"/>
  <c r="C12" i="20"/>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AN65" i="23"/>
  <c r="AM65" i="23"/>
  <c r="AL65" i="23"/>
  <c r="AI65" i="23"/>
  <c r="AN64" i="23"/>
  <c r="AM64" i="23"/>
  <c r="AL64" i="23"/>
  <c r="AI64" i="23"/>
  <c r="AN63" i="23"/>
  <c r="AM63" i="23"/>
  <c r="AL63" i="23"/>
  <c r="AI63" i="23"/>
  <c r="AN62" i="23"/>
  <c r="AM62" i="23"/>
  <c r="AL62" i="23"/>
  <c r="AI62" i="23"/>
  <c r="AN61" i="23"/>
  <c r="AM61" i="23"/>
  <c r="AL61" i="23"/>
  <c r="AI61" i="23"/>
  <c r="AN60" i="23"/>
  <c r="AM60" i="23"/>
  <c r="AL60" i="23"/>
  <c r="AI60" i="23"/>
  <c r="AN59" i="23"/>
  <c r="AM59" i="23"/>
  <c r="AL59" i="23"/>
  <c r="AI59" i="23"/>
  <c r="AN58" i="23"/>
  <c r="AM58" i="23"/>
  <c r="AL58" i="23"/>
  <c r="AI58" i="23"/>
  <c r="AN57" i="23"/>
  <c r="AM57" i="23"/>
  <c r="AL57" i="23"/>
  <c r="AI57" i="23"/>
  <c r="AN56" i="23"/>
  <c r="AM56" i="23"/>
  <c r="AL56" i="23"/>
  <c r="AI56" i="23"/>
  <c r="AN55" i="23"/>
  <c r="AM55" i="23"/>
  <c r="AL55" i="23"/>
  <c r="AI55" i="23"/>
  <c r="AN54" i="23"/>
  <c r="AM54" i="23"/>
  <c r="AL54" i="23"/>
  <c r="AI54" i="23"/>
  <c r="AN53" i="23"/>
  <c r="AM53" i="23"/>
  <c r="AL53" i="23"/>
  <c r="AI53" i="23"/>
  <c r="AN52" i="23"/>
  <c r="AM52" i="23"/>
  <c r="AL52" i="23"/>
  <c r="AI52" i="23"/>
  <c r="AN51" i="23"/>
  <c r="AM51" i="23"/>
  <c r="AL51" i="23"/>
  <c r="AI51" i="23"/>
  <c r="AN50" i="23"/>
  <c r="AM50" i="23"/>
  <c r="AL50" i="23"/>
  <c r="AI50" i="23"/>
  <c r="AN49" i="23"/>
  <c r="AM49" i="23"/>
  <c r="AL49" i="23"/>
  <c r="AI49" i="23"/>
  <c r="AN48" i="23"/>
  <c r="AM48" i="23"/>
  <c r="AL48" i="23"/>
  <c r="AI48" i="23"/>
  <c r="AN47" i="23"/>
  <c r="AM47" i="23"/>
  <c r="AL47" i="23"/>
  <c r="AI47" i="23"/>
  <c r="AN46" i="23"/>
  <c r="AM46" i="23"/>
  <c r="AL46" i="23"/>
  <c r="AI46" i="23"/>
  <c r="AN45" i="23"/>
  <c r="AM45" i="23"/>
  <c r="AL45" i="23"/>
  <c r="AI45" i="23"/>
  <c r="AN44" i="23"/>
  <c r="AM44" i="23"/>
  <c r="AL44" i="23"/>
  <c r="AI44" i="23"/>
  <c r="AN43" i="23"/>
  <c r="AM43" i="23"/>
  <c r="AL43" i="23"/>
  <c r="AI43" i="23"/>
  <c r="AN42" i="23"/>
  <c r="AM42" i="23"/>
  <c r="AL42" i="23"/>
  <c r="AI42" i="23"/>
  <c r="AN41" i="23"/>
  <c r="AM41" i="23"/>
  <c r="AL41" i="23"/>
  <c r="AI41" i="23"/>
  <c r="AN40" i="23"/>
  <c r="AM40" i="23"/>
  <c r="AL40" i="23"/>
  <c r="AI40" i="23"/>
  <c r="AN39" i="23"/>
  <c r="AM39" i="23"/>
  <c r="AL39" i="23"/>
  <c r="AI39" i="23"/>
  <c r="AN38" i="23"/>
  <c r="AM38" i="23"/>
  <c r="AL38" i="23"/>
  <c r="AI38" i="23"/>
  <c r="AN37" i="23"/>
  <c r="AM37" i="23"/>
  <c r="AL37" i="23"/>
  <c r="AI37" i="23"/>
  <c r="AN36" i="23"/>
  <c r="AM36" i="23"/>
  <c r="AL36" i="23"/>
  <c r="AI36" i="23"/>
  <c r="AN35" i="23"/>
  <c r="AM35" i="23"/>
  <c r="AL35" i="23"/>
  <c r="AI35" i="23"/>
  <c r="AN34" i="23"/>
  <c r="AM34" i="23"/>
  <c r="AL34" i="23"/>
  <c r="AI34" i="23"/>
  <c r="AN33" i="23"/>
  <c r="AM33" i="23"/>
  <c r="AL33" i="23"/>
  <c r="AI33" i="23"/>
  <c r="AN32" i="23"/>
  <c r="AM32" i="23"/>
  <c r="AL32" i="23"/>
  <c r="AI32" i="23"/>
  <c r="AN31" i="23"/>
  <c r="AM31" i="23"/>
  <c r="AL31" i="23"/>
  <c r="AI31" i="23"/>
  <c r="AN30" i="23"/>
  <c r="AM30" i="23"/>
  <c r="AL30" i="23"/>
  <c r="AI30" i="23"/>
  <c r="AN29" i="23"/>
  <c r="AM29" i="23"/>
  <c r="AL29" i="23"/>
  <c r="AI29" i="23"/>
  <c r="AN28" i="23"/>
  <c r="AM28" i="23"/>
  <c r="AL28" i="23"/>
  <c r="AI28" i="23"/>
  <c r="AN27" i="23"/>
  <c r="AM27" i="23"/>
  <c r="AL27" i="23"/>
  <c r="AI27" i="23"/>
  <c r="C27" i="23"/>
  <c r="AN26" i="23"/>
  <c r="AM26" i="23"/>
  <c r="AL26" i="23"/>
  <c r="AI26" i="23"/>
  <c r="AN25" i="23"/>
  <c r="AM25" i="23"/>
  <c r="AL25" i="23"/>
  <c r="AI25" i="23"/>
  <c r="AN24" i="23"/>
  <c r="AM24" i="23"/>
  <c r="AL24" i="23"/>
  <c r="AI24" i="23"/>
  <c r="AN23" i="23"/>
  <c r="AM23" i="23"/>
  <c r="AL23" i="23"/>
  <c r="AI23" i="23"/>
  <c r="AN22" i="23"/>
  <c r="AM22" i="23"/>
  <c r="AL22" i="23"/>
  <c r="AI22" i="23"/>
  <c r="AN21" i="23"/>
  <c r="AM21" i="23"/>
  <c r="AL21" i="23"/>
  <c r="AI21" i="23"/>
  <c r="AN20" i="23"/>
  <c r="AM20" i="23"/>
  <c r="AL20" i="23"/>
  <c r="AI20" i="23"/>
  <c r="AN19" i="23"/>
  <c r="AM19" i="23"/>
  <c r="AL19" i="23"/>
  <c r="AI19" i="23"/>
  <c r="AN18" i="23"/>
  <c r="AM18" i="23"/>
  <c r="AL18" i="23"/>
  <c r="AI18" i="23"/>
  <c r="AN17" i="23"/>
  <c r="AM17" i="23"/>
  <c r="AL17" i="23"/>
  <c r="AI17" i="23"/>
  <c r="AN16" i="23"/>
  <c r="AM16" i="23"/>
  <c r="AL16" i="23"/>
  <c r="AI16" i="23"/>
  <c r="D16" i="23"/>
  <c r="AN15" i="23"/>
  <c r="AM15" i="23"/>
  <c r="AL15" i="23"/>
  <c r="AI15" i="23"/>
  <c r="D15" i="23"/>
  <c r="C15" i="23"/>
  <c r="AN14" i="23"/>
  <c r="AM14" i="23"/>
  <c r="AL14" i="23"/>
  <c r="AI14" i="23"/>
  <c r="D14" i="23"/>
  <c r="C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I13" i="23"/>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C13" i="23"/>
  <c r="BI12" i="23"/>
  <c r="AN12" i="23"/>
  <c r="AM12" i="23"/>
  <c r="AL12" i="23"/>
  <c r="AI12" i="23"/>
  <c r="S12" i="23"/>
  <c r="C12" i="23"/>
  <c r="R5" i="23"/>
  <c r="Q5" i="23"/>
  <c r="P5" i="23"/>
  <c r="O5" i="23"/>
  <c r="AI10" i="23" s="1"/>
  <c r="N5" i="23"/>
  <c r="M5" i="23"/>
  <c r="L5" i="23"/>
  <c r="K5" i="23"/>
  <c r="J5" i="23"/>
  <c r="I5" i="23"/>
  <c r="H5" i="23"/>
  <c r="G5" i="23"/>
  <c r="F5" i="23"/>
  <c r="E5" i="23"/>
  <c r="D5" i="23"/>
  <c r="C5" i="23"/>
  <c r="B12" i="23" s="1"/>
  <c r="B5" i="23"/>
  <c r="C9" i="23" s="1"/>
  <c r="AN65" i="22"/>
  <c r="AM65" i="22"/>
  <c r="AL65" i="22"/>
  <c r="AI65" i="22"/>
  <c r="AN64" i="22"/>
  <c r="AM64" i="22"/>
  <c r="AL64" i="22"/>
  <c r="AI64" i="22"/>
  <c r="AN63" i="22"/>
  <c r="AM63" i="22"/>
  <c r="AL63" i="22"/>
  <c r="AI63" i="22"/>
  <c r="AN62" i="22"/>
  <c r="AM62" i="22"/>
  <c r="AL62" i="22"/>
  <c r="AI62" i="22"/>
  <c r="AN61" i="22"/>
  <c r="AM61" i="22"/>
  <c r="AL61" i="22"/>
  <c r="AI61" i="22"/>
  <c r="AN60" i="22"/>
  <c r="AM60" i="22"/>
  <c r="AL60" i="22"/>
  <c r="AI60" i="22"/>
  <c r="AN59" i="22"/>
  <c r="AM59" i="22"/>
  <c r="AL59" i="22"/>
  <c r="AI59" i="22"/>
  <c r="AN58" i="22"/>
  <c r="AM58" i="22"/>
  <c r="AL58" i="22"/>
  <c r="AI58" i="22"/>
  <c r="AN57" i="22"/>
  <c r="AM57" i="22"/>
  <c r="AL57" i="22"/>
  <c r="AI57" i="22"/>
  <c r="AN56" i="22"/>
  <c r="AM56" i="22"/>
  <c r="AL56" i="22"/>
  <c r="AI56" i="22"/>
  <c r="AN55" i="22"/>
  <c r="AM55" i="22"/>
  <c r="AL55" i="22"/>
  <c r="AI55" i="22"/>
  <c r="AN54" i="22"/>
  <c r="AM54" i="22"/>
  <c r="AL54" i="22"/>
  <c r="AI54" i="22"/>
  <c r="AN53" i="22"/>
  <c r="AM53" i="22"/>
  <c r="AL53" i="22"/>
  <c r="AI53" i="22"/>
  <c r="AN52" i="22"/>
  <c r="AM52" i="22"/>
  <c r="AL52" i="22"/>
  <c r="AI52" i="22"/>
  <c r="AN51" i="22"/>
  <c r="AM51" i="22"/>
  <c r="AL51" i="22"/>
  <c r="AI51" i="22"/>
  <c r="AN50" i="22"/>
  <c r="AM50" i="22"/>
  <c r="AL50" i="22"/>
  <c r="AI50" i="22"/>
  <c r="AN49" i="22"/>
  <c r="AM49" i="22"/>
  <c r="AL49" i="22"/>
  <c r="AI49" i="22"/>
  <c r="AN48" i="22"/>
  <c r="AM48" i="22"/>
  <c r="AL48" i="22"/>
  <c r="AI48" i="22"/>
  <c r="AN47" i="22"/>
  <c r="AM47" i="22"/>
  <c r="AL47" i="22"/>
  <c r="AI47" i="22"/>
  <c r="AN46" i="22"/>
  <c r="AM46" i="22"/>
  <c r="AL46" i="22"/>
  <c r="AI46" i="22"/>
  <c r="AN45" i="22"/>
  <c r="AM45" i="22"/>
  <c r="AL45" i="22"/>
  <c r="AI45" i="22"/>
  <c r="AN44" i="22"/>
  <c r="AM44" i="22"/>
  <c r="AL44" i="22"/>
  <c r="AI44" i="22"/>
  <c r="AN43" i="22"/>
  <c r="AM43" i="22"/>
  <c r="AL43" i="22"/>
  <c r="AI43" i="22"/>
  <c r="AN42" i="22"/>
  <c r="AM42" i="22"/>
  <c r="AL42" i="22"/>
  <c r="AI42" i="22"/>
  <c r="AN41" i="22"/>
  <c r="AM41" i="22"/>
  <c r="AL41" i="22"/>
  <c r="AI41" i="22"/>
  <c r="AN40" i="22"/>
  <c r="AM40" i="22"/>
  <c r="AL40" i="22"/>
  <c r="AI40" i="22"/>
  <c r="AN39" i="22"/>
  <c r="AM39" i="22"/>
  <c r="AL39" i="22"/>
  <c r="AI39" i="22"/>
  <c r="AN38" i="22"/>
  <c r="AM38" i="22"/>
  <c r="AL38" i="22"/>
  <c r="AI38" i="22"/>
  <c r="AN37" i="22"/>
  <c r="AM37" i="22"/>
  <c r="AL37" i="22"/>
  <c r="AI37" i="22"/>
  <c r="AN36" i="22"/>
  <c r="AM36" i="22"/>
  <c r="AL36" i="22"/>
  <c r="AI36" i="22"/>
  <c r="AN35" i="22"/>
  <c r="AM35" i="22"/>
  <c r="AL35" i="22"/>
  <c r="AI35" i="22"/>
  <c r="AN34" i="22"/>
  <c r="AM34" i="22"/>
  <c r="AL34" i="22"/>
  <c r="AI34" i="22"/>
  <c r="AN33" i="22"/>
  <c r="AM33" i="22"/>
  <c r="AL33" i="22"/>
  <c r="AI33" i="22"/>
  <c r="AN32" i="22"/>
  <c r="AM32" i="22"/>
  <c r="AL32" i="22"/>
  <c r="AI32" i="22"/>
  <c r="AN31" i="22"/>
  <c r="AM31" i="22"/>
  <c r="AL31" i="22"/>
  <c r="AI31" i="22"/>
  <c r="AN30" i="22"/>
  <c r="AM30" i="22"/>
  <c r="AL30" i="22"/>
  <c r="AI30" i="22"/>
  <c r="AN29" i="22"/>
  <c r="AM29" i="22"/>
  <c r="AL29" i="22"/>
  <c r="AI29" i="22"/>
  <c r="AN28" i="22"/>
  <c r="AM28" i="22"/>
  <c r="AL28" i="22"/>
  <c r="AI28" i="22"/>
  <c r="AN27" i="22"/>
  <c r="AM27" i="22"/>
  <c r="AL27" i="22"/>
  <c r="AI27" i="22"/>
  <c r="C27" i="22"/>
  <c r="AN26" i="22"/>
  <c r="AM26" i="22"/>
  <c r="AL26" i="22"/>
  <c r="AI26" i="22"/>
  <c r="AN25" i="22"/>
  <c r="AM25" i="22"/>
  <c r="AL25" i="22"/>
  <c r="AI25" i="22"/>
  <c r="AN24" i="22"/>
  <c r="AM24" i="22"/>
  <c r="AL24" i="22"/>
  <c r="AI24" i="22"/>
  <c r="AN23" i="22"/>
  <c r="AM23" i="22"/>
  <c r="AL23" i="22"/>
  <c r="AI23" i="22"/>
  <c r="AN22" i="22"/>
  <c r="AM22" i="22"/>
  <c r="AL22" i="22"/>
  <c r="AI22" i="22"/>
  <c r="AN21" i="22"/>
  <c r="AM21" i="22"/>
  <c r="AL21" i="22"/>
  <c r="AI21" i="22"/>
  <c r="AN20" i="22"/>
  <c r="AM20" i="22"/>
  <c r="AL20" i="22"/>
  <c r="AI20" i="22"/>
  <c r="AN19" i="22"/>
  <c r="AM19" i="22"/>
  <c r="AL19" i="22"/>
  <c r="AI19" i="22"/>
  <c r="D19" i="22"/>
  <c r="AN18" i="22"/>
  <c r="AM18" i="22"/>
  <c r="AL18" i="22"/>
  <c r="AI18" i="22"/>
  <c r="D18" i="22"/>
  <c r="C18" i="22"/>
  <c r="AN17" i="22"/>
  <c r="AM17" i="22"/>
  <c r="AL17" i="22"/>
  <c r="AI17" i="22"/>
  <c r="D17" i="22"/>
  <c r="C17" i="22"/>
  <c r="AN16" i="22"/>
  <c r="AM16" i="22"/>
  <c r="AL16" i="22"/>
  <c r="AI16" i="22"/>
  <c r="D16" i="22"/>
  <c r="C16" i="22"/>
  <c r="AN15" i="22"/>
  <c r="AM15" i="22"/>
  <c r="AL15" i="22"/>
  <c r="AI15" i="22"/>
  <c r="D15" i="22"/>
  <c r="C15" i="22"/>
  <c r="AN14" i="22"/>
  <c r="AM14" i="22"/>
  <c r="AL14" i="22"/>
  <c r="AI14" i="22"/>
  <c r="D14" i="22"/>
  <c r="C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I13" i="22"/>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C13" i="22"/>
  <c r="BI12" i="22"/>
  <c r="AN12" i="22"/>
  <c r="AM12" i="22"/>
  <c r="AL12" i="22"/>
  <c r="AI12" i="22"/>
  <c r="S12" i="22"/>
  <c r="C12" i="22"/>
  <c r="R5" i="22"/>
  <c r="Q5" i="22"/>
  <c r="P5" i="22"/>
  <c r="O5" i="22"/>
  <c r="AI10" i="22" s="1"/>
  <c r="N5" i="22"/>
  <c r="M5" i="22"/>
  <c r="L5" i="22"/>
  <c r="K5" i="22"/>
  <c r="J5" i="22"/>
  <c r="I5" i="22"/>
  <c r="H5" i="22"/>
  <c r="G5" i="22"/>
  <c r="F5" i="22"/>
  <c r="E5" i="22"/>
  <c r="D5" i="22"/>
  <c r="C5" i="22"/>
  <c r="B12" i="22" s="1"/>
  <c r="B5" i="22"/>
  <c r="C9" i="22" s="1"/>
  <c r="AN65" i="21"/>
  <c r="AM65" i="21"/>
  <c r="AL65" i="21"/>
  <c r="AI65" i="21"/>
  <c r="AN64" i="21"/>
  <c r="AM64" i="21"/>
  <c r="AL64" i="21"/>
  <c r="AI64" i="21"/>
  <c r="AN63" i="21"/>
  <c r="AM63" i="21"/>
  <c r="AL63" i="21"/>
  <c r="AI63" i="21"/>
  <c r="AN62" i="21"/>
  <c r="AM62" i="21"/>
  <c r="AL62" i="21"/>
  <c r="AI62" i="21"/>
  <c r="AN61" i="21"/>
  <c r="AM61" i="21"/>
  <c r="AL61" i="21"/>
  <c r="AI61" i="21"/>
  <c r="AN60" i="21"/>
  <c r="AM60" i="21"/>
  <c r="AL60" i="21"/>
  <c r="AI60" i="21"/>
  <c r="AN59" i="21"/>
  <c r="AM59" i="21"/>
  <c r="AL59" i="21"/>
  <c r="AI59" i="21"/>
  <c r="AN58" i="21"/>
  <c r="AM58" i="21"/>
  <c r="AL58" i="21"/>
  <c r="AI58" i="21"/>
  <c r="AN57" i="21"/>
  <c r="AM57" i="21"/>
  <c r="AL57" i="21"/>
  <c r="AI57" i="21"/>
  <c r="AN56" i="21"/>
  <c r="AM56" i="21"/>
  <c r="AL56" i="21"/>
  <c r="AI56" i="21"/>
  <c r="AN55" i="21"/>
  <c r="AM55" i="21"/>
  <c r="AL55" i="21"/>
  <c r="AI55" i="21"/>
  <c r="AN54" i="21"/>
  <c r="AM54" i="21"/>
  <c r="AL54" i="21"/>
  <c r="AI54" i="21"/>
  <c r="AN53" i="21"/>
  <c r="AM53" i="21"/>
  <c r="AL53" i="21"/>
  <c r="AI53" i="21"/>
  <c r="AN52" i="21"/>
  <c r="AM52" i="21"/>
  <c r="AL52" i="21"/>
  <c r="AI52" i="21"/>
  <c r="AN51" i="21"/>
  <c r="AM51" i="21"/>
  <c r="AL51" i="21"/>
  <c r="AI51" i="21"/>
  <c r="AN50" i="21"/>
  <c r="AM50" i="21"/>
  <c r="AL50" i="21"/>
  <c r="AI50" i="21"/>
  <c r="AN49" i="21"/>
  <c r="AM49" i="21"/>
  <c r="AL49" i="21"/>
  <c r="AI49" i="21"/>
  <c r="AN48" i="21"/>
  <c r="AM48" i="21"/>
  <c r="AL48" i="21"/>
  <c r="AI48" i="21"/>
  <c r="AN47" i="21"/>
  <c r="AM47" i="21"/>
  <c r="AL47" i="21"/>
  <c r="AI47" i="21"/>
  <c r="AN46" i="21"/>
  <c r="AM46" i="21"/>
  <c r="AL46" i="21"/>
  <c r="AI46" i="21"/>
  <c r="AN45" i="21"/>
  <c r="AM45" i="21"/>
  <c r="AL45" i="21"/>
  <c r="AI45" i="21"/>
  <c r="AN44" i="21"/>
  <c r="AM44" i="21"/>
  <c r="AL44" i="21"/>
  <c r="AI44" i="21"/>
  <c r="AN43" i="21"/>
  <c r="AM43" i="21"/>
  <c r="AL43" i="21"/>
  <c r="AI43" i="21"/>
  <c r="AN42" i="21"/>
  <c r="AM42" i="21"/>
  <c r="AL42" i="21"/>
  <c r="AI42" i="21"/>
  <c r="AN41" i="21"/>
  <c r="AM41" i="21"/>
  <c r="AL41" i="21"/>
  <c r="AI41" i="21"/>
  <c r="AN40" i="21"/>
  <c r="AM40" i="21"/>
  <c r="AL40" i="21"/>
  <c r="AI40" i="21"/>
  <c r="AN39" i="21"/>
  <c r="AM39" i="21"/>
  <c r="AL39" i="21"/>
  <c r="AI39" i="21"/>
  <c r="AN38" i="21"/>
  <c r="AM38" i="21"/>
  <c r="AL38" i="21"/>
  <c r="AI38" i="21"/>
  <c r="AN37" i="21"/>
  <c r="AM37" i="21"/>
  <c r="AL37" i="21"/>
  <c r="AI37" i="21"/>
  <c r="AN36" i="21"/>
  <c r="AM36" i="21"/>
  <c r="AL36" i="21"/>
  <c r="AI36" i="21"/>
  <c r="AN35" i="21"/>
  <c r="AM35" i="21"/>
  <c r="AL35" i="21"/>
  <c r="AI35" i="21"/>
  <c r="AN34" i="21"/>
  <c r="AM34" i="21"/>
  <c r="AL34" i="21"/>
  <c r="AI34" i="21"/>
  <c r="AN33" i="21"/>
  <c r="AM33" i="21"/>
  <c r="AL33" i="21"/>
  <c r="AI33" i="21"/>
  <c r="AN32" i="21"/>
  <c r="AM32" i="21"/>
  <c r="AL32" i="21"/>
  <c r="AI32" i="21"/>
  <c r="AN31" i="21"/>
  <c r="AM31" i="21"/>
  <c r="AL31" i="21"/>
  <c r="AI31" i="21"/>
  <c r="AN30" i="21"/>
  <c r="AM30" i="21"/>
  <c r="AL30" i="21"/>
  <c r="AI30" i="21"/>
  <c r="AN29" i="21"/>
  <c r="AM29" i="21"/>
  <c r="AL29" i="21"/>
  <c r="AI29" i="21"/>
  <c r="AN28" i="21"/>
  <c r="AM28" i="21"/>
  <c r="AL28" i="21"/>
  <c r="AI28" i="21"/>
  <c r="AN27" i="21"/>
  <c r="AM27" i="21"/>
  <c r="AL27" i="21"/>
  <c r="AI27" i="21"/>
  <c r="C27" i="21"/>
  <c r="AN26" i="21"/>
  <c r="AM26" i="21"/>
  <c r="AL26" i="21"/>
  <c r="AI26" i="21"/>
  <c r="AN25" i="21"/>
  <c r="AM25" i="21"/>
  <c r="AL25" i="21"/>
  <c r="AI25" i="21"/>
  <c r="AN24" i="21"/>
  <c r="AM24" i="21"/>
  <c r="AL24" i="21"/>
  <c r="AI24" i="21"/>
  <c r="AN23" i="21"/>
  <c r="AM23" i="21"/>
  <c r="AL23" i="21"/>
  <c r="AI23" i="21"/>
  <c r="AN22" i="21"/>
  <c r="AM22" i="21"/>
  <c r="AL22" i="21"/>
  <c r="AI22" i="21"/>
  <c r="AN21" i="21"/>
  <c r="AM21" i="21"/>
  <c r="AL21" i="21"/>
  <c r="AI21" i="21"/>
  <c r="D21" i="21"/>
  <c r="C21" i="21"/>
  <c r="AN20" i="21"/>
  <c r="AM20" i="21"/>
  <c r="AL20" i="21"/>
  <c r="AI20" i="21"/>
  <c r="D20" i="21"/>
  <c r="C20" i="21"/>
  <c r="AN19" i="21"/>
  <c r="AM19" i="21"/>
  <c r="AL19" i="21"/>
  <c r="AI19" i="21"/>
  <c r="D19" i="21"/>
  <c r="C19" i="21"/>
  <c r="AN18" i="21"/>
  <c r="AM18" i="21"/>
  <c r="AL18" i="21"/>
  <c r="AI18" i="21"/>
  <c r="D18" i="21"/>
  <c r="C18" i="21"/>
  <c r="AN17" i="21"/>
  <c r="AM17" i="21"/>
  <c r="AL17" i="21"/>
  <c r="AI17" i="21"/>
  <c r="D17" i="21"/>
  <c r="C17" i="21"/>
  <c r="AN16" i="21"/>
  <c r="AM16" i="21"/>
  <c r="AL16" i="21"/>
  <c r="AI16" i="21"/>
  <c r="D16" i="21"/>
  <c r="C16" i="21"/>
  <c r="AN15" i="21"/>
  <c r="AM15" i="21"/>
  <c r="AL15" i="21"/>
  <c r="AI15" i="21"/>
  <c r="D15" i="21"/>
  <c r="C15" i="21"/>
  <c r="AN14" i="21"/>
  <c r="AM14" i="21"/>
  <c r="AL14" i="21"/>
  <c r="AI14" i="21"/>
  <c r="D14" i="21"/>
  <c r="C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I13" i="2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C13" i="21"/>
  <c r="BI12" i="21"/>
  <c r="AN12" i="21"/>
  <c r="AM12" i="21"/>
  <c r="AL12" i="21"/>
  <c r="AI12" i="21"/>
  <c r="S12" i="21"/>
  <c r="C12" i="21"/>
  <c r="R5" i="21"/>
  <c r="Q5" i="21"/>
  <c r="P5" i="21"/>
  <c r="O5" i="21"/>
  <c r="AI10" i="21" s="1"/>
  <c r="N5" i="21"/>
  <c r="M5" i="21"/>
  <c r="L5" i="21"/>
  <c r="K5" i="21"/>
  <c r="J5" i="21"/>
  <c r="I5" i="21"/>
  <c r="H5" i="21"/>
  <c r="G5" i="21"/>
  <c r="F5" i="21"/>
  <c r="E5" i="21"/>
  <c r="D5" i="21"/>
  <c r="C5" i="21"/>
  <c r="B12" i="21" s="1"/>
  <c r="B5" i="21"/>
  <c r="C9" i="21" s="1"/>
  <c r="AN65" i="20"/>
  <c r="AM65" i="20"/>
  <c r="AL65" i="20"/>
  <c r="AI65" i="20"/>
  <c r="AN64" i="20"/>
  <c r="AM64" i="20"/>
  <c r="AL64" i="20"/>
  <c r="AI64" i="20"/>
  <c r="AN63" i="20"/>
  <c r="AM63" i="20"/>
  <c r="AL63" i="20"/>
  <c r="AI63" i="20"/>
  <c r="AN62" i="20"/>
  <c r="AM62" i="20"/>
  <c r="AL62" i="20"/>
  <c r="AI62" i="20"/>
  <c r="AN61" i="20"/>
  <c r="AM61" i="20"/>
  <c r="AL61" i="20"/>
  <c r="AI61" i="20"/>
  <c r="AN60" i="20"/>
  <c r="AM60" i="20"/>
  <c r="AL60" i="20"/>
  <c r="AI60" i="20"/>
  <c r="AN59" i="20"/>
  <c r="AM59" i="20"/>
  <c r="AL59" i="20"/>
  <c r="AI59" i="20"/>
  <c r="AN58" i="20"/>
  <c r="AM58" i="20"/>
  <c r="AL58" i="20"/>
  <c r="AI58" i="20"/>
  <c r="AN57" i="20"/>
  <c r="AM57" i="20"/>
  <c r="AL57" i="20"/>
  <c r="AI57" i="20"/>
  <c r="AN56" i="20"/>
  <c r="AM56" i="20"/>
  <c r="AL56" i="20"/>
  <c r="AI56" i="20"/>
  <c r="AN55" i="20"/>
  <c r="AM55" i="20"/>
  <c r="AL55" i="20"/>
  <c r="AI55" i="20"/>
  <c r="AN54" i="20"/>
  <c r="AM54" i="20"/>
  <c r="AL54" i="20"/>
  <c r="AI54" i="20"/>
  <c r="AN53" i="20"/>
  <c r="AM53" i="20"/>
  <c r="AL53" i="20"/>
  <c r="AI53" i="20"/>
  <c r="AN52" i="20"/>
  <c r="AM52" i="20"/>
  <c r="AL52" i="20"/>
  <c r="AI52" i="20"/>
  <c r="AN51" i="20"/>
  <c r="AM51" i="20"/>
  <c r="AL51" i="20"/>
  <c r="AI51" i="20"/>
  <c r="AN50" i="20"/>
  <c r="AM50" i="20"/>
  <c r="AL50" i="20"/>
  <c r="AI50" i="20"/>
  <c r="AN49" i="20"/>
  <c r="AM49" i="20"/>
  <c r="AL49" i="20"/>
  <c r="AI49" i="20"/>
  <c r="AN48" i="20"/>
  <c r="AM48" i="20"/>
  <c r="AL48" i="20"/>
  <c r="AI48" i="20"/>
  <c r="AN47" i="20"/>
  <c r="AM47" i="20"/>
  <c r="AL47" i="20"/>
  <c r="AI47" i="20"/>
  <c r="AN46" i="20"/>
  <c r="AM46" i="20"/>
  <c r="AL46" i="20"/>
  <c r="AI46" i="20"/>
  <c r="AN45" i="20"/>
  <c r="AM45" i="20"/>
  <c r="AL45" i="20"/>
  <c r="AI45" i="20"/>
  <c r="AN44" i="20"/>
  <c r="AM44" i="20"/>
  <c r="AL44" i="20"/>
  <c r="AI44" i="20"/>
  <c r="AN43" i="20"/>
  <c r="AM43" i="20"/>
  <c r="AL43" i="20"/>
  <c r="AI43" i="20"/>
  <c r="AN42" i="20"/>
  <c r="AM42" i="20"/>
  <c r="AL42" i="20"/>
  <c r="AI42" i="20"/>
  <c r="AN41" i="20"/>
  <c r="AM41" i="20"/>
  <c r="AL41" i="20"/>
  <c r="AI41" i="20"/>
  <c r="AN40" i="20"/>
  <c r="AM40" i="20"/>
  <c r="AL40" i="20"/>
  <c r="AI40" i="20"/>
  <c r="AN39" i="20"/>
  <c r="AM39" i="20"/>
  <c r="AL39" i="20"/>
  <c r="AI39" i="20"/>
  <c r="AN38" i="20"/>
  <c r="AM38" i="20"/>
  <c r="AL38" i="20"/>
  <c r="AI38" i="20"/>
  <c r="AN37" i="20"/>
  <c r="AM37" i="20"/>
  <c r="AL37" i="20"/>
  <c r="AI37" i="20"/>
  <c r="AN36" i="20"/>
  <c r="AM36" i="20"/>
  <c r="AL36" i="20"/>
  <c r="AI36" i="20"/>
  <c r="AN35" i="20"/>
  <c r="AM35" i="20"/>
  <c r="AL35" i="20"/>
  <c r="AI35" i="20"/>
  <c r="AN34" i="20"/>
  <c r="AM34" i="20"/>
  <c r="AL34" i="20"/>
  <c r="AI34" i="20"/>
  <c r="AN33" i="20"/>
  <c r="AM33" i="20"/>
  <c r="AL33" i="20"/>
  <c r="AI33" i="20"/>
  <c r="AN32" i="20"/>
  <c r="AM32" i="20"/>
  <c r="AL32" i="20"/>
  <c r="AI32" i="20"/>
  <c r="AN31" i="20"/>
  <c r="AM31" i="20"/>
  <c r="AL31" i="20"/>
  <c r="AI31" i="20"/>
  <c r="AN30" i="20"/>
  <c r="AM30" i="20"/>
  <c r="AL30" i="20"/>
  <c r="AI30" i="20"/>
  <c r="AN29" i="20"/>
  <c r="AM29" i="20"/>
  <c r="AL29" i="20"/>
  <c r="AI29" i="20"/>
  <c r="AN28" i="20"/>
  <c r="AM28" i="20"/>
  <c r="AL28" i="20"/>
  <c r="AI28" i="20"/>
  <c r="AN27" i="20"/>
  <c r="AM27" i="20"/>
  <c r="AL27" i="20"/>
  <c r="AI27" i="20"/>
  <c r="C27" i="20"/>
  <c r="AN26" i="20"/>
  <c r="AM26" i="20"/>
  <c r="AL26" i="20"/>
  <c r="AI26" i="20"/>
  <c r="AN25" i="20"/>
  <c r="AM25" i="20"/>
  <c r="AL25" i="20"/>
  <c r="AI25" i="20"/>
  <c r="D25" i="20"/>
  <c r="AN24" i="20"/>
  <c r="AM24" i="20"/>
  <c r="AL24" i="20"/>
  <c r="AI24" i="20"/>
  <c r="D24" i="20"/>
  <c r="AN23" i="20"/>
  <c r="AM23" i="20"/>
  <c r="AL23" i="20"/>
  <c r="AI23" i="20"/>
  <c r="D23" i="20"/>
  <c r="AN22" i="20"/>
  <c r="AM22" i="20"/>
  <c r="AL22" i="20"/>
  <c r="AI22" i="20"/>
  <c r="D22" i="20"/>
  <c r="AN21" i="20"/>
  <c r="AM21" i="20"/>
  <c r="AL21" i="20"/>
  <c r="AI21" i="20"/>
  <c r="D21" i="20"/>
  <c r="AN20" i="20"/>
  <c r="AM20" i="20"/>
  <c r="AL20" i="20"/>
  <c r="AI20" i="20"/>
  <c r="D20" i="20"/>
  <c r="AN19" i="20"/>
  <c r="AM19" i="20"/>
  <c r="AL19" i="20"/>
  <c r="AI19" i="20"/>
  <c r="D19" i="20"/>
  <c r="AN18" i="20"/>
  <c r="AM18" i="20"/>
  <c r="AL18" i="20"/>
  <c r="AI18" i="20"/>
  <c r="D18" i="20"/>
  <c r="AN17" i="20"/>
  <c r="AM17" i="20"/>
  <c r="AL17" i="20"/>
  <c r="AI17" i="20"/>
  <c r="D17" i="20"/>
  <c r="AN16" i="20"/>
  <c r="AM16" i="20"/>
  <c r="AL16" i="20"/>
  <c r="AI16" i="20"/>
  <c r="AN15" i="20"/>
  <c r="AM15" i="20"/>
  <c r="AL15" i="20"/>
  <c r="AI15" i="20"/>
  <c r="D15" i="20"/>
  <c r="AN14" i="20"/>
  <c r="AM14" i="20"/>
  <c r="AL14" i="20"/>
  <c r="AI14" i="20"/>
  <c r="D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I13" i="20"/>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AI12" i="20"/>
  <c r="S12" i="20"/>
  <c r="R5" i="20"/>
  <c r="Q5" i="20"/>
  <c r="P5" i="20"/>
  <c r="O5" i="20"/>
  <c r="AI10" i="20" s="1"/>
  <c r="N5" i="20"/>
  <c r="M5" i="20"/>
  <c r="L5" i="20"/>
  <c r="K5" i="20"/>
  <c r="J5" i="20"/>
  <c r="I5" i="20"/>
  <c r="H5" i="20"/>
  <c r="G5" i="20"/>
  <c r="F5" i="20"/>
  <c r="E5" i="20"/>
  <c r="D5" i="20"/>
  <c r="C5" i="20"/>
  <c r="B12" i="20" s="1"/>
  <c r="B5" i="20"/>
  <c r="C9" i="20" s="1"/>
  <c r="AH63" i="9"/>
  <c r="AI63" i="9"/>
  <c r="AK63" i="9"/>
  <c r="AL63" i="9"/>
  <c r="AM63" i="9"/>
  <c r="AN63" i="9"/>
  <c r="AH64" i="9"/>
  <c r="AI64" i="9"/>
  <c r="AK64" i="9"/>
  <c r="AL64" i="9"/>
  <c r="AM64" i="9"/>
  <c r="AN64" i="9"/>
  <c r="AH65" i="9"/>
  <c r="AI65" i="9"/>
  <c r="AK65" i="9"/>
  <c r="AL65" i="9"/>
  <c r="AM65" i="9"/>
  <c r="AN65" i="9"/>
  <c r="AH55" i="9"/>
  <c r="AI55" i="9"/>
  <c r="AK55" i="9"/>
  <c r="AL55" i="9"/>
  <c r="AM55" i="9"/>
  <c r="AN55" i="9"/>
  <c r="AH56" i="9"/>
  <c r="AI56" i="9"/>
  <c r="AK56" i="9"/>
  <c r="AL56" i="9"/>
  <c r="AM56" i="9"/>
  <c r="AN56" i="9"/>
  <c r="AH57" i="9"/>
  <c r="AI57" i="9"/>
  <c r="AK57" i="9"/>
  <c r="AL57" i="9"/>
  <c r="AM57" i="9"/>
  <c r="AN57" i="9"/>
  <c r="AH58" i="9"/>
  <c r="AI58" i="9"/>
  <c r="AK58" i="9"/>
  <c r="AL58" i="9"/>
  <c r="AM58" i="9"/>
  <c r="AN58" i="9"/>
  <c r="AH59" i="9"/>
  <c r="AI59" i="9"/>
  <c r="AK59" i="9"/>
  <c r="AL59" i="9"/>
  <c r="AM59" i="9"/>
  <c r="AN59" i="9"/>
  <c r="AH60" i="9"/>
  <c r="AI60" i="9"/>
  <c r="AK60" i="9"/>
  <c r="AL60" i="9"/>
  <c r="AM60" i="9"/>
  <c r="AN60" i="9"/>
  <c r="AH61" i="9"/>
  <c r="AI61" i="9"/>
  <c r="AK61" i="9"/>
  <c r="AL61" i="9"/>
  <c r="AM61" i="9"/>
  <c r="AN61" i="9"/>
  <c r="AH62" i="9"/>
  <c r="AI62" i="9"/>
  <c r="AK62" i="9"/>
  <c r="AL62" i="9"/>
  <c r="AM62" i="9"/>
  <c r="AN62" i="9"/>
  <c r="T12" i="9"/>
  <c r="S12" i="9"/>
  <c r="B13" i="23" l="1"/>
  <c r="BG12" i="23"/>
  <c r="BD12" i="23" s="1"/>
  <c r="AS12" i="23"/>
  <c r="AP12" i="23" s="1"/>
  <c r="V12" i="23"/>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U12" i="23" s="1"/>
  <c r="W12" i="23" s="1"/>
  <c r="AQ12" i="23"/>
  <c r="N12" i="23" s="1"/>
  <c r="BE12" i="23"/>
  <c r="P12" i="23" s="1"/>
  <c r="O13" i="23"/>
  <c r="O14" i="23"/>
  <c r="O15" i="23"/>
  <c r="O16" i="23"/>
  <c r="O17" i="23"/>
  <c r="O18" i="23"/>
  <c r="O19" i="23"/>
  <c r="O20" i="23"/>
  <c r="O21" i="23"/>
  <c r="O22" i="23"/>
  <c r="O23" i="23"/>
  <c r="O24" i="23"/>
  <c r="O25" i="23"/>
  <c r="O26" i="23"/>
  <c r="B13" i="22"/>
  <c r="BG12" i="22"/>
  <c r="BD12" i="22" s="1"/>
  <c r="AS12" i="22"/>
  <c r="AP12" i="22" s="1"/>
  <c r="V12" i="22"/>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U12" i="22" s="1"/>
  <c r="W12" i="22" s="1"/>
  <c r="AQ12" i="22"/>
  <c r="N12" i="22" s="1"/>
  <c r="BE12" i="22"/>
  <c r="P12" i="22" s="1"/>
  <c r="O13" i="22"/>
  <c r="O14" i="22"/>
  <c r="O15" i="22"/>
  <c r="O16" i="22"/>
  <c r="O17" i="22"/>
  <c r="O18" i="22"/>
  <c r="O19" i="22"/>
  <c r="O20" i="22"/>
  <c r="O21" i="22"/>
  <c r="O22" i="22"/>
  <c r="O23" i="22"/>
  <c r="O24" i="22"/>
  <c r="O25" i="22"/>
  <c r="O26" i="22"/>
  <c r="B13" i="21"/>
  <c r="BG12" i="21"/>
  <c r="BD12" i="21" s="1"/>
  <c r="AS12" i="21"/>
  <c r="AP12" i="21" s="1"/>
  <c r="V12" i="2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U12" i="21" s="1"/>
  <c r="W12" i="21" s="1"/>
  <c r="AQ12" i="21"/>
  <c r="N12" i="21" s="1"/>
  <c r="BE12" i="21"/>
  <c r="P12" i="21" s="1"/>
  <c r="O13" i="21"/>
  <c r="O14" i="21"/>
  <c r="O15" i="21"/>
  <c r="O16" i="21"/>
  <c r="O17" i="21"/>
  <c r="O18" i="21"/>
  <c r="O19" i="21"/>
  <c r="O20" i="21"/>
  <c r="O21" i="21"/>
  <c r="O22" i="21"/>
  <c r="O23" i="21"/>
  <c r="O24" i="21"/>
  <c r="O25" i="21"/>
  <c r="O26" i="21"/>
  <c r="B13" i="20"/>
  <c r="BG12" i="20"/>
  <c r="BD12" i="20" s="1"/>
  <c r="AS12" i="20"/>
  <c r="AP12" i="20" s="1"/>
  <c r="V12" i="20"/>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U12" i="20" s="1"/>
  <c r="W12" i="20" s="1"/>
  <c r="AQ12" i="20"/>
  <c r="N12" i="20" s="1"/>
  <c r="BE12" i="20"/>
  <c r="P12" i="20" s="1"/>
  <c r="O13" i="20"/>
  <c r="O14" i="20"/>
  <c r="O15" i="20"/>
  <c r="O16" i="20"/>
  <c r="O17" i="20"/>
  <c r="O18" i="20"/>
  <c r="O19" i="20"/>
  <c r="O20" i="20"/>
  <c r="O21" i="20"/>
  <c r="O22" i="20"/>
  <c r="O23" i="20"/>
  <c r="O24" i="20"/>
  <c r="O25" i="20"/>
  <c r="O26" i="20"/>
  <c r="C19" i="3"/>
  <c r="C2" i="3"/>
  <c r="D2" i="3"/>
  <c r="E2" i="3"/>
  <c r="F2" i="3"/>
  <c r="G2" i="3"/>
  <c r="J14" i="15"/>
  <c r="J15" i="15"/>
  <c r="J16" i="15"/>
  <c r="J17" i="15"/>
  <c r="J18" i="15"/>
  <c r="J13" i="15"/>
  <c r="J12" i="15"/>
  <c r="H15" i="15"/>
  <c r="H14" i="15"/>
  <c r="H13" i="15"/>
  <c r="X12" i="23" l="1"/>
  <c r="BI51" i="23"/>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V13" i="23"/>
  <c r="G13" i="23"/>
  <c r="J13" i="23" s="1"/>
  <c r="F13" i="23"/>
  <c r="L13" i="23" s="1"/>
  <c r="M13" i="23" s="1"/>
  <c r="A13" i="23"/>
  <c r="X12" i="22"/>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V13" i="22"/>
  <c r="G13" i="22"/>
  <c r="J13" i="22" s="1"/>
  <c r="F13" i="22"/>
  <c r="L13" i="22" s="1"/>
  <c r="M13" i="22" s="1"/>
  <c r="A13" i="22"/>
  <c r="X12" i="21"/>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V13" i="21"/>
  <c r="G13" i="21"/>
  <c r="J13" i="21" s="1"/>
  <c r="F13" i="21"/>
  <c r="L13" i="21" s="1"/>
  <c r="M13" i="21" s="1"/>
  <c r="A13" i="21"/>
  <c r="X12" i="20"/>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V13" i="20"/>
  <c r="G13" i="20"/>
  <c r="J13" i="20" s="1"/>
  <c r="F13" i="20"/>
  <c r="L13" i="20" s="1"/>
  <c r="M13" i="20" s="1"/>
  <c r="A13" i="20"/>
  <c r="K12" i="15"/>
  <c r="G34" i="17"/>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BB14" i="23" l="1"/>
  <c r="BA14" i="23"/>
  <c r="AZ14" i="23"/>
  <c r="AQ14" i="23" s="1"/>
  <c r="N14" i="23" s="1"/>
  <c r="AY14" i="23"/>
  <c r="AX14" i="23"/>
  <c r="AW14" i="23"/>
  <c r="AV14" i="23"/>
  <c r="AU14" i="23"/>
  <c r="AT14" i="23"/>
  <c r="R12" i="23"/>
  <c r="Y12" i="23"/>
  <c r="S13" i="23"/>
  <c r="T13" i="23"/>
  <c r="E13" i="23" s="1"/>
  <c r="H13" i="23" s="1"/>
  <c r="K13" i="23" s="1"/>
  <c r="I13" i="23"/>
  <c r="Q13" i="23" s="1"/>
  <c r="B15" i="23"/>
  <c r="BG14" i="23"/>
  <c r="BD14" i="23" s="1"/>
  <c r="AS14" i="23"/>
  <c r="AP14" i="23" s="1"/>
  <c r="V14" i="23"/>
  <c r="G14" i="23"/>
  <c r="J14" i="23" s="1"/>
  <c r="F14" i="23"/>
  <c r="L14" i="23" s="1"/>
  <c r="M14" i="23" s="1"/>
  <c r="A14" i="23"/>
  <c r="AA12" i="23"/>
  <c r="Z12" i="23"/>
  <c r="AB12" i="23" s="1"/>
  <c r="BB14" i="22"/>
  <c r="BA14" i="22"/>
  <c r="AZ14" i="22"/>
  <c r="AQ14" i="22" s="1"/>
  <c r="N14" i="22" s="1"/>
  <c r="AY14" i="22"/>
  <c r="AX14" i="22"/>
  <c r="AW14" i="22"/>
  <c r="AV14" i="22"/>
  <c r="AU14" i="22"/>
  <c r="AT14" i="22"/>
  <c r="R12" i="22"/>
  <c r="Y12" i="22"/>
  <c r="S13" i="22"/>
  <c r="T13" i="22"/>
  <c r="E13" i="22" s="1"/>
  <c r="H13" i="22" s="1"/>
  <c r="K13" i="22" s="1"/>
  <c r="I13" i="22"/>
  <c r="Q13" i="22" s="1"/>
  <c r="B15" i="22"/>
  <c r="BG14" i="22"/>
  <c r="BD14" i="22" s="1"/>
  <c r="AS14" i="22"/>
  <c r="AP14" i="22" s="1"/>
  <c r="V14" i="22"/>
  <c r="G14" i="22"/>
  <c r="J14" i="22" s="1"/>
  <c r="F14" i="22"/>
  <c r="L14" i="22" s="1"/>
  <c r="M14" i="22" s="1"/>
  <c r="A14" i="22"/>
  <c r="AA12" i="22"/>
  <c r="Z12" i="22"/>
  <c r="AB12" i="22" s="1"/>
  <c r="BB14" i="21"/>
  <c r="BA14" i="21"/>
  <c r="AZ14" i="21"/>
  <c r="AQ14" i="21" s="1"/>
  <c r="N14" i="21" s="1"/>
  <c r="AY14" i="21"/>
  <c r="AX14" i="21"/>
  <c r="AW14" i="21"/>
  <c r="AV14" i="21"/>
  <c r="AU14" i="21"/>
  <c r="AT14" i="21"/>
  <c r="R12" i="21"/>
  <c r="Y12" i="21"/>
  <c r="S13" i="21"/>
  <c r="T13" i="21"/>
  <c r="E13" i="21" s="1"/>
  <c r="H13" i="21" s="1"/>
  <c r="K13" i="21" s="1"/>
  <c r="I13" i="21"/>
  <c r="Q13" i="21" s="1"/>
  <c r="B15" i="21"/>
  <c r="BG14" i="21"/>
  <c r="BD14" i="21" s="1"/>
  <c r="AS14" i="21"/>
  <c r="AP14" i="21" s="1"/>
  <c r="V14" i="21"/>
  <c r="G14" i="21"/>
  <c r="J14" i="21" s="1"/>
  <c r="F14" i="21"/>
  <c r="L14" i="21" s="1"/>
  <c r="M14" i="21" s="1"/>
  <c r="A14" i="21"/>
  <c r="AA12" i="21"/>
  <c r="Z12" i="21"/>
  <c r="AB12" i="21" s="1"/>
  <c r="BB14" i="20"/>
  <c r="BA14" i="20"/>
  <c r="AZ14" i="20"/>
  <c r="AQ14" i="20" s="1"/>
  <c r="N14" i="20" s="1"/>
  <c r="AY14" i="20"/>
  <c r="AX14" i="20"/>
  <c r="AW14" i="20"/>
  <c r="AV14" i="20"/>
  <c r="AU14" i="20"/>
  <c r="AT14" i="20"/>
  <c r="R12" i="20"/>
  <c r="Y12" i="20"/>
  <c r="S13" i="20"/>
  <c r="T13" i="20"/>
  <c r="E13" i="20" s="1"/>
  <c r="H13" i="20" s="1"/>
  <c r="K13" i="20" s="1"/>
  <c r="I13" i="20"/>
  <c r="Q13" i="20" s="1"/>
  <c r="B15" i="20"/>
  <c r="BG14" i="20"/>
  <c r="BD14" i="20" s="1"/>
  <c r="AS14" i="20"/>
  <c r="AP14" i="20" s="1"/>
  <c r="V14" i="20"/>
  <c r="G14" i="20"/>
  <c r="J14" i="20" s="1"/>
  <c r="F14" i="20"/>
  <c r="L14" i="20" s="1"/>
  <c r="M14" i="20" s="1"/>
  <c r="A14" i="20"/>
  <c r="AA12" i="20"/>
  <c r="Z12" i="20"/>
  <c r="AB12" i="20" s="1"/>
  <c r="I229" i="16"/>
  <c r="I230" i="16"/>
  <c r="I231" i="16"/>
  <c r="I232" i="16"/>
  <c r="I233" i="16"/>
  <c r="I234" i="16"/>
  <c r="I235" i="16"/>
  <c r="I236" i="16"/>
  <c r="I237" i="16"/>
  <c r="I238" i="16"/>
  <c r="I239" i="16"/>
  <c r="I240" i="16"/>
  <c r="I241" i="16"/>
  <c r="I242" i="16"/>
  <c r="I243" i="16"/>
  <c r="I244" i="16"/>
  <c r="I245" i="16"/>
  <c r="I246" i="16"/>
  <c r="I247" i="16"/>
  <c r="BB15" i="23" l="1"/>
  <c r="BA15" i="23"/>
  <c r="AZ15" i="23"/>
  <c r="AQ15" i="23" s="1"/>
  <c r="N15" i="23" s="1"/>
  <c r="AY15" i="23"/>
  <c r="AX15" i="23"/>
  <c r="AW15" i="23"/>
  <c r="AV15" i="23"/>
  <c r="AU15" i="23"/>
  <c r="AT15" i="23"/>
  <c r="S14" i="23"/>
  <c r="T14" i="23"/>
  <c r="E14" i="23" s="1"/>
  <c r="H14" i="23" s="1"/>
  <c r="K14" i="23" s="1"/>
  <c r="I14" i="23"/>
  <c r="Q14" i="23" s="1"/>
  <c r="B16" i="23"/>
  <c r="BG15" i="23"/>
  <c r="BD15" i="23" s="1"/>
  <c r="AS15" i="23"/>
  <c r="AP15" i="23" s="1"/>
  <c r="V15" i="23"/>
  <c r="G15" i="23"/>
  <c r="J15" i="23" s="1"/>
  <c r="F15" i="23"/>
  <c r="L15" i="23" s="1"/>
  <c r="M15" i="23" s="1"/>
  <c r="A15" i="23"/>
  <c r="U13" i="23"/>
  <c r="W13" i="23" s="1"/>
  <c r="R13" i="23"/>
  <c r="R14" i="23" s="1"/>
  <c r="BB15" i="22"/>
  <c r="BA15" i="22"/>
  <c r="AZ15" i="22"/>
  <c r="AQ15" i="22" s="1"/>
  <c r="N15" i="22" s="1"/>
  <c r="AY15" i="22"/>
  <c r="AX15" i="22"/>
  <c r="AW15" i="22"/>
  <c r="AV15" i="22"/>
  <c r="AU15" i="22"/>
  <c r="AT15" i="22"/>
  <c r="S14" i="22"/>
  <c r="T14" i="22"/>
  <c r="E14" i="22" s="1"/>
  <c r="H14" i="22" s="1"/>
  <c r="K14" i="22" s="1"/>
  <c r="I14" i="22"/>
  <c r="Q14" i="22" s="1"/>
  <c r="B16" i="22"/>
  <c r="BG15" i="22"/>
  <c r="BD15" i="22" s="1"/>
  <c r="AS15" i="22"/>
  <c r="AP15" i="22" s="1"/>
  <c r="V15" i="22"/>
  <c r="G15" i="22"/>
  <c r="J15" i="22" s="1"/>
  <c r="F15" i="22"/>
  <c r="L15" i="22" s="1"/>
  <c r="M15" i="22" s="1"/>
  <c r="A15" i="22"/>
  <c r="U13" i="22"/>
  <c r="W13" i="22" s="1"/>
  <c r="R13" i="22"/>
  <c r="R14" i="22" s="1"/>
  <c r="BB15" i="21"/>
  <c r="BA15" i="21"/>
  <c r="AZ15" i="21"/>
  <c r="AQ15" i="21" s="1"/>
  <c r="N15" i="21" s="1"/>
  <c r="AY15" i="21"/>
  <c r="AX15" i="21"/>
  <c r="AW15" i="21"/>
  <c r="AV15" i="21"/>
  <c r="AU15" i="21"/>
  <c r="AT15" i="21"/>
  <c r="S14" i="21"/>
  <c r="T14" i="21"/>
  <c r="E14" i="21" s="1"/>
  <c r="H14" i="21" s="1"/>
  <c r="K14" i="21" s="1"/>
  <c r="I14" i="21"/>
  <c r="Q14" i="21" s="1"/>
  <c r="B16" i="21"/>
  <c r="BG15" i="21"/>
  <c r="BD15" i="21" s="1"/>
  <c r="AS15" i="21"/>
  <c r="AP15" i="21" s="1"/>
  <c r="V15" i="21"/>
  <c r="G15" i="21"/>
  <c r="J15" i="21" s="1"/>
  <c r="F15" i="21"/>
  <c r="L15" i="21" s="1"/>
  <c r="M15" i="21" s="1"/>
  <c r="A15" i="21"/>
  <c r="U13" i="21"/>
  <c r="W13" i="21" s="1"/>
  <c r="R13" i="21"/>
  <c r="R14" i="21" s="1"/>
  <c r="BB15" i="20"/>
  <c r="BA15" i="20"/>
  <c r="AZ15" i="20"/>
  <c r="AQ15" i="20" s="1"/>
  <c r="N15" i="20" s="1"/>
  <c r="AY15" i="20"/>
  <c r="AX15" i="20"/>
  <c r="AW15" i="20"/>
  <c r="AV15" i="20"/>
  <c r="AU15" i="20"/>
  <c r="AT15" i="20"/>
  <c r="S14" i="20"/>
  <c r="T14" i="20"/>
  <c r="E14" i="20" s="1"/>
  <c r="H14" i="20" s="1"/>
  <c r="K14" i="20" s="1"/>
  <c r="I14" i="20"/>
  <c r="Q14" i="20" s="1"/>
  <c r="B16" i="20"/>
  <c r="BG15" i="20"/>
  <c r="BD15" i="20" s="1"/>
  <c r="AS15" i="20"/>
  <c r="AP15" i="20" s="1"/>
  <c r="V15" i="20"/>
  <c r="G15" i="20"/>
  <c r="J15" i="20" s="1"/>
  <c r="F15" i="20"/>
  <c r="L15" i="20" s="1"/>
  <c r="M15" i="20" s="1"/>
  <c r="A15" i="20"/>
  <c r="U13" i="20"/>
  <c r="W13" i="20" s="1"/>
  <c r="R13" i="20"/>
  <c r="R14" i="20" s="1"/>
  <c r="H16" i="15"/>
  <c r="H17" i="15"/>
  <c r="H18" i="15"/>
  <c r="H12" i="15"/>
  <c r="BB16" i="23" l="1"/>
  <c r="BA16" i="23"/>
  <c r="AZ16" i="23"/>
  <c r="AQ16" i="23" s="1"/>
  <c r="N16" i="23" s="1"/>
  <c r="AY16" i="23"/>
  <c r="AX16" i="23"/>
  <c r="AW16" i="23"/>
  <c r="AV16" i="23"/>
  <c r="AU16" i="23"/>
  <c r="AT16" i="23"/>
  <c r="Y13" i="23"/>
  <c r="X13" i="23"/>
  <c r="S15" i="23"/>
  <c r="T15" i="23"/>
  <c r="E15" i="23" s="1"/>
  <c r="H15" i="23" s="1"/>
  <c r="K15" i="23" s="1"/>
  <c r="I15" i="23"/>
  <c r="Q15" i="23" s="1"/>
  <c r="R15" i="23" s="1"/>
  <c r="B17" i="23"/>
  <c r="BG16" i="23"/>
  <c r="BD16" i="23" s="1"/>
  <c r="AS16" i="23"/>
  <c r="AP16" i="23" s="1"/>
  <c r="V16" i="23"/>
  <c r="G16" i="23"/>
  <c r="J16" i="23" s="1"/>
  <c r="F16" i="23"/>
  <c r="L16" i="23" s="1"/>
  <c r="M16" i="23" s="1"/>
  <c r="A16" i="23"/>
  <c r="U14" i="23"/>
  <c r="W14" i="23" s="1"/>
  <c r="Y14" i="23" s="1"/>
  <c r="BB16" i="22"/>
  <c r="BA16" i="22"/>
  <c r="AZ16" i="22"/>
  <c r="AQ16" i="22" s="1"/>
  <c r="N16" i="22" s="1"/>
  <c r="AY16" i="22"/>
  <c r="AX16" i="22"/>
  <c r="AW16" i="22"/>
  <c r="AV16" i="22"/>
  <c r="AU16" i="22"/>
  <c r="AT16" i="22"/>
  <c r="Y13" i="22"/>
  <c r="X13" i="22"/>
  <c r="S15" i="22"/>
  <c r="T15" i="22"/>
  <c r="E15" i="22" s="1"/>
  <c r="H15" i="22" s="1"/>
  <c r="K15" i="22" s="1"/>
  <c r="I15" i="22"/>
  <c r="Q15" i="22" s="1"/>
  <c r="R15" i="22" s="1"/>
  <c r="B17" i="22"/>
  <c r="BG16" i="22"/>
  <c r="BD16" i="22" s="1"/>
  <c r="AS16" i="22"/>
  <c r="AP16" i="22" s="1"/>
  <c r="V16" i="22"/>
  <c r="G16" i="22"/>
  <c r="J16" i="22" s="1"/>
  <c r="F16" i="22"/>
  <c r="L16" i="22" s="1"/>
  <c r="M16" i="22" s="1"/>
  <c r="A16" i="22"/>
  <c r="U14" i="22"/>
  <c r="W14" i="22" s="1"/>
  <c r="Y14" i="22" s="1"/>
  <c r="BB16" i="21"/>
  <c r="BA16" i="21"/>
  <c r="AZ16" i="21"/>
  <c r="AQ16" i="21" s="1"/>
  <c r="N16" i="21" s="1"/>
  <c r="AY16" i="21"/>
  <c r="AX16" i="21"/>
  <c r="AW16" i="21"/>
  <c r="AV16" i="21"/>
  <c r="AU16" i="21"/>
  <c r="AT16" i="21"/>
  <c r="Y13" i="21"/>
  <c r="X13" i="21"/>
  <c r="S15" i="21"/>
  <c r="T15" i="21"/>
  <c r="E15" i="21" s="1"/>
  <c r="H15" i="21" s="1"/>
  <c r="K15" i="21" s="1"/>
  <c r="I15" i="21"/>
  <c r="Q15" i="21" s="1"/>
  <c r="R15" i="21" s="1"/>
  <c r="B17" i="21"/>
  <c r="BG16" i="21"/>
  <c r="BD16" i="21" s="1"/>
  <c r="AS16" i="21"/>
  <c r="AP16" i="21" s="1"/>
  <c r="V16" i="21"/>
  <c r="G16" i="21"/>
  <c r="J16" i="21" s="1"/>
  <c r="F16" i="21"/>
  <c r="L16" i="21" s="1"/>
  <c r="M16" i="21" s="1"/>
  <c r="A16" i="21"/>
  <c r="U14" i="21"/>
  <c r="W14" i="21" s="1"/>
  <c r="Y14" i="21" s="1"/>
  <c r="BB16" i="20"/>
  <c r="BA16" i="20"/>
  <c r="AZ16" i="20"/>
  <c r="AQ16" i="20" s="1"/>
  <c r="N16" i="20" s="1"/>
  <c r="AY16" i="20"/>
  <c r="AX16" i="20"/>
  <c r="AW16" i="20"/>
  <c r="AV16" i="20"/>
  <c r="AU16" i="20"/>
  <c r="AT16" i="20"/>
  <c r="Y13" i="20"/>
  <c r="X13" i="20"/>
  <c r="S15" i="20"/>
  <c r="T15" i="20"/>
  <c r="E15" i="20" s="1"/>
  <c r="H15" i="20" s="1"/>
  <c r="K15" i="20" s="1"/>
  <c r="I15" i="20"/>
  <c r="Q15" i="20" s="1"/>
  <c r="R15" i="20" s="1"/>
  <c r="B17" i="20"/>
  <c r="BG16" i="20"/>
  <c r="BD16" i="20" s="1"/>
  <c r="AS16" i="20"/>
  <c r="AP16" i="20" s="1"/>
  <c r="V16" i="20"/>
  <c r="G16" i="20"/>
  <c r="J16" i="20" s="1"/>
  <c r="F16" i="20"/>
  <c r="L16" i="20" s="1"/>
  <c r="M16" i="20" s="1"/>
  <c r="A16" i="20"/>
  <c r="U14" i="20"/>
  <c r="W14" i="20" s="1"/>
  <c r="Y14" i="20" s="1"/>
  <c r="K14" i="15"/>
  <c r="K15" i="15"/>
  <c r="K16" i="15"/>
  <c r="K17" i="15"/>
  <c r="K18" i="15"/>
  <c r="K13" i="15"/>
  <c r="I14" i="15"/>
  <c r="I15" i="15"/>
  <c r="I16" i="15"/>
  <c r="I17" i="15"/>
  <c r="I18" i="15"/>
  <c r="I13" i="15"/>
  <c r="G18" i="15"/>
  <c r="BB17" i="23" l="1"/>
  <c r="BA17" i="23"/>
  <c r="AZ17" i="23"/>
  <c r="AQ17" i="23" s="1"/>
  <c r="N17" i="23" s="1"/>
  <c r="AY17" i="23"/>
  <c r="AX17" i="23"/>
  <c r="AW17" i="23"/>
  <c r="AV17" i="23"/>
  <c r="AU17" i="23"/>
  <c r="AT17" i="23"/>
  <c r="S16" i="23"/>
  <c r="T16" i="23"/>
  <c r="E16" i="23" s="1"/>
  <c r="H16" i="23" s="1"/>
  <c r="K16" i="23" s="1"/>
  <c r="I16" i="23"/>
  <c r="Q16" i="23" s="1"/>
  <c r="R16" i="23" s="1"/>
  <c r="B18" i="23"/>
  <c r="BG17" i="23"/>
  <c r="BD17" i="23" s="1"/>
  <c r="AS17" i="23"/>
  <c r="AP17" i="23" s="1"/>
  <c r="V17" i="23"/>
  <c r="G17" i="23"/>
  <c r="J17" i="23" s="1"/>
  <c r="F17" i="23"/>
  <c r="L17" i="23" s="1"/>
  <c r="M17" i="23" s="1"/>
  <c r="A17" i="23"/>
  <c r="U15" i="23"/>
  <c r="W15" i="23" s="1"/>
  <c r="Y15" i="23" s="1"/>
  <c r="X14" i="23"/>
  <c r="Z13" i="23"/>
  <c r="AB13" i="23" s="1"/>
  <c r="AA13" i="23"/>
  <c r="BB17" i="22"/>
  <c r="BA17" i="22"/>
  <c r="AZ17" i="22"/>
  <c r="AQ17" i="22" s="1"/>
  <c r="N17" i="22" s="1"/>
  <c r="AY17" i="22"/>
  <c r="AX17" i="22"/>
  <c r="AW17" i="22"/>
  <c r="AV17" i="22"/>
  <c r="AU17" i="22"/>
  <c r="AT17" i="22"/>
  <c r="S16" i="22"/>
  <c r="T16" i="22"/>
  <c r="E16" i="22" s="1"/>
  <c r="H16" i="22" s="1"/>
  <c r="K16" i="22" s="1"/>
  <c r="I16" i="22"/>
  <c r="Q16" i="22" s="1"/>
  <c r="R16" i="22" s="1"/>
  <c r="B18" i="22"/>
  <c r="BG17" i="22"/>
  <c r="BD17" i="22" s="1"/>
  <c r="AS17" i="22"/>
  <c r="AP17" i="22" s="1"/>
  <c r="V17" i="22"/>
  <c r="G17" i="22"/>
  <c r="J17" i="22" s="1"/>
  <c r="F17" i="22"/>
  <c r="L17" i="22" s="1"/>
  <c r="M17" i="22" s="1"/>
  <c r="A17" i="22"/>
  <c r="U15" i="22"/>
  <c r="W15" i="22" s="1"/>
  <c r="Y15" i="22" s="1"/>
  <c r="X14" i="22"/>
  <c r="Z13" i="22"/>
  <c r="AB13" i="22" s="1"/>
  <c r="AA13" i="22"/>
  <c r="BB17" i="21"/>
  <c r="BA17" i="21"/>
  <c r="AZ17" i="21"/>
  <c r="AQ17" i="21" s="1"/>
  <c r="N17" i="21" s="1"/>
  <c r="AY17" i="21"/>
  <c r="AX17" i="21"/>
  <c r="AW17" i="21"/>
  <c r="AV17" i="21"/>
  <c r="AU17" i="21"/>
  <c r="AT17" i="21"/>
  <c r="S16" i="21"/>
  <c r="T16" i="21"/>
  <c r="E16" i="21" s="1"/>
  <c r="H16" i="21" s="1"/>
  <c r="K16" i="21" s="1"/>
  <c r="I16" i="21"/>
  <c r="Q16" i="21" s="1"/>
  <c r="R16" i="21" s="1"/>
  <c r="B18" i="21"/>
  <c r="BG17" i="21"/>
  <c r="BD17" i="21" s="1"/>
  <c r="AS17" i="21"/>
  <c r="AP17" i="21" s="1"/>
  <c r="V17" i="21"/>
  <c r="G17" i="21"/>
  <c r="J17" i="21" s="1"/>
  <c r="F17" i="21"/>
  <c r="L17" i="21" s="1"/>
  <c r="M17" i="21" s="1"/>
  <c r="A17" i="21"/>
  <c r="U15" i="21"/>
  <c r="W15" i="21" s="1"/>
  <c r="Y15" i="21" s="1"/>
  <c r="X14" i="21"/>
  <c r="Z13" i="21"/>
  <c r="AB13" i="21" s="1"/>
  <c r="AA13" i="21"/>
  <c r="BB17" i="20"/>
  <c r="BA17" i="20"/>
  <c r="AZ17" i="20"/>
  <c r="AQ17" i="20" s="1"/>
  <c r="N17" i="20" s="1"/>
  <c r="AY17" i="20"/>
  <c r="AX17" i="20"/>
  <c r="AW17" i="20"/>
  <c r="AV17" i="20"/>
  <c r="AU17" i="20"/>
  <c r="AT17" i="20"/>
  <c r="S16" i="20"/>
  <c r="T16" i="20"/>
  <c r="E16" i="20" s="1"/>
  <c r="H16" i="20" s="1"/>
  <c r="K16" i="20" s="1"/>
  <c r="I16" i="20"/>
  <c r="Q16" i="20" s="1"/>
  <c r="R16" i="20" s="1"/>
  <c r="B18" i="20"/>
  <c r="BG17" i="20"/>
  <c r="BD17" i="20" s="1"/>
  <c r="AS17" i="20"/>
  <c r="AP17" i="20" s="1"/>
  <c r="V17" i="20"/>
  <c r="G17" i="20"/>
  <c r="J17" i="20" s="1"/>
  <c r="F17" i="20"/>
  <c r="L17" i="20" s="1"/>
  <c r="M17" i="20" s="1"/>
  <c r="A17" i="20"/>
  <c r="U15" i="20"/>
  <c r="W15" i="20" s="1"/>
  <c r="Y15" i="20" s="1"/>
  <c r="X14" i="20"/>
  <c r="Z13" i="20"/>
  <c r="AB13" i="20" s="1"/>
  <c r="AA13" i="20"/>
  <c r="I38" i="11"/>
  <c r="B16" i="1"/>
  <c r="C33" i="3"/>
  <c r="V56" i="14"/>
  <c r="U56" i="14"/>
  <c r="V59" i="14"/>
  <c r="C27" i="9"/>
  <c r="D33" i="3"/>
  <c r="E33" i="3" s="1"/>
  <c r="F33" i="3" s="1"/>
  <c r="G33" i="3" s="1"/>
  <c r="C42" i="3"/>
  <c r="D42" i="3" s="1"/>
  <c r="E42" i="3" s="1"/>
  <c r="F42" i="3" s="1"/>
  <c r="G42" i="3" s="1"/>
  <c r="C41" i="3"/>
  <c r="D41" i="3" s="1"/>
  <c r="E41" i="3" s="1"/>
  <c r="F41" i="3" s="1"/>
  <c r="G41" i="3" s="1"/>
  <c r="C40" i="3"/>
  <c r="D40" i="3" s="1"/>
  <c r="E40" i="3" s="1"/>
  <c r="F40" i="3" s="1"/>
  <c r="G40" i="3" s="1"/>
  <c r="C38" i="3"/>
  <c r="D38" i="3" s="1"/>
  <c r="E38" i="3" s="1"/>
  <c r="C36" i="3"/>
  <c r="D36" i="3" s="1"/>
  <c r="E36" i="3" s="1"/>
  <c r="F36" i="3" s="1"/>
  <c r="G36" i="3" s="1"/>
  <c r="C35" i="3"/>
  <c r="D35" i="3" s="1"/>
  <c r="E35" i="3" s="1"/>
  <c r="F35" i="3" s="1"/>
  <c r="G35" i="3" s="1"/>
  <c r="C34" i="3"/>
  <c r="D34" i="3" s="1"/>
  <c r="E34" i="3" s="1"/>
  <c r="F34" i="3" s="1"/>
  <c r="G34" i="3" s="1"/>
  <c r="C20" i="3"/>
  <c r="B42"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E13" i="15"/>
  <c r="D13" i="15"/>
  <c r="C13" i="15"/>
  <c r="B13" i="15"/>
  <c r="I12" i="15"/>
  <c r="G12" i="15"/>
  <c r="F12" i="15"/>
  <c r="E12" i="15"/>
  <c r="D12" i="15"/>
  <c r="C12" i="15"/>
  <c r="B12" i="15"/>
  <c r="I7" i="15"/>
  <c r="D23" i="3"/>
  <c r="G22" i="3"/>
  <c r="F22" i="3"/>
  <c r="E22" i="3"/>
  <c r="D22" i="3"/>
  <c r="C22" i="3"/>
  <c r="G21" i="3"/>
  <c r="F21" i="3"/>
  <c r="E21" i="3"/>
  <c r="D21" i="3"/>
  <c r="C21" i="3"/>
  <c r="G20" i="3"/>
  <c r="F20" i="3"/>
  <c r="E20" i="3"/>
  <c r="D20" i="3"/>
  <c r="G19" i="3"/>
  <c r="F19" i="3"/>
  <c r="E19" i="3"/>
  <c r="D19" i="3"/>
  <c r="C28" i="3"/>
  <c r="C27" i="3"/>
  <c r="C26" i="3"/>
  <c r="C24" i="3"/>
  <c r="G28" i="3"/>
  <c r="F28" i="3"/>
  <c r="E28" i="3"/>
  <c r="D28" i="3"/>
  <c r="G27" i="3"/>
  <c r="F27" i="3"/>
  <c r="E27" i="3"/>
  <c r="D27" i="3"/>
  <c r="G26" i="3"/>
  <c r="F26" i="3"/>
  <c r="E26" i="3"/>
  <c r="D26" i="3"/>
  <c r="G24" i="3"/>
  <c r="E24" i="3"/>
  <c r="D24" i="3"/>
  <c r="G23" i="3"/>
  <c r="F23" i="3"/>
  <c r="B25" i="3"/>
  <c r="B20" i="3"/>
  <c r="B21" i="3"/>
  <c r="B22" i="3"/>
  <c r="B23" i="3"/>
  <c r="B24" i="3"/>
  <c r="F24" i="3" s="1"/>
  <c r="B26" i="3"/>
  <c r="B27" i="3"/>
  <c r="B28" i="3"/>
  <c r="B29" i="3"/>
  <c r="B19"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H54" i="14"/>
  <c r="C12" i="9" s="1"/>
  <c r="G54" i="14"/>
  <c r="G55" i="14" s="1"/>
  <c r="H55" i="14" s="1"/>
  <c r="F54" i="14"/>
  <c r="X53" i="14"/>
  <c r="X49" i="14"/>
  <c r="X48" i="14"/>
  <c r="X47" i="14"/>
  <c r="X43" i="14"/>
  <c r="X42" i="14"/>
  <c r="X41" i="14"/>
  <c r="X37" i="14"/>
  <c r="X36" i="14"/>
  <c r="X35" i="14"/>
  <c r="X31" i="14"/>
  <c r="X30" i="14"/>
  <c r="X29" i="14"/>
  <c r="X25" i="14"/>
  <c r="X2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AT18" i="23" l="1"/>
  <c r="BB18" i="23"/>
  <c r="BA18" i="23"/>
  <c r="AZ18" i="23"/>
  <c r="AQ18" i="23" s="1"/>
  <c r="N18" i="23" s="1"/>
  <c r="AY18" i="23"/>
  <c r="AX18" i="23"/>
  <c r="AW18" i="23"/>
  <c r="AV18" i="23"/>
  <c r="AU18" i="23"/>
  <c r="AA14" i="23"/>
  <c r="X15" i="23"/>
  <c r="Z14" i="23"/>
  <c r="AB14" i="23" s="1"/>
  <c r="S17" i="23"/>
  <c r="T17" i="23"/>
  <c r="E17" i="23" s="1"/>
  <c r="H17" i="23" s="1"/>
  <c r="K17" i="23" s="1"/>
  <c r="I17" i="23"/>
  <c r="Q17" i="23" s="1"/>
  <c r="R17" i="23" s="1"/>
  <c r="B19" i="23"/>
  <c r="BG18" i="23"/>
  <c r="BD18" i="23" s="1"/>
  <c r="AS18" i="23"/>
  <c r="AP18" i="23" s="1"/>
  <c r="V18" i="23"/>
  <c r="G18" i="23"/>
  <c r="J18" i="23" s="1"/>
  <c r="F18" i="23"/>
  <c r="L18" i="23" s="1"/>
  <c r="M18" i="23" s="1"/>
  <c r="A18" i="23"/>
  <c r="U16" i="23"/>
  <c r="W16" i="23" s="1"/>
  <c r="AT18" i="22"/>
  <c r="BB18" i="22"/>
  <c r="BA18" i="22"/>
  <c r="AZ18" i="22"/>
  <c r="AQ18" i="22" s="1"/>
  <c r="N18" i="22" s="1"/>
  <c r="AY18" i="22"/>
  <c r="AX18" i="22"/>
  <c r="AW18" i="22"/>
  <c r="AV18" i="22"/>
  <c r="AU18" i="22"/>
  <c r="AA14" i="22"/>
  <c r="X15" i="22"/>
  <c r="Z14" i="22"/>
  <c r="AB14" i="22" s="1"/>
  <c r="S17" i="22"/>
  <c r="T17" i="22"/>
  <c r="E17" i="22" s="1"/>
  <c r="H17" i="22" s="1"/>
  <c r="K17" i="22" s="1"/>
  <c r="I17" i="22"/>
  <c r="Q17" i="22" s="1"/>
  <c r="R17" i="22" s="1"/>
  <c r="B19" i="22"/>
  <c r="BG18" i="22"/>
  <c r="BD18" i="22" s="1"/>
  <c r="AS18" i="22"/>
  <c r="AP18" i="22" s="1"/>
  <c r="V18" i="22"/>
  <c r="G18" i="22"/>
  <c r="J18" i="22" s="1"/>
  <c r="F18" i="22"/>
  <c r="L18" i="22" s="1"/>
  <c r="M18" i="22" s="1"/>
  <c r="A18" i="22"/>
  <c r="U16" i="22"/>
  <c r="W16" i="22" s="1"/>
  <c r="AT18" i="21"/>
  <c r="BB18" i="21"/>
  <c r="BA18" i="21"/>
  <c r="AZ18" i="21"/>
  <c r="AQ18" i="21" s="1"/>
  <c r="N18" i="21" s="1"/>
  <c r="AY18" i="21"/>
  <c r="AX18" i="21"/>
  <c r="AW18" i="21"/>
  <c r="AV18" i="21"/>
  <c r="AU18" i="21"/>
  <c r="AA14" i="21"/>
  <c r="X15" i="21"/>
  <c r="Z14" i="21"/>
  <c r="AB14" i="21" s="1"/>
  <c r="S17" i="21"/>
  <c r="T17" i="21"/>
  <c r="E17" i="21" s="1"/>
  <c r="H17" i="21" s="1"/>
  <c r="K17" i="21" s="1"/>
  <c r="I17" i="21"/>
  <c r="Q17" i="21" s="1"/>
  <c r="R17" i="21" s="1"/>
  <c r="B19" i="21"/>
  <c r="BG18" i="21"/>
  <c r="BD18" i="21" s="1"/>
  <c r="AS18" i="21"/>
  <c r="AP18" i="21" s="1"/>
  <c r="V18" i="21"/>
  <c r="G18" i="21"/>
  <c r="J18" i="21" s="1"/>
  <c r="F18" i="21"/>
  <c r="L18" i="21" s="1"/>
  <c r="M18" i="21" s="1"/>
  <c r="A18" i="21"/>
  <c r="U16" i="21"/>
  <c r="W16" i="21" s="1"/>
  <c r="AT18" i="20"/>
  <c r="BB18" i="20"/>
  <c r="BA18" i="20"/>
  <c r="AZ18" i="20"/>
  <c r="AQ18" i="20" s="1"/>
  <c r="N18" i="20" s="1"/>
  <c r="AY18" i="20"/>
  <c r="AX18" i="20"/>
  <c r="AW18" i="20"/>
  <c r="AV18" i="20"/>
  <c r="AU18" i="20"/>
  <c r="AA14" i="20"/>
  <c r="X15" i="20"/>
  <c r="Z14" i="20"/>
  <c r="AB14" i="20" s="1"/>
  <c r="S17" i="20"/>
  <c r="T17" i="20"/>
  <c r="E17" i="20" s="1"/>
  <c r="H17" i="20" s="1"/>
  <c r="K17" i="20" s="1"/>
  <c r="I17" i="20"/>
  <c r="Q17" i="20" s="1"/>
  <c r="R17" i="20" s="1"/>
  <c r="B19" i="20"/>
  <c r="BG18" i="20"/>
  <c r="BD18" i="20" s="1"/>
  <c r="AS18" i="20"/>
  <c r="AP18" i="20" s="1"/>
  <c r="V18" i="20"/>
  <c r="G18" i="20"/>
  <c r="J18" i="20" s="1"/>
  <c r="F18" i="20"/>
  <c r="L18" i="20" s="1"/>
  <c r="M18" i="20" s="1"/>
  <c r="A18" i="20"/>
  <c r="U16" i="20"/>
  <c r="W16" i="20" s="1"/>
  <c r="B33" i="3"/>
  <c r="G2" i="11"/>
  <c r="C50" i="14"/>
  <c r="C38" i="14"/>
  <c r="C29" i="3"/>
  <c r="D29" i="3"/>
  <c r="G29" i="3"/>
  <c r="F29" i="3"/>
  <c r="E29" i="3"/>
  <c r="E23" i="3"/>
  <c r="C23" i="3"/>
  <c r="D25" i="3"/>
  <c r="C25" i="3"/>
  <c r="G25" i="3"/>
  <c r="C30" i="3"/>
  <c r="C25" i="14" s="1"/>
  <c r="I27" i="14" s="1"/>
  <c r="J26" i="14"/>
  <c r="J27" i="14"/>
  <c r="Y161" i="14"/>
  <c r="Y167" i="14" s="1"/>
  <c r="I5" i="15"/>
  <c r="C26" i="14" s="1"/>
  <c r="H8" i="15"/>
  <c r="C44" i="14" s="1"/>
  <c r="E25" i="3"/>
  <c r="F25" i="3"/>
  <c r="F30" i="3" s="1"/>
  <c r="C43" i="14" s="1"/>
  <c r="G30" i="3"/>
  <c r="C49" i="14" s="1"/>
  <c r="W51" i="14" s="1"/>
  <c r="G170" i="14"/>
  <c r="X16" i="14"/>
  <c r="I57" i="14"/>
  <c r="I54" i="14"/>
  <c r="C13" i="9" s="1"/>
  <c r="I55" i="14"/>
  <c r="X22" i="14"/>
  <c r="Y163" i="14"/>
  <c r="X6" i="14"/>
  <c r="X20" i="14"/>
  <c r="C12" i="14"/>
  <c r="I20" i="14"/>
  <c r="F7" i="14"/>
  <c r="C18" i="14"/>
  <c r="F8" i="14"/>
  <c r="X8" i="14" s="1"/>
  <c r="X21" i="14"/>
  <c r="L26" i="14"/>
  <c r="K28" i="14"/>
  <c r="I160" i="14"/>
  <c r="G172" i="14"/>
  <c r="H22" i="14"/>
  <c r="H170" i="14" s="1"/>
  <c r="K27" i="14"/>
  <c r="L28" i="14"/>
  <c r="J160" i="14"/>
  <c r="L27" i="14"/>
  <c r="K26" i="14"/>
  <c r="J28" i="14"/>
  <c r="K160" i="14"/>
  <c r="BB19" i="23" l="1"/>
  <c r="BA19" i="23"/>
  <c r="AZ19" i="23"/>
  <c r="AQ19" i="23" s="1"/>
  <c r="N19" i="23" s="1"/>
  <c r="AY19" i="23"/>
  <c r="AX19" i="23"/>
  <c r="AW19" i="23"/>
  <c r="AV19" i="23"/>
  <c r="AU19" i="23"/>
  <c r="AT19" i="23"/>
  <c r="Y16" i="23"/>
  <c r="S18" i="23"/>
  <c r="T18" i="23"/>
  <c r="E18" i="23" s="1"/>
  <c r="H18" i="23" s="1"/>
  <c r="K18" i="23" s="1"/>
  <c r="I18" i="23"/>
  <c r="Q18" i="23" s="1"/>
  <c r="R18" i="23" s="1"/>
  <c r="B20" i="23"/>
  <c r="BG19" i="23"/>
  <c r="BD19" i="23" s="1"/>
  <c r="AS19" i="23"/>
  <c r="AP19" i="23" s="1"/>
  <c r="V19" i="23"/>
  <c r="G19" i="23"/>
  <c r="J19" i="23" s="1"/>
  <c r="F19" i="23"/>
  <c r="L19" i="23" s="1"/>
  <c r="M19" i="23" s="1"/>
  <c r="A19" i="23"/>
  <c r="U17" i="23"/>
  <c r="W17" i="23" s="1"/>
  <c r="Y17" i="23" s="1"/>
  <c r="X16" i="23"/>
  <c r="Z15" i="23"/>
  <c r="AB15" i="23" s="1"/>
  <c r="AA15" i="23"/>
  <c r="AA16" i="23"/>
  <c r="BB19" i="22"/>
  <c r="BA19" i="22"/>
  <c r="AZ19" i="22"/>
  <c r="AQ19" i="22" s="1"/>
  <c r="N19" i="22" s="1"/>
  <c r="AY19" i="22"/>
  <c r="AX19" i="22"/>
  <c r="AW19" i="22"/>
  <c r="AV19" i="22"/>
  <c r="AU19" i="22"/>
  <c r="AT19" i="22"/>
  <c r="Y16" i="22"/>
  <c r="S18" i="22"/>
  <c r="T18" i="22"/>
  <c r="E18" i="22" s="1"/>
  <c r="H18" i="22" s="1"/>
  <c r="K18" i="22" s="1"/>
  <c r="I18" i="22"/>
  <c r="Q18" i="22" s="1"/>
  <c r="R18" i="22" s="1"/>
  <c r="B20" i="22"/>
  <c r="BG19" i="22"/>
  <c r="BD19" i="22" s="1"/>
  <c r="AS19" i="22"/>
  <c r="AP19" i="22" s="1"/>
  <c r="V19" i="22"/>
  <c r="G19" i="22"/>
  <c r="J19" i="22" s="1"/>
  <c r="F19" i="22"/>
  <c r="L19" i="22" s="1"/>
  <c r="M19" i="22" s="1"/>
  <c r="A19" i="22"/>
  <c r="U17" i="22"/>
  <c r="W17" i="22" s="1"/>
  <c r="Y17" i="22" s="1"/>
  <c r="X16" i="22"/>
  <c r="Z15" i="22"/>
  <c r="AB15" i="22" s="1"/>
  <c r="AA15" i="22"/>
  <c r="AA16" i="22"/>
  <c r="BB19" i="21"/>
  <c r="BA19" i="21"/>
  <c r="AZ19" i="21"/>
  <c r="AQ19" i="21" s="1"/>
  <c r="N19" i="21" s="1"/>
  <c r="AY19" i="21"/>
  <c r="AX19" i="21"/>
  <c r="AW19" i="21"/>
  <c r="AV19" i="21"/>
  <c r="AU19" i="21"/>
  <c r="AT19" i="21"/>
  <c r="Y16" i="21"/>
  <c r="S18" i="21"/>
  <c r="T18" i="21"/>
  <c r="E18" i="21" s="1"/>
  <c r="H18" i="21" s="1"/>
  <c r="K18" i="21" s="1"/>
  <c r="I18" i="21"/>
  <c r="Q18" i="21" s="1"/>
  <c r="R18" i="21" s="1"/>
  <c r="B20" i="21"/>
  <c r="BG19" i="21"/>
  <c r="BD19" i="21" s="1"/>
  <c r="AS19" i="21"/>
  <c r="AP19" i="21" s="1"/>
  <c r="V19" i="21"/>
  <c r="G19" i="21"/>
  <c r="J19" i="21" s="1"/>
  <c r="F19" i="21"/>
  <c r="L19" i="21" s="1"/>
  <c r="M19" i="21" s="1"/>
  <c r="A19" i="21"/>
  <c r="U17" i="21"/>
  <c r="W17" i="21" s="1"/>
  <c r="Y17" i="21" s="1"/>
  <c r="X16" i="21"/>
  <c r="Z15" i="21"/>
  <c r="AB15" i="21" s="1"/>
  <c r="AA15" i="21"/>
  <c r="AA16" i="21"/>
  <c r="BB19" i="20"/>
  <c r="BA19" i="20"/>
  <c r="AZ19" i="20"/>
  <c r="AQ19" i="20" s="1"/>
  <c r="N19" i="20" s="1"/>
  <c r="AY19" i="20"/>
  <c r="AX19" i="20"/>
  <c r="AW19" i="20"/>
  <c r="AV19" i="20"/>
  <c r="AU19" i="20"/>
  <c r="AT19" i="20"/>
  <c r="Y16" i="20"/>
  <c r="S18" i="20"/>
  <c r="T18" i="20"/>
  <c r="E18" i="20" s="1"/>
  <c r="H18" i="20" s="1"/>
  <c r="K18" i="20" s="1"/>
  <c r="I18" i="20"/>
  <c r="Q18" i="20" s="1"/>
  <c r="R18" i="20" s="1"/>
  <c r="B20" i="20"/>
  <c r="BG19" i="20"/>
  <c r="BD19" i="20" s="1"/>
  <c r="AS19" i="20"/>
  <c r="AP19" i="20" s="1"/>
  <c r="V19" i="20"/>
  <c r="G19" i="20"/>
  <c r="J19" i="20" s="1"/>
  <c r="F19" i="20"/>
  <c r="L19" i="20" s="1"/>
  <c r="M19" i="20" s="1"/>
  <c r="A19" i="20"/>
  <c r="U17" i="20"/>
  <c r="W17" i="20" s="1"/>
  <c r="Y17" i="20" s="1"/>
  <c r="X16" i="20"/>
  <c r="Z15" i="20"/>
  <c r="AB15" i="20" s="1"/>
  <c r="AA15" i="20"/>
  <c r="AA16" i="20"/>
  <c r="U46" i="14"/>
  <c r="T46" i="14"/>
  <c r="S46" i="14"/>
  <c r="X46" i="14" s="1"/>
  <c r="S44" i="14"/>
  <c r="U44" i="14"/>
  <c r="T44" i="14"/>
  <c r="T58" i="14" s="1"/>
  <c r="V51" i="14"/>
  <c r="U51" i="14"/>
  <c r="T51" i="14"/>
  <c r="U45" i="14"/>
  <c r="T45" i="14"/>
  <c r="S45" i="14"/>
  <c r="S57" i="14" s="1"/>
  <c r="R45" i="14"/>
  <c r="W52" i="14"/>
  <c r="V52" i="14"/>
  <c r="U52" i="14"/>
  <c r="W50" i="14"/>
  <c r="V50" i="14"/>
  <c r="U50" i="14"/>
  <c r="X52" i="14"/>
  <c r="V54" i="14"/>
  <c r="V58" i="14"/>
  <c r="X169" i="14"/>
  <c r="X28" i="14"/>
  <c r="U58" i="14"/>
  <c r="X51" i="14"/>
  <c r="X45" i="14"/>
  <c r="K170" i="14"/>
  <c r="J57" i="14"/>
  <c r="K57" i="14"/>
  <c r="E30" i="3"/>
  <c r="D30" i="3"/>
  <c r="C31" i="14" s="1"/>
  <c r="W54" i="14"/>
  <c r="C26" i="9" s="1"/>
  <c r="W58" i="14"/>
  <c r="X7" i="14"/>
  <c r="X10" i="14" s="1"/>
  <c r="F10" i="14"/>
  <c r="F170" i="14" s="1"/>
  <c r="T57" i="14"/>
  <c r="K54" i="14"/>
  <c r="C15" i="9" s="1"/>
  <c r="K58" i="14"/>
  <c r="I22" i="14"/>
  <c r="I170" i="14" s="1"/>
  <c r="X50" i="14"/>
  <c r="L58" i="14"/>
  <c r="J170" i="14"/>
  <c r="U54" i="14"/>
  <c r="C25" i="9" s="1"/>
  <c r="W170" i="14"/>
  <c r="T54" i="14"/>
  <c r="C24" i="9" s="1"/>
  <c r="J54" i="14"/>
  <c r="C14" i="9" s="1"/>
  <c r="X26" i="14"/>
  <c r="J58" i="14"/>
  <c r="W57" i="14"/>
  <c r="X27" i="14"/>
  <c r="BB20" i="23" l="1"/>
  <c r="BA20" i="23"/>
  <c r="AZ20" i="23"/>
  <c r="AQ20" i="23" s="1"/>
  <c r="N20" i="23" s="1"/>
  <c r="AY20" i="23"/>
  <c r="AX20" i="23"/>
  <c r="AW20" i="23"/>
  <c r="AV20" i="23"/>
  <c r="AU20" i="23"/>
  <c r="AT20" i="23"/>
  <c r="X17" i="23"/>
  <c r="Z16" i="23"/>
  <c r="AB16" i="23" s="1"/>
  <c r="S19" i="23"/>
  <c r="T19" i="23"/>
  <c r="E19" i="23" s="1"/>
  <c r="H19" i="23" s="1"/>
  <c r="K19" i="23" s="1"/>
  <c r="I19" i="23"/>
  <c r="Q19" i="23" s="1"/>
  <c r="R19" i="23" s="1"/>
  <c r="B21" i="23"/>
  <c r="BG20" i="23"/>
  <c r="BD20" i="23" s="1"/>
  <c r="AS20" i="23"/>
  <c r="AP20" i="23" s="1"/>
  <c r="V20" i="23"/>
  <c r="G20" i="23"/>
  <c r="J20" i="23" s="1"/>
  <c r="F20" i="23"/>
  <c r="L20" i="23" s="1"/>
  <c r="M20" i="23" s="1"/>
  <c r="A20" i="23"/>
  <c r="U18" i="23"/>
  <c r="W18" i="23" s="1"/>
  <c r="Y18" i="23" s="1"/>
  <c r="BB20" i="22"/>
  <c r="BA20" i="22"/>
  <c r="AZ20" i="22"/>
  <c r="AQ20" i="22" s="1"/>
  <c r="N20" i="22" s="1"/>
  <c r="AY20" i="22"/>
  <c r="AX20" i="22"/>
  <c r="AW20" i="22"/>
  <c r="AV20" i="22"/>
  <c r="AU20" i="22"/>
  <c r="AT20" i="22"/>
  <c r="X17" i="22"/>
  <c r="Z16" i="22"/>
  <c r="AB16" i="22" s="1"/>
  <c r="S19" i="22"/>
  <c r="T19" i="22"/>
  <c r="E19" i="22" s="1"/>
  <c r="H19" i="22" s="1"/>
  <c r="K19" i="22" s="1"/>
  <c r="I19" i="22"/>
  <c r="Q19" i="22" s="1"/>
  <c r="R19" i="22" s="1"/>
  <c r="B21" i="22"/>
  <c r="BG20" i="22"/>
  <c r="BD20" i="22" s="1"/>
  <c r="AS20" i="22"/>
  <c r="AP20" i="22" s="1"/>
  <c r="V20" i="22"/>
  <c r="G20" i="22"/>
  <c r="J20" i="22" s="1"/>
  <c r="F20" i="22"/>
  <c r="L20" i="22" s="1"/>
  <c r="M20" i="22" s="1"/>
  <c r="A20" i="22"/>
  <c r="U18" i="22"/>
  <c r="W18" i="22" s="1"/>
  <c r="Y18" i="22" s="1"/>
  <c r="BB20" i="21"/>
  <c r="BA20" i="21"/>
  <c r="AZ20" i="21"/>
  <c r="AQ20" i="21" s="1"/>
  <c r="N20" i="21" s="1"/>
  <c r="AY20" i="21"/>
  <c r="AX20" i="21"/>
  <c r="AW20" i="21"/>
  <c r="AV20" i="21"/>
  <c r="AU20" i="21"/>
  <c r="AT20" i="21"/>
  <c r="X17" i="21"/>
  <c r="Z16" i="21"/>
  <c r="AB16" i="21" s="1"/>
  <c r="S19" i="21"/>
  <c r="T19" i="21"/>
  <c r="E19" i="21" s="1"/>
  <c r="H19" i="21" s="1"/>
  <c r="K19" i="21" s="1"/>
  <c r="I19" i="21"/>
  <c r="Q19" i="21" s="1"/>
  <c r="R19" i="21" s="1"/>
  <c r="B21" i="21"/>
  <c r="BG20" i="21"/>
  <c r="BD20" i="21" s="1"/>
  <c r="AS20" i="21"/>
  <c r="AP20" i="21" s="1"/>
  <c r="V20" i="21"/>
  <c r="G20" i="21"/>
  <c r="J20" i="21" s="1"/>
  <c r="F20" i="21"/>
  <c r="L20" i="21" s="1"/>
  <c r="M20" i="21" s="1"/>
  <c r="A20" i="21"/>
  <c r="U18" i="21"/>
  <c r="W18" i="21" s="1"/>
  <c r="Y18" i="21" s="1"/>
  <c r="BB20" i="20"/>
  <c r="BA20" i="20"/>
  <c r="AZ20" i="20"/>
  <c r="AQ20" i="20" s="1"/>
  <c r="N20" i="20" s="1"/>
  <c r="AY20" i="20"/>
  <c r="AX20" i="20"/>
  <c r="AW20" i="20"/>
  <c r="AV20" i="20"/>
  <c r="AU20" i="20"/>
  <c r="AT20" i="20"/>
  <c r="X17" i="20"/>
  <c r="Z16" i="20"/>
  <c r="AB16" i="20" s="1"/>
  <c r="S19" i="20"/>
  <c r="T19" i="20"/>
  <c r="E19" i="20" s="1"/>
  <c r="H19" i="20" s="1"/>
  <c r="K19" i="20" s="1"/>
  <c r="I19" i="20"/>
  <c r="Q19" i="20" s="1"/>
  <c r="R19" i="20" s="1"/>
  <c r="B21" i="20"/>
  <c r="BG20" i="20"/>
  <c r="BD20" i="20" s="1"/>
  <c r="AS20" i="20"/>
  <c r="AP20" i="20" s="1"/>
  <c r="V20" i="20"/>
  <c r="G20" i="20"/>
  <c r="J20" i="20" s="1"/>
  <c r="F20" i="20"/>
  <c r="L20" i="20" s="1"/>
  <c r="M20" i="20" s="1"/>
  <c r="A20" i="20"/>
  <c r="U18" i="20"/>
  <c r="W18" i="20" s="1"/>
  <c r="Y18" i="20" s="1"/>
  <c r="N34" i="14"/>
  <c r="O34" i="14"/>
  <c r="M33" i="14"/>
  <c r="M32" i="14"/>
  <c r="L33" i="14"/>
  <c r="N33" i="14"/>
  <c r="N57" i="14" s="1"/>
  <c r="O33" i="14"/>
  <c r="N32" i="14"/>
  <c r="M34" i="14"/>
  <c r="X34" i="14" s="1"/>
  <c r="O32" i="14"/>
  <c r="C37" i="14"/>
  <c r="U57" i="14"/>
  <c r="V57" i="14"/>
  <c r="S54" i="14"/>
  <c r="C23" i="9" s="1"/>
  <c r="S58" i="14"/>
  <c r="X44" i="14"/>
  <c r="Y47" i="14" s="1"/>
  <c r="J55" i="14"/>
  <c r="K55" i="14" s="1"/>
  <c r="Y53" i="14"/>
  <c r="F172" i="14"/>
  <c r="Y29" i="14"/>
  <c r="BB21" i="23" l="1"/>
  <c r="BA21" i="23"/>
  <c r="AZ21" i="23"/>
  <c r="AQ21" i="23" s="1"/>
  <c r="N21" i="23" s="1"/>
  <c r="AY21" i="23"/>
  <c r="AX21" i="23"/>
  <c r="AW21" i="23"/>
  <c r="AV21" i="23"/>
  <c r="AU21" i="23"/>
  <c r="AT21" i="23"/>
  <c r="S20" i="23"/>
  <c r="T20" i="23"/>
  <c r="E20" i="23" s="1"/>
  <c r="H20" i="23" s="1"/>
  <c r="K20" i="23" s="1"/>
  <c r="I20" i="23"/>
  <c r="Q20" i="23" s="1"/>
  <c r="R20" i="23" s="1"/>
  <c r="B22" i="23"/>
  <c r="BG21" i="23"/>
  <c r="BD21" i="23" s="1"/>
  <c r="AS21" i="23"/>
  <c r="AP21" i="23" s="1"/>
  <c r="V21" i="23"/>
  <c r="G21" i="23"/>
  <c r="J21" i="23" s="1"/>
  <c r="F21" i="23"/>
  <c r="L21" i="23" s="1"/>
  <c r="M21" i="23" s="1"/>
  <c r="A21" i="23"/>
  <c r="U19" i="23"/>
  <c r="W19" i="23" s="1"/>
  <c r="Y19" i="23" s="1"/>
  <c r="X18" i="23"/>
  <c r="Z17" i="23"/>
  <c r="AB17" i="23" s="1"/>
  <c r="AA17" i="23"/>
  <c r="BB21" i="22"/>
  <c r="BA21" i="22"/>
  <c r="AZ21" i="22"/>
  <c r="AQ21" i="22" s="1"/>
  <c r="N21" i="22" s="1"/>
  <c r="AY21" i="22"/>
  <c r="AX21" i="22"/>
  <c r="AW21" i="22"/>
  <c r="AV21" i="22"/>
  <c r="AU21" i="22"/>
  <c r="AT21" i="22"/>
  <c r="S20" i="22"/>
  <c r="T20" i="22"/>
  <c r="E20" i="22" s="1"/>
  <c r="H20" i="22" s="1"/>
  <c r="K20" i="22" s="1"/>
  <c r="I20" i="22"/>
  <c r="Q20" i="22" s="1"/>
  <c r="R20" i="22" s="1"/>
  <c r="B22" i="22"/>
  <c r="BG21" i="22"/>
  <c r="BD21" i="22" s="1"/>
  <c r="AS21" i="22"/>
  <c r="AP21" i="22" s="1"/>
  <c r="V21" i="22"/>
  <c r="G21" i="22"/>
  <c r="J21" i="22" s="1"/>
  <c r="F21" i="22"/>
  <c r="L21" i="22" s="1"/>
  <c r="M21" i="22" s="1"/>
  <c r="A21" i="22"/>
  <c r="U19" i="22"/>
  <c r="W19" i="22" s="1"/>
  <c r="Y19" i="22" s="1"/>
  <c r="X18" i="22"/>
  <c r="Z17" i="22"/>
  <c r="AB17" i="22" s="1"/>
  <c r="AA17" i="22"/>
  <c r="BB21" i="21"/>
  <c r="BA21" i="21"/>
  <c r="AZ21" i="21"/>
  <c r="AQ21" i="21" s="1"/>
  <c r="N21" i="21" s="1"/>
  <c r="AY21" i="21"/>
  <c r="AX21" i="21"/>
  <c r="AW21" i="21"/>
  <c r="AV21" i="21"/>
  <c r="AU21" i="21"/>
  <c r="AT21" i="21"/>
  <c r="S20" i="21"/>
  <c r="T20" i="21"/>
  <c r="E20" i="21" s="1"/>
  <c r="H20" i="21" s="1"/>
  <c r="K20" i="21" s="1"/>
  <c r="I20" i="21"/>
  <c r="Q20" i="21" s="1"/>
  <c r="R20" i="21" s="1"/>
  <c r="B22" i="21"/>
  <c r="BG21" i="21"/>
  <c r="BD21" i="21" s="1"/>
  <c r="AS21" i="21"/>
  <c r="AP21" i="21" s="1"/>
  <c r="V21" i="21"/>
  <c r="G21" i="21"/>
  <c r="J21" i="21" s="1"/>
  <c r="F21" i="21"/>
  <c r="L21" i="21" s="1"/>
  <c r="M21" i="21" s="1"/>
  <c r="A21" i="21"/>
  <c r="U19" i="21"/>
  <c r="W19" i="21" s="1"/>
  <c r="Y19" i="21" s="1"/>
  <c r="X18" i="21"/>
  <c r="Z17" i="21"/>
  <c r="AB17" i="21" s="1"/>
  <c r="AA17" i="21"/>
  <c r="BB21" i="20"/>
  <c r="BA21" i="20"/>
  <c r="AZ21" i="20"/>
  <c r="AQ21" i="20" s="1"/>
  <c r="N21" i="20" s="1"/>
  <c r="AY21" i="20"/>
  <c r="AX21" i="20"/>
  <c r="AW21" i="20"/>
  <c r="AV21" i="20"/>
  <c r="AU21" i="20"/>
  <c r="AT21" i="20"/>
  <c r="S20" i="20"/>
  <c r="T20" i="20"/>
  <c r="E20" i="20" s="1"/>
  <c r="H20" i="20" s="1"/>
  <c r="K20" i="20" s="1"/>
  <c r="I20" i="20"/>
  <c r="Q20" i="20" s="1"/>
  <c r="R20" i="20" s="1"/>
  <c r="B22" i="20"/>
  <c r="BG21" i="20"/>
  <c r="BD21" i="20" s="1"/>
  <c r="AS21" i="20"/>
  <c r="AP21" i="20" s="1"/>
  <c r="V21" i="20"/>
  <c r="G21" i="20"/>
  <c r="J21" i="20" s="1"/>
  <c r="F21" i="20"/>
  <c r="L21" i="20" s="1"/>
  <c r="M21" i="20" s="1"/>
  <c r="A21" i="20"/>
  <c r="U19" i="20"/>
  <c r="W19" i="20" s="1"/>
  <c r="Y19" i="20" s="1"/>
  <c r="X18" i="20"/>
  <c r="Z17" i="20"/>
  <c r="AB17" i="20" s="1"/>
  <c r="AA17" i="20"/>
  <c r="R39" i="14"/>
  <c r="R40" i="14"/>
  <c r="Q40" i="14"/>
  <c r="P40" i="14"/>
  <c r="X40" i="14" s="1"/>
  <c r="R38" i="14"/>
  <c r="Q38" i="14"/>
  <c r="P38" i="14"/>
  <c r="O39" i="14"/>
  <c r="P39" i="14"/>
  <c r="P57" i="14" s="1"/>
  <c r="Q39" i="14"/>
  <c r="Q57" i="14" s="1"/>
  <c r="O54" i="14"/>
  <c r="C19" i="9" s="1"/>
  <c r="O58" i="14"/>
  <c r="O170" i="14"/>
  <c r="N170" i="14"/>
  <c r="N54" i="14"/>
  <c r="C18" i="9" s="1"/>
  <c r="N58" i="14"/>
  <c r="O57" i="14"/>
  <c r="L57" i="14"/>
  <c r="L54" i="14"/>
  <c r="C16" i="9" s="1"/>
  <c r="X33" i="14"/>
  <c r="L170" i="14"/>
  <c r="M58" i="14"/>
  <c r="X32" i="14"/>
  <c r="M54" i="14"/>
  <c r="C17" i="9" s="1"/>
  <c r="M170" i="14"/>
  <c r="M57" i="14"/>
  <c r="BB22" i="23" l="1"/>
  <c r="BA22" i="23"/>
  <c r="AZ22" i="23"/>
  <c r="AQ22" i="23" s="1"/>
  <c r="N22" i="23" s="1"/>
  <c r="AY22" i="23"/>
  <c r="AX22" i="23"/>
  <c r="AW22" i="23"/>
  <c r="AV22" i="23"/>
  <c r="AU22" i="23"/>
  <c r="AT22" i="23"/>
  <c r="AA18" i="23"/>
  <c r="X19" i="23"/>
  <c r="Z18" i="23"/>
  <c r="AB18" i="23" s="1"/>
  <c r="S21" i="23"/>
  <c r="T21" i="23"/>
  <c r="E21" i="23" s="1"/>
  <c r="H21" i="23" s="1"/>
  <c r="K21" i="23" s="1"/>
  <c r="I21" i="23"/>
  <c r="Q21" i="23" s="1"/>
  <c r="R21" i="23" s="1"/>
  <c r="B23" i="23"/>
  <c r="BG22" i="23"/>
  <c r="BD22" i="23" s="1"/>
  <c r="AS22" i="23"/>
  <c r="AP22" i="23" s="1"/>
  <c r="V22" i="23"/>
  <c r="G22" i="23"/>
  <c r="J22" i="23" s="1"/>
  <c r="F22" i="23"/>
  <c r="L22" i="23" s="1"/>
  <c r="M22" i="23" s="1"/>
  <c r="A22" i="23"/>
  <c r="U20" i="23"/>
  <c r="W20" i="23" s="1"/>
  <c r="Y20" i="23" s="1"/>
  <c r="BB22" i="22"/>
  <c r="BA22" i="22"/>
  <c r="AZ22" i="22"/>
  <c r="AQ22" i="22" s="1"/>
  <c r="N22" i="22" s="1"/>
  <c r="AY22" i="22"/>
  <c r="AX22" i="22"/>
  <c r="AW22" i="22"/>
  <c r="AV22" i="22"/>
  <c r="AU22" i="22"/>
  <c r="AT22" i="22"/>
  <c r="AA18" i="22"/>
  <c r="X19" i="22"/>
  <c r="Z18" i="22"/>
  <c r="AB18" i="22" s="1"/>
  <c r="S21" i="22"/>
  <c r="T21" i="22"/>
  <c r="E21" i="22" s="1"/>
  <c r="H21" i="22" s="1"/>
  <c r="K21" i="22" s="1"/>
  <c r="I21" i="22"/>
  <c r="Q21" i="22" s="1"/>
  <c r="R21" i="22" s="1"/>
  <c r="B23" i="22"/>
  <c r="BG22" i="22"/>
  <c r="BD22" i="22" s="1"/>
  <c r="AS22" i="22"/>
  <c r="AP22" i="22" s="1"/>
  <c r="V22" i="22"/>
  <c r="G22" i="22"/>
  <c r="J22" i="22" s="1"/>
  <c r="F22" i="22"/>
  <c r="L22" i="22" s="1"/>
  <c r="M22" i="22" s="1"/>
  <c r="A22" i="22"/>
  <c r="U20" i="22"/>
  <c r="W20" i="22" s="1"/>
  <c r="Y20" i="22" s="1"/>
  <c r="BB22" i="21"/>
  <c r="BA22" i="21"/>
  <c r="AZ22" i="21"/>
  <c r="AQ22" i="21" s="1"/>
  <c r="N22" i="21" s="1"/>
  <c r="AY22" i="21"/>
  <c r="AX22" i="21"/>
  <c r="AW22" i="21"/>
  <c r="AV22" i="21"/>
  <c r="AU22" i="21"/>
  <c r="AT22" i="21"/>
  <c r="AA18" i="21"/>
  <c r="X19" i="21"/>
  <c r="Z18" i="21"/>
  <c r="AB18" i="21" s="1"/>
  <c r="S21" i="21"/>
  <c r="T21" i="21"/>
  <c r="E21" i="21" s="1"/>
  <c r="H21" i="21" s="1"/>
  <c r="K21" i="21" s="1"/>
  <c r="I21" i="21"/>
  <c r="Q21" i="21" s="1"/>
  <c r="R21" i="21" s="1"/>
  <c r="B23" i="21"/>
  <c r="BG22" i="21"/>
  <c r="BD22" i="21" s="1"/>
  <c r="AS22" i="21"/>
  <c r="AP22" i="21" s="1"/>
  <c r="V22" i="21"/>
  <c r="G22" i="21"/>
  <c r="J22" i="21" s="1"/>
  <c r="F22" i="21"/>
  <c r="L22" i="21" s="1"/>
  <c r="M22" i="21" s="1"/>
  <c r="A22" i="21"/>
  <c r="U20" i="21"/>
  <c r="W20" i="21" s="1"/>
  <c r="Y20" i="21" s="1"/>
  <c r="BB22" i="20"/>
  <c r="BA22" i="20"/>
  <c r="AZ22" i="20"/>
  <c r="AQ22" i="20" s="1"/>
  <c r="N22" i="20" s="1"/>
  <c r="AY22" i="20"/>
  <c r="AX22" i="20"/>
  <c r="AW22" i="20"/>
  <c r="AV22" i="20"/>
  <c r="AU22" i="20"/>
  <c r="AT22" i="20"/>
  <c r="AA18" i="20"/>
  <c r="X19" i="20"/>
  <c r="Z18" i="20"/>
  <c r="AB18" i="20" s="1"/>
  <c r="S21" i="20"/>
  <c r="T21" i="20"/>
  <c r="E21" i="20" s="1"/>
  <c r="H21" i="20" s="1"/>
  <c r="K21" i="20" s="1"/>
  <c r="I21" i="20"/>
  <c r="Q21" i="20" s="1"/>
  <c r="R21" i="20" s="1"/>
  <c r="B23" i="20"/>
  <c r="BG22" i="20"/>
  <c r="BD22" i="20" s="1"/>
  <c r="AS22" i="20"/>
  <c r="AP22" i="20" s="1"/>
  <c r="V22" i="20"/>
  <c r="G22" i="20"/>
  <c r="J22" i="20" s="1"/>
  <c r="F22" i="20"/>
  <c r="L22" i="20" s="1"/>
  <c r="M22" i="20" s="1"/>
  <c r="A22" i="20"/>
  <c r="U20" i="20"/>
  <c r="W20" i="20" s="1"/>
  <c r="Y20" i="20" s="1"/>
  <c r="Y35" i="14"/>
  <c r="X39" i="14"/>
  <c r="P58" i="14"/>
  <c r="P54" i="14"/>
  <c r="C20" i="9" s="1"/>
  <c r="X38" i="14"/>
  <c r="X54" i="14" s="1"/>
  <c r="Q58" i="14"/>
  <c r="Q54" i="14"/>
  <c r="C21" i="9" s="1"/>
  <c r="R58" i="14"/>
  <c r="R54" i="14"/>
  <c r="C22" i="9" s="1"/>
  <c r="R57" i="14"/>
  <c r="L55" i="14"/>
  <c r="M55" i="14" s="1"/>
  <c r="N55" i="14" s="1"/>
  <c r="O55" i="14" s="1"/>
  <c r="P55" i="14" s="1"/>
  <c r="Q55" i="14" s="1"/>
  <c r="R55" i="14" s="1"/>
  <c r="S55" i="14" s="1"/>
  <c r="T55" i="14" s="1"/>
  <c r="U55" i="14" s="1"/>
  <c r="V55" i="14" s="1"/>
  <c r="W55" i="14" s="1"/>
  <c r="BB23" i="23" l="1"/>
  <c r="BA23" i="23"/>
  <c r="AZ23" i="23"/>
  <c r="AQ23" i="23" s="1"/>
  <c r="N23" i="23" s="1"/>
  <c r="AY23" i="23"/>
  <c r="AX23" i="23"/>
  <c r="AW23" i="23"/>
  <c r="AV23" i="23"/>
  <c r="AU23" i="23"/>
  <c r="AT23" i="23"/>
  <c r="S22" i="23"/>
  <c r="T22" i="23"/>
  <c r="E22" i="23" s="1"/>
  <c r="H22" i="23" s="1"/>
  <c r="K22" i="23" s="1"/>
  <c r="I22" i="23"/>
  <c r="Q22" i="23" s="1"/>
  <c r="R22" i="23" s="1"/>
  <c r="B24" i="23"/>
  <c r="BG23" i="23"/>
  <c r="BD23" i="23" s="1"/>
  <c r="AS23" i="23"/>
  <c r="AP23" i="23" s="1"/>
  <c r="V23" i="23"/>
  <c r="G23" i="23"/>
  <c r="J23" i="23" s="1"/>
  <c r="F23" i="23"/>
  <c r="L23" i="23" s="1"/>
  <c r="M23" i="23" s="1"/>
  <c r="A23" i="23"/>
  <c r="U21" i="23"/>
  <c r="W21" i="23" s="1"/>
  <c r="Y21" i="23" s="1"/>
  <c r="X20" i="23"/>
  <c r="Z19" i="23"/>
  <c r="AB19" i="23" s="1"/>
  <c r="AA19" i="23"/>
  <c r="BB23" i="22"/>
  <c r="BA23" i="22"/>
  <c r="AZ23" i="22"/>
  <c r="AQ23" i="22" s="1"/>
  <c r="N23" i="22" s="1"/>
  <c r="AY23" i="22"/>
  <c r="AX23" i="22"/>
  <c r="AW23" i="22"/>
  <c r="AV23" i="22"/>
  <c r="AU23" i="22"/>
  <c r="AT23" i="22"/>
  <c r="S22" i="22"/>
  <c r="T22" i="22"/>
  <c r="E22" i="22" s="1"/>
  <c r="H22" i="22" s="1"/>
  <c r="K22" i="22" s="1"/>
  <c r="I22" i="22"/>
  <c r="Q22" i="22" s="1"/>
  <c r="R22" i="22" s="1"/>
  <c r="B24" i="22"/>
  <c r="BG23" i="22"/>
  <c r="BD23" i="22" s="1"/>
  <c r="AS23" i="22"/>
  <c r="AP23" i="22" s="1"/>
  <c r="V23" i="22"/>
  <c r="G23" i="22"/>
  <c r="J23" i="22" s="1"/>
  <c r="F23" i="22"/>
  <c r="L23" i="22" s="1"/>
  <c r="M23" i="22" s="1"/>
  <c r="A23" i="22"/>
  <c r="U21" i="22"/>
  <c r="W21" i="22" s="1"/>
  <c r="Y21" i="22" s="1"/>
  <c r="X20" i="22"/>
  <c r="Z19" i="22"/>
  <c r="AB19" i="22" s="1"/>
  <c r="AA19" i="22"/>
  <c r="BB23" i="21"/>
  <c r="BA23" i="21"/>
  <c r="AZ23" i="21"/>
  <c r="AQ23" i="21" s="1"/>
  <c r="N23" i="21" s="1"/>
  <c r="AY23" i="21"/>
  <c r="AX23" i="21"/>
  <c r="AW23" i="21"/>
  <c r="AV23" i="21"/>
  <c r="AU23" i="21"/>
  <c r="AT23" i="21"/>
  <c r="S22" i="21"/>
  <c r="T22" i="21"/>
  <c r="E22" i="21" s="1"/>
  <c r="H22" i="21" s="1"/>
  <c r="K22" i="21" s="1"/>
  <c r="I22" i="21"/>
  <c r="Q22" i="21" s="1"/>
  <c r="R22" i="21" s="1"/>
  <c r="B24" i="21"/>
  <c r="BG23" i="21"/>
  <c r="BD23" i="21" s="1"/>
  <c r="AS23" i="21"/>
  <c r="AP23" i="21" s="1"/>
  <c r="V23" i="21"/>
  <c r="G23" i="21"/>
  <c r="J23" i="21" s="1"/>
  <c r="F23" i="21"/>
  <c r="L23" i="21" s="1"/>
  <c r="M23" i="21" s="1"/>
  <c r="A23" i="21"/>
  <c r="U21" i="21"/>
  <c r="W21" i="21" s="1"/>
  <c r="Y21" i="21" s="1"/>
  <c r="X20" i="21"/>
  <c r="Z19" i="21"/>
  <c r="AB19" i="21" s="1"/>
  <c r="AA19" i="21"/>
  <c r="BB23" i="20"/>
  <c r="BA23" i="20"/>
  <c r="AZ23" i="20"/>
  <c r="AQ23" i="20" s="1"/>
  <c r="N23" i="20" s="1"/>
  <c r="AY23" i="20"/>
  <c r="AX23" i="20"/>
  <c r="AW23" i="20"/>
  <c r="AV23" i="20"/>
  <c r="AU23" i="20"/>
  <c r="AT23" i="20"/>
  <c r="S22" i="20"/>
  <c r="T22" i="20"/>
  <c r="E22" i="20" s="1"/>
  <c r="H22" i="20" s="1"/>
  <c r="K22" i="20" s="1"/>
  <c r="I22" i="20"/>
  <c r="Q22" i="20" s="1"/>
  <c r="R22" i="20" s="1"/>
  <c r="B24" i="20"/>
  <c r="BG23" i="20"/>
  <c r="BD23" i="20" s="1"/>
  <c r="AS23" i="20"/>
  <c r="AP23" i="20" s="1"/>
  <c r="V23" i="20"/>
  <c r="G23" i="20"/>
  <c r="J23" i="20" s="1"/>
  <c r="F23" i="20"/>
  <c r="L23" i="20" s="1"/>
  <c r="M23" i="20" s="1"/>
  <c r="A23" i="20"/>
  <c r="U21" i="20"/>
  <c r="W21" i="20" s="1"/>
  <c r="Y21" i="20" s="1"/>
  <c r="X20" i="20"/>
  <c r="Z19" i="20"/>
  <c r="AB19" i="20" s="1"/>
  <c r="AA19"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P5" i="9"/>
  <c r="O5" i="9"/>
  <c r="AI10" i="9" s="1"/>
  <c r="N5" i="9"/>
  <c r="M5" i="9"/>
  <c r="L5" i="9"/>
  <c r="K5" i="9"/>
  <c r="J5" i="9"/>
  <c r="I5" i="9"/>
  <c r="H5" i="9"/>
  <c r="G5" i="9"/>
  <c r="F5" i="9"/>
  <c r="E5" i="9"/>
  <c r="D5" i="9"/>
  <c r="C5" i="9"/>
  <c r="B12" i="9" s="1"/>
  <c r="B5" i="9"/>
  <c r="C9" i="9" s="1"/>
  <c r="I35" i="3"/>
  <c r="I34" i="3"/>
  <c r="I33" i="3"/>
  <c r="I32" i="3"/>
  <c r="I31" i="3"/>
  <c r="I30" i="3"/>
  <c r="I29" i="3"/>
  <c r="I28" i="3"/>
  <c r="I27" i="3"/>
  <c r="I26" i="3"/>
  <c r="I25" i="3"/>
  <c r="I24" i="3"/>
  <c r="I23" i="3"/>
  <c r="I22" i="3"/>
  <c r="I21" i="3"/>
  <c r="I20" i="3"/>
  <c r="I19" i="3"/>
  <c r="I18" i="3"/>
  <c r="I17" i="3"/>
  <c r="I16" i="3"/>
  <c r="I15" i="3"/>
  <c r="A15" i="3"/>
  <c r="I14" i="3"/>
  <c r="A14" i="3"/>
  <c r="I13" i="3"/>
  <c r="A13" i="3"/>
  <c r="I12" i="3"/>
  <c r="A12" i="3"/>
  <c r="I11" i="3"/>
  <c r="A11" i="3"/>
  <c r="I10" i="3"/>
  <c r="A10" i="3"/>
  <c r="I9" i="3"/>
  <c r="A9" i="3"/>
  <c r="I8" i="3"/>
  <c r="A8" i="3"/>
  <c r="I7" i="3"/>
  <c r="A7" i="3"/>
  <c r="I6" i="3"/>
  <c r="A6" i="3"/>
  <c r="I5" i="3"/>
  <c r="A5" i="3"/>
  <c r="D8" i="1"/>
  <c r="BB24" i="23" l="1"/>
  <c r="BA24" i="23"/>
  <c r="AZ24" i="23"/>
  <c r="AQ24" i="23" s="1"/>
  <c r="N24" i="23" s="1"/>
  <c r="AY24" i="23"/>
  <c r="AX24" i="23"/>
  <c r="AW24" i="23"/>
  <c r="AV24" i="23"/>
  <c r="AU24" i="23"/>
  <c r="AT24" i="23"/>
  <c r="AA20" i="23"/>
  <c r="X21" i="23"/>
  <c r="Z20" i="23"/>
  <c r="AB20" i="23" s="1"/>
  <c r="S23" i="23"/>
  <c r="T23" i="23"/>
  <c r="E23" i="23" s="1"/>
  <c r="H23" i="23" s="1"/>
  <c r="K23" i="23" s="1"/>
  <c r="I23" i="23"/>
  <c r="Q23" i="23" s="1"/>
  <c r="R23" i="23" s="1"/>
  <c r="B25" i="23"/>
  <c r="BG24" i="23"/>
  <c r="BD24" i="23" s="1"/>
  <c r="AS24" i="23"/>
  <c r="AP24" i="23" s="1"/>
  <c r="V24" i="23"/>
  <c r="G24" i="23"/>
  <c r="J24" i="23" s="1"/>
  <c r="F24" i="23"/>
  <c r="L24" i="23" s="1"/>
  <c r="M24" i="23" s="1"/>
  <c r="A24" i="23"/>
  <c r="U22" i="23"/>
  <c r="W22" i="23" s="1"/>
  <c r="Y22" i="23" s="1"/>
  <c r="BB24" i="22"/>
  <c r="BA24" i="22"/>
  <c r="AZ24" i="22"/>
  <c r="AQ24" i="22" s="1"/>
  <c r="N24" i="22" s="1"/>
  <c r="AY24" i="22"/>
  <c r="AX24" i="22"/>
  <c r="AW24" i="22"/>
  <c r="AV24" i="22"/>
  <c r="AU24" i="22"/>
  <c r="AT24" i="22"/>
  <c r="AA20" i="22"/>
  <c r="X21" i="22"/>
  <c r="Z20" i="22"/>
  <c r="AB20" i="22" s="1"/>
  <c r="S23" i="22"/>
  <c r="T23" i="22"/>
  <c r="E23" i="22" s="1"/>
  <c r="H23" i="22" s="1"/>
  <c r="K23" i="22" s="1"/>
  <c r="I23" i="22"/>
  <c r="Q23" i="22" s="1"/>
  <c r="R23" i="22" s="1"/>
  <c r="B25" i="22"/>
  <c r="BG24" i="22"/>
  <c r="BD24" i="22" s="1"/>
  <c r="AS24" i="22"/>
  <c r="AP24" i="22" s="1"/>
  <c r="V24" i="22"/>
  <c r="G24" i="22"/>
  <c r="J24" i="22" s="1"/>
  <c r="F24" i="22"/>
  <c r="L24" i="22" s="1"/>
  <c r="M24" i="22" s="1"/>
  <c r="A24" i="22"/>
  <c r="U22" i="22"/>
  <c r="W22" i="22" s="1"/>
  <c r="Y22" i="22" s="1"/>
  <c r="BB24" i="21"/>
  <c r="BA24" i="21"/>
  <c r="AZ24" i="21"/>
  <c r="AQ24" i="21" s="1"/>
  <c r="N24" i="21" s="1"/>
  <c r="AY24" i="21"/>
  <c r="AX24" i="21"/>
  <c r="AW24" i="21"/>
  <c r="AV24" i="21"/>
  <c r="AU24" i="21"/>
  <c r="AT24" i="21"/>
  <c r="AA20" i="21"/>
  <c r="X21" i="21"/>
  <c r="Z20" i="21"/>
  <c r="AB20" i="21" s="1"/>
  <c r="S23" i="21"/>
  <c r="T23" i="21"/>
  <c r="E23" i="21" s="1"/>
  <c r="H23" i="21" s="1"/>
  <c r="K23" i="21" s="1"/>
  <c r="I23" i="21"/>
  <c r="Q23" i="21" s="1"/>
  <c r="R23" i="21" s="1"/>
  <c r="B25" i="21"/>
  <c r="BG24" i="21"/>
  <c r="BD24" i="21" s="1"/>
  <c r="AS24" i="21"/>
  <c r="AP24" i="21" s="1"/>
  <c r="V24" i="21"/>
  <c r="G24" i="21"/>
  <c r="J24" i="21" s="1"/>
  <c r="F24" i="21"/>
  <c r="L24" i="21" s="1"/>
  <c r="M24" i="21" s="1"/>
  <c r="A24" i="21"/>
  <c r="U22" i="21"/>
  <c r="W22" i="21" s="1"/>
  <c r="Y22" i="21" s="1"/>
  <c r="BB24" i="20"/>
  <c r="BA24" i="20"/>
  <c r="AZ24" i="20"/>
  <c r="AQ24" i="20" s="1"/>
  <c r="N24" i="20" s="1"/>
  <c r="AY24" i="20"/>
  <c r="AX24" i="20"/>
  <c r="AW24" i="20"/>
  <c r="AV24" i="20"/>
  <c r="AU24" i="20"/>
  <c r="AT24" i="20"/>
  <c r="AA20" i="20"/>
  <c r="X21" i="20"/>
  <c r="Z20" i="20"/>
  <c r="AB20" i="20" s="1"/>
  <c r="S23" i="20"/>
  <c r="T23" i="20"/>
  <c r="E23" i="20" s="1"/>
  <c r="H23" i="20" s="1"/>
  <c r="K23" i="20" s="1"/>
  <c r="I23" i="20"/>
  <c r="Q23" i="20" s="1"/>
  <c r="R23" i="20" s="1"/>
  <c r="B25" i="20"/>
  <c r="BG24" i="20"/>
  <c r="BD24" i="20" s="1"/>
  <c r="AS24" i="20"/>
  <c r="AP24" i="20" s="1"/>
  <c r="V24" i="20"/>
  <c r="G24" i="20"/>
  <c r="J24" i="20" s="1"/>
  <c r="F24" i="20"/>
  <c r="L24" i="20" s="1"/>
  <c r="M24" i="20" s="1"/>
  <c r="A24" i="20"/>
  <c r="U22" i="20"/>
  <c r="W22" i="20" s="1"/>
  <c r="Y22" i="20" s="1"/>
  <c r="G25" i="10"/>
  <c r="AL50" i="9"/>
  <c r="AL51" i="9"/>
  <c r="AL52" i="9"/>
  <c r="AL53" i="9"/>
  <c r="G3" i="11"/>
  <c r="B34" i="3"/>
  <c r="G4" i="11"/>
  <c r="B35" i="3"/>
  <c r="G5" i="11"/>
  <c r="B36" i="3"/>
  <c r="G6" i="11"/>
  <c r="B37" i="3"/>
  <c r="C37" i="3" s="1"/>
  <c r="G7" i="11"/>
  <c r="B38" i="3"/>
  <c r="F38" i="3" s="1"/>
  <c r="G38" i="3" s="1"/>
  <c r="G8" i="11"/>
  <c r="B39" i="3"/>
  <c r="C39" i="3" s="1"/>
  <c r="D39" i="3" s="1"/>
  <c r="E39" i="3" s="1"/>
  <c r="F39" i="3" s="1"/>
  <c r="G39" i="3" s="1"/>
  <c r="G9" i="11"/>
  <c r="B40" i="3"/>
  <c r="G10" i="11"/>
  <c r="B41" i="3"/>
  <c r="G12" i="11"/>
  <c r="B43" i="3"/>
  <c r="C43" i="3" s="1"/>
  <c r="D43" i="3" s="1"/>
  <c r="E43" i="3" s="1"/>
  <c r="F43" i="3" s="1"/>
  <c r="G43"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5" i="23" l="1"/>
  <c r="BA25" i="23"/>
  <c r="AZ25" i="23"/>
  <c r="AQ25" i="23" s="1"/>
  <c r="N25" i="23" s="1"/>
  <c r="AY25" i="23"/>
  <c r="AX25" i="23"/>
  <c r="AW25" i="23"/>
  <c r="AV25" i="23"/>
  <c r="AU25" i="23"/>
  <c r="AT25" i="23"/>
  <c r="S24" i="23"/>
  <c r="T24" i="23"/>
  <c r="E24" i="23" s="1"/>
  <c r="H24" i="23" s="1"/>
  <c r="K24" i="23" s="1"/>
  <c r="I24" i="23"/>
  <c r="Q24" i="23" s="1"/>
  <c r="R24" i="23" s="1"/>
  <c r="B26" i="23"/>
  <c r="BG25" i="23"/>
  <c r="BD25" i="23" s="1"/>
  <c r="AS25" i="23"/>
  <c r="AP25" i="23" s="1"/>
  <c r="V25" i="23"/>
  <c r="G25" i="23"/>
  <c r="J25" i="23" s="1"/>
  <c r="F25" i="23"/>
  <c r="L25" i="23" s="1"/>
  <c r="M25" i="23" s="1"/>
  <c r="A25" i="23"/>
  <c r="U23" i="23"/>
  <c r="W23" i="23" s="1"/>
  <c r="Y23" i="23" s="1"/>
  <c r="X22" i="23"/>
  <c r="Z21" i="23"/>
  <c r="AB21" i="23" s="1"/>
  <c r="AA21" i="23"/>
  <c r="AA22" i="23" s="1"/>
  <c r="BB25" i="22"/>
  <c r="BA25" i="22"/>
  <c r="AZ25" i="22"/>
  <c r="AQ25" i="22" s="1"/>
  <c r="N25" i="22" s="1"/>
  <c r="AY25" i="22"/>
  <c r="AX25" i="22"/>
  <c r="AW25" i="22"/>
  <c r="AV25" i="22"/>
  <c r="AU25" i="22"/>
  <c r="AT25" i="22"/>
  <c r="S24" i="22"/>
  <c r="T24" i="22"/>
  <c r="E24" i="22" s="1"/>
  <c r="H24" i="22" s="1"/>
  <c r="K24" i="22" s="1"/>
  <c r="I24" i="22"/>
  <c r="Q24" i="22" s="1"/>
  <c r="R24" i="22" s="1"/>
  <c r="B26" i="22"/>
  <c r="BG25" i="22"/>
  <c r="BD25" i="22" s="1"/>
  <c r="AS25" i="22"/>
  <c r="AP25" i="22" s="1"/>
  <c r="V25" i="22"/>
  <c r="G25" i="22"/>
  <c r="J25" i="22" s="1"/>
  <c r="F25" i="22"/>
  <c r="L25" i="22" s="1"/>
  <c r="M25" i="22" s="1"/>
  <c r="A25" i="22"/>
  <c r="U23" i="22"/>
  <c r="W23" i="22" s="1"/>
  <c r="Y23" i="22" s="1"/>
  <c r="X22" i="22"/>
  <c r="Z21" i="22"/>
  <c r="AB21" i="22" s="1"/>
  <c r="AA21" i="22"/>
  <c r="AA22" i="22" s="1"/>
  <c r="BB25" i="21"/>
  <c r="BA25" i="21"/>
  <c r="AZ25" i="21"/>
  <c r="AQ25" i="21" s="1"/>
  <c r="N25" i="21" s="1"/>
  <c r="AY25" i="21"/>
  <c r="AX25" i="21"/>
  <c r="AW25" i="21"/>
  <c r="AV25" i="21"/>
  <c r="AU25" i="21"/>
  <c r="AT25" i="21"/>
  <c r="S24" i="21"/>
  <c r="T24" i="21"/>
  <c r="E24" i="21" s="1"/>
  <c r="H24" i="21" s="1"/>
  <c r="K24" i="21" s="1"/>
  <c r="I24" i="21"/>
  <c r="Q24" i="21" s="1"/>
  <c r="R24" i="21" s="1"/>
  <c r="B26" i="21"/>
  <c r="BG25" i="21"/>
  <c r="BD25" i="21" s="1"/>
  <c r="AS25" i="21"/>
  <c r="AP25" i="21" s="1"/>
  <c r="V25" i="21"/>
  <c r="G25" i="21"/>
  <c r="J25" i="21" s="1"/>
  <c r="F25" i="21"/>
  <c r="L25" i="21" s="1"/>
  <c r="M25" i="21" s="1"/>
  <c r="A25" i="21"/>
  <c r="U23" i="21"/>
  <c r="W23" i="21" s="1"/>
  <c r="Y23" i="21" s="1"/>
  <c r="X22" i="21"/>
  <c r="Z21" i="21"/>
  <c r="AB21" i="21" s="1"/>
  <c r="AA21" i="21"/>
  <c r="AA22" i="21" s="1"/>
  <c r="BB25" i="20"/>
  <c r="BA25" i="20"/>
  <c r="AZ25" i="20"/>
  <c r="AQ25" i="20" s="1"/>
  <c r="N25" i="20" s="1"/>
  <c r="AY25" i="20"/>
  <c r="AX25" i="20"/>
  <c r="AW25" i="20"/>
  <c r="AV25" i="20"/>
  <c r="AU25" i="20"/>
  <c r="AT25" i="20"/>
  <c r="S24" i="20"/>
  <c r="T24" i="20"/>
  <c r="E24" i="20" s="1"/>
  <c r="H24" i="20" s="1"/>
  <c r="K24" i="20" s="1"/>
  <c r="I24" i="20"/>
  <c r="Q24" i="20" s="1"/>
  <c r="R24" i="20" s="1"/>
  <c r="B26" i="20"/>
  <c r="BG25" i="20"/>
  <c r="BD25" i="20" s="1"/>
  <c r="AS25" i="20"/>
  <c r="AP25" i="20" s="1"/>
  <c r="V25" i="20"/>
  <c r="G25" i="20"/>
  <c r="J25" i="20" s="1"/>
  <c r="F25" i="20"/>
  <c r="L25" i="20" s="1"/>
  <c r="M25" i="20" s="1"/>
  <c r="A25" i="20"/>
  <c r="U23" i="20"/>
  <c r="W23" i="20" s="1"/>
  <c r="Y23" i="20" s="1"/>
  <c r="X22" i="20"/>
  <c r="Z21" i="20"/>
  <c r="AB21" i="20" s="1"/>
  <c r="AA21" i="20"/>
  <c r="AA22" i="20" s="1"/>
  <c r="S13" i="9"/>
  <c r="U13" i="9" s="1"/>
  <c r="G26" i="10"/>
  <c r="AN32" i="9"/>
  <c r="D37" i="3"/>
  <c r="C44"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BB26" i="23" l="1"/>
  <c r="BA26" i="23"/>
  <c r="AZ26" i="23"/>
  <c r="AQ26" i="23" s="1"/>
  <c r="N26" i="23" s="1"/>
  <c r="AY26" i="23"/>
  <c r="AX26" i="23"/>
  <c r="AW26" i="23"/>
  <c r="AV26" i="23"/>
  <c r="AU26" i="23"/>
  <c r="AT26" i="23"/>
  <c r="X23" i="23"/>
  <c r="Z22" i="23"/>
  <c r="AB22" i="23" s="1"/>
  <c r="S25" i="23"/>
  <c r="T25" i="23"/>
  <c r="E25" i="23" s="1"/>
  <c r="H25" i="23" s="1"/>
  <c r="K25" i="23" s="1"/>
  <c r="I25" i="23"/>
  <c r="Q25" i="23" s="1"/>
  <c r="R25" i="23" s="1"/>
  <c r="B27" i="23"/>
  <c r="BG26" i="23"/>
  <c r="BD26" i="23" s="1"/>
  <c r="AS26" i="23"/>
  <c r="AP26" i="23" s="1"/>
  <c r="V26" i="23"/>
  <c r="G26" i="23"/>
  <c r="J26" i="23" s="1"/>
  <c r="F26" i="23"/>
  <c r="L26" i="23" s="1"/>
  <c r="M26" i="23" s="1"/>
  <c r="A26" i="23"/>
  <c r="U24" i="23"/>
  <c r="W24" i="23" s="1"/>
  <c r="Y24" i="23" s="1"/>
  <c r="BB26" i="22"/>
  <c r="BA26" i="22"/>
  <c r="AZ26" i="22"/>
  <c r="AQ26" i="22" s="1"/>
  <c r="N26" i="22" s="1"/>
  <c r="AY26" i="22"/>
  <c r="AX26" i="22"/>
  <c r="AW26" i="22"/>
  <c r="AV26" i="22"/>
  <c r="AU26" i="22"/>
  <c r="AT26" i="22"/>
  <c r="X23" i="22"/>
  <c r="Z22" i="22"/>
  <c r="AB22" i="22" s="1"/>
  <c r="S25" i="22"/>
  <c r="T25" i="22"/>
  <c r="E25" i="22" s="1"/>
  <c r="H25" i="22" s="1"/>
  <c r="K25" i="22" s="1"/>
  <c r="I25" i="22"/>
  <c r="Q25" i="22" s="1"/>
  <c r="R25" i="22" s="1"/>
  <c r="B27" i="22"/>
  <c r="BG26" i="22"/>
  <c r="BD26" i="22" s="1"/>
  <c r="AS26" i="22"/>
  <c r="AP26" i="22" s="1"/>
  <c r="V26" i="22"/>
  <c r="G26" i="22"/>
  <c r="J26" i="22" s="1"/>
  <c r="F26" i="22"/>
  <c r="L26" i="22" s="1"/>
  <c r="M26" i="22" s="1"/>
  <c r="A26" i="22"/>
  <c r="U24" i="22"/>
  <c r="W24" i="22" s="1"/>
  <c r="Y24" i="22" s="1"/>
  <c r="BB26" i="21"/>
  <c r="BA26" i="21"/>
  <c r="AZ26" i="21"/>
  <c r="AQ26" i="21" s="1"/>
  <c r="N26" i="21" s="1"/>
  <c r="AY26" i="21"/>
  <c r="AX26" i="21"/>
  <c r="AW26" i="21"/>
  <c r="AV26" i="21"/>
  <c r="AU26" i="21"/>
  <c r="AT26" i="21"/>
  <c r="X23" i="21"/>
  <c r="Z22" i="21"/>
  <c r="AB22" i="21" s="1"/>
  <c r="S25" i="21"/>
  <c r="T25" i="21"/>
  <c r="E25" i="21" s="1"/>
  <c r="H25" i="21" s="1"/>
  <c r="K25" i="21" s="1"/>
  <c r="I25" i="21"/>
  <c r="Q25" i="21" s="1"/>
  <c r="R25" i="21" s="1"/>
  <c r="B27" i="21"/>
  <c r="BG26" i="21"/>
  <c r="BD26" i="21" s="1"/>
  <c r="AS26" i="21"/>
  <c r="AP26" i="21" s="1"/>
  <c r="V26" i="21"/>
  <c r="G26" i="21"/>
  <c r="J26" i="21" s="1"/>
  <c r="F26" i="21"/>
  <c r="L26" i="21" s="1"/>
  <c r="M26" i="21" s="1"/>
  <c r="A26" i="21"/>
  <c r="U24" i="21"/>
  <c r="W24" i="21" s="1"/>
  <c r="Y24" i="21" s="1"/>
  <c r="BB26" i="20"/>
  <c r="BA26" i="20"/>
  <c r="AZ26" i="20"/>
  <c r="AQ26" i="20" s="1"/>
  <c r="N26" i="20" s="1"/>
  <c r="AY26" i="20"/>
  <c r="AX26" i="20"/>
  <c r="AW26" i="20"/>
  <c r="AV26" i="20"/>
  <c r="AU26" i="20"/>
  <c r="AT26" i="20"/>
  <c r="X23" i="20"/>
  <c r="Z22" i="20"/>
  <c r="AB22" i="20" s="1"/>
  <c r="S25" i="20"/>
  <c r="T25" i="20"/>
  <c r="E25" i="20" s="1"/>
  <c r="H25" i="20" s="1"/>
  <c r="K25" i="20" s="1"/>
  <c r="I25" i="20"/>
  <c r="Q25" i="20" s="1"/>
  <c r="R25" i="20" s="1"/>
  <c r="B27" i="20"/>
  <c r="BG26" i="20"/>
  <c r="BD26" i="20" s="1"/>
  <c r="AS26" i="20"/>
  <c r="AP26" i="20" s="1"/>
  <c r="V26" i="20"/>
  <c r="G26" i="20"/>
  <c r="J26" i="20" s="1"/>
  <c r="F26" i="20"/>
  <c r="L26" i="20" s="1"/>
  <c r="M26" i="20" s="1"/>
  <c r="A26" i="20"/>
  <c r="U24" i="20"/>
  <c r="W24" i="20" s="1"/>
  <c r="Y24" i="20" s="1"/>
  <c r="S14" i="9"/>
  <c r="G27" i="10"/>
  <c r="AN33" i="9"/>
  <c r="D14" i="9"/>
  <c r="D16" i="9"/>
  <c r="D17" i="9"/>
  <c r="D18" i="9"/>
  <c r="D15" i="9"/>
  <c r="E37" i="3"/>
  <c r="D44"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BB27" i="23" l="1"/>
  <c r="BA27" i="23"/>
  <c r="AZ27" i="23"/>
  <c r="AQ27" i="23" s="1"/>
  <c r="N27" i="23" s="1"/>
  <c r="AY27" i="23"/>
  <c r="AX27" i="23"/>
  <c r="AW27" i="23"/>
  <c r="AV27" i="23"/>
  <c r="AU27" i="23"/>
  <c r="AT27" i="23"/>
  <c r="S26" i="23"/>
  <c r="T26" i="23"/>
  <c r="E26" i="23" s="1"/>
  <c r="H26" i="23" s="1"/>
  <c r="K26" i="23" s="1"/>
  <c r="I26" i="23"/>
  <c r="Q26" i="23" s="1"/>
  <c r="R26" i="23" s="1"/>
  <c r="B28" i="23"/>
  <c r="BG27" i="23"/>
  <c r="BD27" i="23" s="1"/>
  <c r="AS27" i="23"/>
  <c r="AP27" i="23" s="1"/>
  <c r="V27" i="23"/>
  <c r="G27" i="23"/>
  <c r="J27" i="23" s="1"/>
  <c r="F27" i="23"/>
  <c r="L27" i="23" s="1"/>
  <c r="M27" i="23" s="1"/>
  <c r="A27" i="23"/>
  <c r="U25" i="23"/>
  <c r="W25" i="23" s="1"/>
  <c r="Y25" i="23" s="1"/>
  <c r="X24" i="23"/>
  <c r="Z23" i="23"/>
  <c r="AB23" i="23" s="1"/>
  <c r="AA23" i="23"/>
  <c r="AA24" i="23" s="1"/>
  <c r="BB27" i="22"/>
  <c r="BA27" i="22"/>
  <c r="AZ27" i="22"/>
  <c r="AQ27" i="22" s="1"/>
  <c r="N27" i="22" s="1"/>
  <c r="AY27" i="22"/>
  <c r="AX27" i="22"/>
  <c r="AW27" i="22"/>
  <c r="AV27" i="22"/>
  <c r="AU27" i="22"/>
  <c r="AT27" i="22"/>
  <c r="S26" i="22"/>
  <c r="T26" i="22"/>
  <c r="E26" i="22" s="1"/>
  <c r="H26" i="22" s="1"/>
  <c r="K26" i="22" s="1"/>
  <c r="I26" i="22"/>
  <c r="Q26" i="22" s="1"/>
  <c r="R26" i="22" s="1"/>
  <c r="B28" i="22"/>
  <c r="BG27" i="22"/>
  <c r="BD27" i="22" s="1"/>
  <c r="AS27" i="22"/>
  <c r="AP27" i="22" s="1"/>
  <c r="V27" i="22"/>
  <c r="G27" i="22"/>
  <c r="J27" i="22" s="1"/>
  <c r="F27" i="22"/>
  <c r="L27" i="22" s="1"/>
  <c r="M27" i="22" s="1"/>
  <c r="A27" i="22"/>
  <c r="U25" i="22"/>
  <c r="W25" i="22" s="1"/>
  <c r="Y25" i="22" s="1"/>
  <c r="X24" i="22"/>
  <c r="Z23" i="22"/>
  <c r="AB23" i="22" s="1"/>
  <c r="AA23" i="22"/>
  <c r="AA24" i="22" s="1"/>
  <c r="BB27" i="21"/>
  <c r="BA27" i="21"/>
  <c r="AZ27" i="21"/>
  <c r="AQ27" i="21" s="1"/>
  <c r="N27" i="21" s="1"/>
  <c r="AY27" i="21"/>
  <c r="AX27" i="21"/>
  <c r="AW27" i="21"/>
  <c r="AV27" i="21"/>
  <c r="AU27" i="21"/>
  <c r="AT27" i="21"/>
  <c r="S26" i="21"/>
  <c r="T26" i="21"/>
  <c r="E26" i="21" s="1"/>
  <c r="H26" i="21" s="1"/>
  <c r="K26" i="21" s="1"/>
  <c r="I26" i="21"/>
  <c r="Q26" i="21" s="1"/>
  <c r="R26" i="21" s="1"/>
  <c r="B28" i="21"/>
  <c r="BG27" i="21"/>
  <c r="BD27" i="21" s="1"/>
  <c r="AS27" i="21"/>
  <c r="AP27" i="21" s="1"/>
  <c r="V27" i="21"/>
  <c r="G27" i="21"/>
  <c r="J27" i="21" s="1"/>
  <c r="F27" i="21"/>
  <c r="L27" i="21" s="1"/>
  <c r="M27" i="21" s="1"/>
  <c r="A27" i="21"/>
  <c r="U25" i="21"/>
  <c r="W25" i="21" s="1"/>
  <c r="Y25" i="21" s="1"/>
  <c r="X24" i="21"/>
  <c r="Z23" i="21"/>
  <c r="AB23" i="21" s="1"/>
  <c r="AA23" i="21"/>
  <c r="AA24" i="21" s="1"/>
  <c r="BB27" i="20"/>
  <c r="BA27" i="20"/>
  <c r="AZ27" i="20"/>
  <c r="AQ27" i="20" s="1"/>
  <c r="N27" i="20" s="1"/>
  <c r="AY27" i="20"/>
  <c r="AX27" i="20"/>
  <c r="AW27" i="20"/>
  <c r="AV27" i="20"/>
  <c r="AU27" i="20"/>
  <c r="AT27" i="20"/>
  <c r="S26" i="20"/>
  <c r="T26" i="20"/>
  <c r="E26" i="20" s="1"/>
  <c r="H26" i="20" s="1"/>
  <c r="K26" i="20" s="1"/>
  <c r="I26" i="20"/>
  <c r="Q26" i="20" s="1"/>
  <c r="R26" i="20" s="1"/>
  <c r="B28" i="20"/>
  <c r="BG27" i="20"/>
  <c r="BD27" i="20" s="1"/>
  <c r="AS27" i="20"/>
  <c r="AP27" i="20" s="1"/>
  <c r="V27" i="20"/>
  <c r="G27" i="20"/>
  <c r="J27" i="20" s="1"/>
  <c r="F27" i="20"/>
  <c r="L27" i="20" s="1"/>
  <c r="M27" i="20" s="1"/>
  <c r="A27" i="20"/>
  <c r="U25" i="20"/>
  <c r="W25" i="20" s="1"/>
  <c r="Y25" i="20" s="1"/>
  <c r="X24" i="20"/>
  <c r="Z23" i="20"/>
  <c r="AB23" i="20" s="1"/>
  <c r="AA23" i="20"/>
  <c r="AA24" i="20" s="1"/>
  <c r="Y13" i="9"/>
  <c r="S15" i="9"/>
  <c r="U14" i="9"/>
  <c r="W14" i="9" s="1"/>
  <c r="X14" i="9" s="1"/>
  <c r="G28" i="10"/>
  <c r="AN34" i="9"/>
  <c r="H14" i="9"/>
  <c r="K14" i="9" s="1"/>
  <c r="D20" i="9"/>
  <c r="D21" i="9"/>
  <c r="D22" i="9"/>
  <c r="D19" i="9"/>
  <c r="F37" i="3"/>
  <c r="E44"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BB28" i="23" l="1"/>
  <c r="BA28" i="23"/>
  <c r="AZ28" i="23"/>
  <c r="AQ28" i="23" s="1"/>
  <c r="N28" i="23" s="1"/>
  <c r="AY28" i="23"/>
  <c r="AX28" i="23"/>
  <c r="AW28" i="23"/>
  <c r="AV28" i="23"/>
  <c r="AU28" i="23"/>
  <c r="AT28" i="23"/>
  <c r="X25" i="23"/>
  <c r="Z24" i="23"/>
  <c r="AB24" i="23" s="1"/>
  <c r="S27" i="23"/>
  <c r="T27" i="23"/>
  <c r="E27" i="23" s="1"/>
  <c r="H27" i="23" s="1"/>
  <c r="K27" i="23" s="1"/>
  <c r="I27" i="23"/>
  <c r="Q27" i="23" s="1"/>
  <c r="R27" i="23" s="1"/>
  <c r="B29" i="23"/>
  <c r="BG28" i="23"/>
  <c r="BD28" i="23" s="1"/>
  <c r="AS28" i="23"/>
  <c r="AP28" i="23" s="1"/>
  <c r="V28" i="23"/>
  <c r="G28" i="23"/>
  <c r="J28" i="23" s="1"/>
  <c r="F28" i="23"/>
  <c r="L28" i="23" s="1"/>
  <c r="M28" i="23" s="1"/>
  <c r="A28" i="23"/>
  <c r="U26" i="23"/>
  <c r="W26" i="23" s="1"/>
  <c r="Y26" i="23" s="1"/>
  <c r="BB28" i="22"/>
  <c r="BA28" i="22"/>
  <c r="AZ28" i="22"/>
  <c r="AQ28" i="22" s="1"/>
  <c r="N28" i="22" s="1"/>
  <c r="AY28" i="22"/>
  <c r="AX28" i="22"/>
  <c r="AW28" i="22"/>
  <c r="AV28" i="22"/>
  <c r="AU28" i="22"/>
  <c r="AT28" i="22"/>
  <c r="X25" i="22"/>
  <c r="Z24" i="22"/>
  <c r="AB24" i="22" s="1"/>
  <c r="S27" i="22"/>
  <c r="T27" i="22"/>
  <c r="E27" i="22" s="1"/>
  <c r="H27" i="22" s="1"/>
  <c r="K27" i="22" s="1"/>
  <c r="I27" i="22"/>
  <c r="Q27" i="22" s="1"/>
  <c r="R27" i="22" s="1"/>
  <c r="B29" i="22"/>
  <c r="BG28" i="22"/>
  <c r="BD28" i="22" s="1"/>
  <c r="AS28" i="22"/>
  <c r="AP28" i="22" s="1"/>
  <c r="V28" i="22"/>
  <c r="G28" i="22"/>
  <c r="J28" i="22" s="1"/>
  <c r="F28" i="22"/>
  <c r="L28" i="22" s="1"/>
  <c r="M28" i="22" s="1"/>
  <c r="A28" i="22"/>
  <c r="U26" i="22"/>
  <c r="W26" i="22" s="1"/>
  <c r="Y26" i="22" s="1"/>
  <c r="BB28" i="21"/>
  <c r="BA28" i="21"/>
  <c r="AZ28" i="21"/>
  <c r="AQ28" i="21" s="1"/>
  <c r="N28" i="21" s="1"/>
  <c r="AY28" i="21"/>
  <c r="AX28" i="21"/>
  <c r="AW28" i="21"/>
  <c r="AV28" i="21"/>
  <c r="AU28" i="21"/>
  <c r="AT28" i="21"/>
  <c r="X25" i="21"/>
  <c r="Z24" i="21"/>
  <c r="AB24" i="21" s="1"/>
  <c r="S27" i="21"/>
  <c r="T27" i="21"/>
  <c r="E27" i="21" s="1"/>
  <c r="H27" i="21" s="1"/>
  <c r="K27" i="21" s="1"/>
  <c r="I27" i="21"/>
  <c r="Q27" i="21" s="1"/>
  <c r="R27" i="21" s="1"/>
  <c r="B29" i="21"/>
  <c r="BG28" i="21"/>
  <c r="BD28" i="21" s="1"/>
  <c r="AS28" i="21"/>
  <c r="AP28" i="21" s="1"/>
  <c r="V28" i="21"/>
  <c r="G28" i="21"/>
  <c r="J28" i="21" s="1"/>
  <c r="F28" i="21"/>
  <c r="L28" i="21" s="1"/>
  <c r="M28" i="21" s="1"/>
  <c r="A28" i="21"/>
  <c r="U26" i="21"/>
  <c r="W26" i="21" s="1"/>
  <c r="Y26" i="21" s="1"/>
  <c r="BB28" i="20"/>
  <c r="BA28" i="20"/>
  <c r="AZ28" i="20"/>
  <c r="AQ28" i="20" s="1"/>
  <c r="N28" i="20" s="1"/>
  <c r="AY28" i="20"/>
  <c r="AX28" i="20"/>
  <c r="AW28" i="20"/>
  <c r="AV28" i="20"/>
  <c r="AU28" i="20"/>
  <c r="AT28" i="20"/>
  <c r="X25" i="20"/>
  <c r="Z24" i="20"/>
  <c r="AB24" i="20" s="1"/>
  <c r="S27" i="20"/>
  <c r="T27" i="20"/>
  <c r="E27" i="20" s="1"/>
  <c r="H27" i="20" s="1"/>
  <c r="K27" i="20" s="1"/>
  <c r="I27" i="20"/>
  <c r="Q27" i="20" s="1"/>
  <c r="R27" i="20" s="1"/>
  <c r="B29" i="20"/>
  <c r="BG28" i="20"/>
  <c r="BD28" i="20" s="1"/>
  <c r="AS28" i="20"/>
  <c r="AP28" i="20" s="1"/>
  <c r="V28" i="20"/>
  <c r="G28" i="20"/>
  <c r="J28" i="20" s="1"/>
  <c r="F28" i="20"/>
  <c r="L28" i="20" s="1"/>
  <c r="M28" i="20" s="1"/>
  <c r="A28" i="20"/>
  <c r="U26" i="20"/>
  <c r="W26" i="20" s="1"/>
  <c r="Y26" i="20" s="1"/>
  <c r="A16" i="9"/>
  <c r="T16" i="9" s="1"/>
  <c r="G29" i="10"/>
  <c r="AN35" i="9"/>
  <c r="Q14" i="9"/>
  <c r="D24" i="9"/>
  <c r="D23" i="9"/>
  <c r="G37" i="3"/>
  <c r="G44" i="3" s="1"/>
  <c r="F44"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BB29" i="23" l="1"/>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V29" i="23"/>
  <c r="G29" i="23"/>
  <c r="J29" i="23" s="1"/>
  <c r="F29" i="23"/>
  <c r="L29" i="23" s="1"/>
  <c r="M29" i="23" s="1"/>
  <c r="A29" i="23"/>
  <c r="U27" i="23"/>
  <c r="W27" i="23" s="1"/>
  <c r="Y27" i="23" s="1"/>
  <c r="X26" i="23"/>
  <c r="Z25" i="23"/>
  <c r="AB25" i="23" s="1"/>
  <c r="AA25" i="23"/>
  <c r="AA26" i="23" s="1"/>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V29" i="22"/>
  <c r="G29" i="22"/>
  <c r="J29" i="22" s="1"/>
  <c r="F29" i="22"/>
  <c r="L29" i="22" s="1"/>
  <c r="M29" i="22" s="1"/>
  <c r="A29" i="22"/>
  <c r="U27" i="22"/>
  <c r="W27" i="22" s="1"/>
  <c r="Y27" i="22" s="1"/>
  <c r="X26" i="22"/>
  <c r="Z25" i="22"/>
  <c r="AB25" i="22" s="1"/>
  <c r="AA25" i="22"/>
  <c r="AA26" i="22" s="1"/>
  <c r="BB29" i="21"/>
  <c r="BA29" i="21"/>
  <c r="AZ29" i="21"/>
  <c r="AQ29" i="21" s="1"/>
  <c r="N29" i="21" s="1"/>
  <c r="AY29" i="21"/>
  <c r="AX29" i="21"/>
  <c r="AW29" i="21"/>
  <c r="AV29" i="21"/>
  <c r="AU29" i="21"/>
  <c r="AT29" i="21"/>
  <c r="S28" i="21"/>
  <c r="T28" i="21"/>
  <c r="E28" i="21" s="1"/>
  <c r="H28" i="21" s="1"/>
  <c r="K28" i="21" s="1"/>
  <c r="I28" i="21"/>
  <c r="Q28" i="21" s="1"/>
  <c r="R28" i="21" s="1"/>
  <c r="B30" i="21"/>
  <c r="BG29" i="21"/>
  <c r="BD29" i="21" s="1"/>
  <c r="AS29" i="21"/>
  <c r="AP29" i="21" s="1"/>
  <c r="V29" i="21"/>
  <c r="G29" i="21"/>
  <c r="J29" i="21" s="1"/>
  <c r="F29" i="21"/>
  <c r="L29" i="21" s="1"/>
  <c r="M29" i="21" s="1"/>
  <c r="A29" i="21"/>
  <c r="U27" i="21"/>
  <c r="W27" i="21" s="1"/>
  <c r="Y27" i="21" s="1"/>
  <c r="X26" i="21"/>
  <c r="Z25" i="21"/>
  <c r="AB25" i="21" s="1"/>
  <c r="AA25" i="21"/>
  <c r="AA26" i="21" s="1"/>
  <c r="BB29" i="20"/>
  <c r="BA29" i="20"/>
  <c r="AZ29" i="20"/>
  <c r="AQ29" i="20" s="1"/>
  <c r="N29" i="20" s="1"/>
  <c r="AY29" i="20"/>
  <c r="AX29" i="20"/>
  <c r="AW29" i="20"/>
  <c r="AV29" i="20"/>
  <c r="AU29" i="20"/>
  <c r="AT29" i="20"/>
  <c r="S28" i="20"/>
  <c r="T28" i="20"/>
  <c r="E28" i="20" s="1"/>
  <c r="H28" i="20" s="1"/>
  <c r="K28" i="20" s="1"/>
  <c r="I28" i="20"/>
  <c r="Q28" i="20" s="1"/>
  <c r="R28" i="20" s="1"/>
  <c r="B30" i="20"/>
  <c r="BG29" i="20"/>
  <c r="BD29" i="20" s="1"/>
  <c r="AS29" i="20"/>
  <c r="AP29" i="20" s="1"/>
  <c r="V29" i="20"/>
  <c r="G29" i="20"/>
  <c r="J29" i="20" s="1"/>
  <c r="F29" i="20"/>
  <c r="L29" i="20" s="1"/>
  <c r="M29" i="20" s="1"/>
  <c r="A29" i="20"/>
  <c r="U27" i="20"/>
  <c r="W27" i="20" s="1"/>
  <c r="Y27" i="20" s="1"/>
  <c r="X26" i="20"/>
  <c r="Z25" i="20"/>
  <c r="AB25" i="20" s="1"/>
  <c r="AA25" i="20"/>
  <c r="AA26" i="20" s="1"/>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BB30" i="23" l="1"/>
  <c r="BA30" i="23"/>
  <c r="AZ30" i="23"/>
  <c r="AQ30" i="23" s="1"/>
  <c r="N30" i="23" s="1"/>
  <c r="AY30" i="23"/>
  <c r="AX30" i="23"/>
  <c r="AW30" i="23"/>
  <c r="AV30" i="23"/>
  <c r="AU30" i="23"/>
  <c r="AT30" i="23"/>
  <c r="X27" i="23"/>
  <c r="Z26" i="23"/>
  <c r="AB26" i="23" s="1"/>
  <c r="S29" i="23"/>
  <c r="T29" i="23"/>
  <c r="E29" i="23" s="1"/>
  <c r="H29" i="23" s="1"/>
  <c r="K29" i="23" s="1"/>
  <c r="I29" i="23"/>
  <c r="Q29" i="23" s="1"/>
  <c r="R29" i="23" s="1"/>
  <c r="B31" i="23"/>
  <c r="BG30" i="23"/>
  <c r="BD30" i="23" s="1"/>
  <c r="AS30" i="23"/>
  <c r="AP30" i="23" s="1"/>
  <c r="V30" i="23"/>
  <c r="G30" i="23"/>
  <c r="J30" i="23" s="1"/>
  <c r="F30" i="23"/>
  <c r="L30" i="23" s="1"/>
  <c r="M30" i="23" s="1"/>
  <c r="A30" i="23"/>
  <c r="U28" i="23"/>
  <c r="W28" i="23" s="1"/>
  <c r="Y28" i="23" s="1"/>
  <c r="BB30" i="22"/>
  <c r="BA30" i="22"/>
  <c r="AZ30" i="22"/>
  <c r="AQ30" i="22" s="1"/>
  <c r="N30" i="22" s="1"/>
  <c r="AY30" i="22"/>
  <c r="AX30" i="22"/>
  <c r="AW30" i="22"/>
  <c r="AV30" i="22"/>
  <c r="AU30" i="22"/>
  <c r="AT30" i="22"/>
  <c r="X27" i="22"/>
  <c r="Z26" i="22"/>
  <c r="AB26" i="22" s="1"/>
  <c r="S29" i="22"/>
  <c r="T29" i="22"/>
  <c r="E29" i="22" s="1"/>
  <c r="H29" i="22" s="1"/>
  <c r="K29" i="22" s="1"/>
  <c r="I29" i="22"/>
  <c r="Q29" i="22" s="1"/>
  <c r="R29" i="22" s="1"/>
  <c r="B31" i="22"/>
  <c r="BG30" i="22"/>
  <c r="BD30" i="22" s="1"/>
  <c r="AS30" i="22"/>
  <c r="AP30" i="22" s="1"/>
  <c r="V30" i="22"/>
  <c r="G30" i="22"/>
  <c r="J30" i="22" s="1"/>
  <c r="F30" i="22"/>
  <c r="L30" i="22" s="1"/>
  <c r="M30" i="22" s="1"/>
  <c r="A30" i="22"/>
  <c r="U28" i="22"/>
  <c r="W28" i="22" s="1"/>
  <c r="Y28" i="22" s="1"/>
  <c r="BB30" i="21"/>
  <c r="BA30" i="21"/>
  <c r="AZ30" i="21"/>
  <c r="AQ30" i="21" s="1"/>
  <c r="N30" i="21" s="1"/>
  <c r="AY30" i="21"/>
  <c r="AX30" i="21"/>
  <c r="AW30" i="21"/>
  <c r="AV30" i="21"/>
  <c r="AU30" i="21"/>
  <c r="AT30" i="21"/>
  <c r="X27" i="21"/>
  <c r="Z26" i="21"/>
  <c r="AB26" i="21" s="1"/>
  <c r="S29" i="21"/>
  <c r="T29" i="21"/>
  <c r="E29" i="21" s="1"/>
  <c r="H29" i="21" s="1"/>
  <c r="K29" i="21" s="1"/>
  <c r="I29" i="21"/>
  <c r="Q29" i="21" s="1"/>
  <c r="R29" i="21" s="1"/>
  <c r="B31" i="21"/>
  <c r="BG30" i="21"/>
  <c r="BD30" i="21" s="1"/>
  <c r="AS30" i="21"/>
  <c r="AP30" i="21" s="1"/>
  <c r="V30" i="21"/>
  <c r="G30" i="21"/>
  <c r="J30" i="21" s="1"/>
  <c r="F30" i="21"/>
  <c r="L30" i="21" s="1"/>
  <c r="M30" i="21" s="1"/>
  <c r="A30" i="21"/>
  <c r="U28" i="21"/>
  <c r="W28" i="21" s="1"/>
  <c r="Y28" i="21" s="1"/>
  <c r="BB30" i="20"/>
  <c r="BA30" i="20"/>
  <c r="AZ30" i="20"/>
  <c r="AQ30" i="20" s="1"/>
  <c r="N30" i="20" s="1"/>
  <c r="AY30" i="20"/>
  <c r="AX30" i="20"/>
  <c r="AW30" i="20"/>
  <c r="AV30" i="20"/>
  <c r="AU30" i="20"/>
  <c r="AT30" i="20"/>
  <c r="X27" i="20"/>
  <c r="Z26" i="20"/>
  <c r="AB26" i="20" s="1"/>
  <c r="S29" i="20"/>
  <c r="T29" i="20"/>
  <c r="E29" i="20" s="1"/>
  <c r="H29" i="20" s="1"/>
  <c r="K29" i="20" s="1"/>
  <c r="I29" i="20"/>
  <c r="Q29" i="20" s="1"/>
  <c r="R29" i="20" s="1"/>
  <c r="B31" i="20"/>
  <c r="BG30" i="20"/>
  <c r="BD30" i="20" s="1"/>
  <c r="AS30" i="20"/>
  <c r="AP30" i="20" s="1"/>
  <c r="V30" i="20"/>
  <c r="G30" i="20"/>
  <c r="J30" i="20" s="1"/>
  <c r="F30" i="20"/>
  <c r="L30" i="20" s="1"/>
  <c r="M30" i="20" s="1"/>
  <c r="A30" i="20"/>
  <c r="U28" i="20"/>
  <c r="W28" i="20" s="1"/>
  <c r="Y28" i="20" s="1"/>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BB31" i="23" l="1"/>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V31" i="23"/>
  <c r="G31" i="23"/>
  <c r="J31" i="23" s="1"/>
  <c r="F31" i="23"/>
  <c r="L31" i="23" s="1"/>
  <c r="M31" i="23" s="1"/>
  <c r="A31" i="23"/>
  <c r="U29" i="23"/>
  <c r="W29" i="23" s="1"/>
  <c r="Y29" i="23" s="1"/>
  <c r="X28" i="23"/>
  <c r="Z27" i="23"/>
  <c r="AB27" i="23" s="1"/>
  <c r="AA27" i="23"/>
  <c r="AA28" i="23" s="1"/>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V31" i="22"/>
  <c r="G31" i="22"/>
  <c r="J31" i="22" s="1"/>
  <c r="F31" i="22"/>
  <c r="L31" i="22" s="1"/>
  <c r="M31" i="22" s="1"/>
  <c r="A31" i="22"/>
  <c r="U29" i="22"/>
  <c r="W29" i="22" s="1"/>
  <c r="Y29" i="22" s="1"/>
  <c r="X28" i="22"/>
  <c r="Z27" i="22"/>
  <c r="AB27" i="22" s="1"/>
  <c r="AA27" i="22"/>
  <c r="AA28" i="22" s="1"/>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V31" i="21"/>
  <c r="G31" i="21"/>
  <c r="J31" i="21" s="1"/>
  <c r="F31" i="21"/>
  <c r="L31" i="21" s="1"/>
  <c r="M31" i="21" s="1"/>
  <c r="A31" i="21"/>
  <c r="U29" i="21"/>
  <c r="W29" i="21" s="1"/>
  <c r="Y29" i="21" s="1"/>
  <c r="X28" i="21"/>
  <c r="Z27" i="21"/>
  <c r="AB27" i="21" s="1"/>
  <c r="AA27" i="21"/>
  <c r="AA28" i="21" s="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V31" i="20"/>
  <c r="G31" i="20"/>
  <c r="J31" i="20" s="1"/>
  <c r="F31" i="20"/>
  <c r="L31" i="20" s="1"/>
  <c r="M31" i="20" s="1"/>
  <c r="A31" i="20"/>
  <c r="U29" i="20"/>
  <c r="W29" i="20" s="1"/>
  <c r="Y29" i="20" s="1"/>
  <c r="X28" i="20"/>
  <c r="Z27" i="20"/>
  <c r="AB27" i="20" s="1"/>
  <c r="AA27" i="20"/>
  <c r="AA28" i="20" s="1"/>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BB32" i="23" l="1"/>
  <c r="BA32" i="23"/>
  <c r="AZ32" i="23"/>
  <c r="AQ32" i="23" s="1"/>
  <c r="N32" i="23" s="1"/>
  <c r="AY32" i="23"/>
  <c r="AX32" i="23"/>
  <c r="AW32" i="23"/>
  <c r="AV32" i="23"/>
  <c r="AU32" i="23"/>
  <c r="AT32" i="23"/>
  <c r="X29" i="23"/>
  <c r="Z28" i="23"/>
  <c r="AB28" i="23" s="1"/>
  <c r="S31" i="23"/>
  <c r="T31" i="23"/>
  <c r="E31" i="23" s="1"/>
  <c r="H31" i="23" s="1"/>
  <c r="K31" i="23" s="1"/>
  <c r="I31" i="23"/>
  <c r="Q31" i="23" s="1"/>
  <c r="R31" i="23" s="1"/>
  <c r="B33" i="23"/>
  <c r="BG32" i="23"/>
  <c r="BD32" i="23" s="1"/>
  <c r="AS32" i="23"/>
  <c r="AP32" i="23" s="1"/>
  <c r="V32" i="23"/>
  <c r="G32" i="23"/>
  <c r="J32" i="23" s="1"/>
  <c r="F32" i="23"/>
  <c r="L32" i="23" s="1"/>
  <c r="M32" i="23" s="1"/>
  <c r="A32" i="23"/>
  <c r="U30" i="23"/>
  <c r="W30" i="23" s="1"/>
  <c r="Y30" i="23" s="1"/>
  <c r="BB32" i="22"/>
  <c r="BA32" i="22"/>
  <c r="AZ32" i="22"/>
  <c r="AQ32" i="22" s="1"/>
  <c r="N32" i="22" s="1"/>
  <c r="AY32" i="22"/>
  <c r="AX32" i="22"/>
  <c r="AW32" i="22"/>
  <c r="AV32" i="22"/>
  <c r="AU32" i="22"/>
  <c r="AT32" i="22"/>
  <c r="X29" i="22"/>
  <c r="Z28" i="22"/>
  <c r="AB28" i="22" s="1"/>
  <c r="S31" i="22"/>
  <c r="T31" i="22"/>
  <c r="E31" i="22" s="1"/>
  <c r="H31" i="22" s="1"/>
  <c r="K31" i="22" s="1"/>
  <c r="I31" i="22"/>
  <c r="Q31" i="22" s="1"/>
  <c r="R31" i="22" s="1"/>
  <c r="B33" i="22"/>
  <c r="BG32" i="22"/>
  <c r="BD32" i="22" s="1"/>
  <c r="AS32" i="22"/>
  <c r="AP32" i="22" s="1"/>
  <c r="V32" i="22"/>
  <c r="G32" i="22"/>
  <c r="J32" i="22" s="1"/>
  <c r="F32" i="22"/>
  <c r="L32" i="22" s="1"/>
  <c r="M32" i="22" s="1"/>
  <c r="A32" i="22"/>
  <c r="U30" i="22"/>
  <c r="W30" i="22" s="1"/>
  <c r="Y30" i="22" s="1"/>
  <c r="BB32" i="21"/>
  <c r="BA32" i="21"/>
  <c r="AZ32" i="21"/>
  <c r="AQ32" i="21" s="1"/>
  <c r="N32" i="21" s="1"/>
  <c r="AY32" i="21"/>
  <c r="AX32" i="21"/>
  <c r="AW32" i="21"/>
  <c r="AV32" i="21"/>
  <c r="AU32" i="21"/>
  <c r="AT32" i="21"/>
  <c r="X29" i="21"/>
  <c r="Z28" i="21"/>
  <c r="AB28" i="21" s="1"/>
  <c r="S31" i="21"/>
  <c r="T31" i="21"/>
  <c r="E31" i="21" s="1"/>
  <c r="H31" i="21" s="1"/>
  <c r="K31" i="21" s="1"/>
  <c r="I31" i="21"/>
  <c r="Q31" i="21" s="1"/>
  <c r="R31" i="21" s="1"/>
  <c r="B33" i="21"/>
  <c r="BG32" i="21"/>
  <c r="BD32" i="21" s="1"/>
  <c r="AS32" i="21"/>
  <c r="AP32" i="21" s="1"/>
  <c r="V32" i="21"/>
  <c r="G32" i="21"/>
  <c r="J32" i="21" s="1"/>
  <c r="F32" i="21"/>
  <c r="L32" i="21" s="1"/>
  <c r="M32" i="21" s="1"/>
  <c r="A32" i="21"/>
  <c r="U30" i="21"/>
  <c r="W30" i="21" s="1"/>
  <c r="Y30" i="21" s="1"/>
  <c r="BB32" i="20"/>
  <c r="BA32" i="20"/>
  <c r="AZ32" i="20"/>
  <c r="AQ32" i="20" s="1"/>
  <c r="N32" i="20" s="1"/>
  <c r="AY32" i="20"/>
  <c r="AX32" i="20"/>
  <c r="AW32" i="20"/>
  <c r="AV32" i="20"/>
  <c r="AU32" i="20"/>
  <c r="AT32" i="20"/>
  <c r="X29" i="20"/>
  <c r="Z28" i="20"/>
  <c r="AB28" i="20" s="1"/>
  <c r="S31" i="20"/>
  <c r="T31" i="20"/>
  <c r="E31" i="20" s="1"/>
  <c r="H31" i="20" s="1"/>
  <c r="K31" i="20" s="1"/>
  <c r="I31" i="20"/>
  <c r="Q31" i="20" s="1"/>
  <c r="R31" i="20" s="1"/>
  <c r="B33" i="20"/>
  <c r="BG32" i="20"/>
  <c r="BD32" i="20" s="1"/>
  <c r="AS32" i="20"/>
  <c r="AP32" i="20" s="1"/>
  <c r="V32" i="20"/>
  <c r="G32" i="20"/>
  <c r="J32" i="20" s="1"/>
  <c r="F32" i="20"/>
  <c r="L32" i="20" s="1"/>
  <c r="M32" i="20" s="1"/>
  <c r="A32" i="20"/>
  <c r="U30" i="20"/>
  <c r="W30" i="20" s="1"/>
  <c r="Y30" i="20" s="1"/>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BB33" i="23" l="1"/>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V33" i="23"/>
  <c r="G33" i="23"/>
  <c r="J33" i="23" s="1"/>
  <c r="F33" i="23"/>
  <c r="L33" i="23" s="1"/>
  <c r="M33" i="23" s="1"/>
  <c r="A33" i="23"/>
  <c r="U31" i="23"/>
  <c r="W31" i="23" s="1"/>
  <c r="Y31" i="23" s="1"/>
  <c r="X30" i="23"/>
  <c r="Z29" i="23"/>
  <c r="AB29" i="23" s="1"/>
  <c r="AA29" i="23"/>
  <c r="AA30" i="23" s="1"/>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V33" i="22"/>
  <c r="G33" i="22"/>
  <c r="J33" i="22" s="1"/>
  <c r="F33" i="22"/>
  <c r="L33" i="22" s="1"/>
  <c r="M33" i="22" s="1"/>
  <c r="A33" i="22"/>
  <c r="U31" i="22"/>
  <c r="W31" i="22" s="1"/>
  <c r="Y31" i="22" s="1"/>
  <c r="X30" i="22"/>
  <c r="Z29" i="22"/>
  <c r="AB29" i="22" s="1"/>
  <c r="AA29" i="22"/>
  <c r="AA30" i="22" s="1"/>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V33" i="21"/>
  <c r="G33" i="21"/>
  <c r="J33" i="21" s="1"/>
  <c r="F33" i="21"/>
  <c r="L33" i="21" s="1"/>
  <c r="M33" i="21" s="1"/>
  <c r="A33" i="21"/>
  <c r="U31" i="21"/>
  <c r="W31" i="21" s="1"/>
  <c r="Y31" i="21" s="1"/>
  <c r="X30" i="21"/>
  <c r="Z29" i="21"/>
  <c r="AB29" i="21" s="1"/>
  <c r="AA29" i="21"/>
  <c r="AA30" i="21" s="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V33" i="20"/>
  <c r="G33" i="20"/>
  <c r="J33" i="20" s="1"/>
  <c r="F33" i="20"/>
  <c r="L33" i="20" s="1"/>
  <c r="M33" i="20" s="1"/>
  <c r="A33" i="20"/>
  <c r="U31" i="20"/>
  <c r="W31" i="20" s="1"/>
  <c r="Y31" i="20" s="1"/>
  <c r="X30" i="20"/>
  <c r="Z29" i="20"/>
  <c r="AB29" i="20" s="1"/>
  <c r="AA29" i="20"/>
  <c r="AA30" i="20" s="1"/>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BB34" i="23" l="1"/>
  <c r="BA34" i="23"/>
  <c r="AZ34" i="23"/>
  <c r="AQ34" i="23" s="1"/>
  <c r="N34" i="23" s="1"/>
  <c r="AY34" i="23"/>
  <c r="AX34" i="23"/>
  <c r="AW34" i="23"/>
  <c r="AV34" i="23"/>
  <c r="AU34" i="23"/>
  <c r="AT34" i="23"/>
  <c r="X31" i="23"/>
  <c r="Z30" i="23"/>
  <c r="AB30" i="23" s="1"/>
  <c r="S33" i="23"/>
  <c r="T33" i="23"/>
  <c r="E33" i="23" s="1"/>
  <c r="H33" i="23" s="1"/>
  <c r="K33" i="23" s="1"/>
  <c r="I33" i="23"/>
  <c r="Q33" i="23" s="1"/>
  <c r="R33" i="23" s="1"/>
  <c r="B35" i="23"/>
  <c r="BG34" i="23"/>
  <c r="BD34" i="23" s="1"/>
  <c r="AS34" i="23"/>
  <c r="AP34" i="23" s="1"/>
  <c r="V34" i="23"/>
  <c r="G34" i="23"/>
  <c r="J34" i="23" s="1"/>
  <c r="F34" i="23"/>
  <c r="L34" i="23" s="1"/>
  <c r="M34" i="23" s="1"/>
  <c r="A34" i="23"/>
  <c r="U32" i="23"/>
  <c r="W32" i="23" s="1"/>
  <c r="Y32" i="23" s="1"/>
  <c r="BB34" i="22"/>
  <c r="BA34" i="22"/>
  <c r="AZ34" i="22"/>
  <c r="AQ34" i="22" s="1"/>
  <c r="N34" i="22" s="1"/>
  <c r="AY34" i="22"/>
  <c r="AX34" i="22"/>
  <c r="AW34" i="22"/>
  <c r="AV34" i="22"/>
  <c r="AU34" i="22"/>
  <c r="AT34" i="22"/>
  <c r="X31" i="22"/>
  <c r="Z30" i="22"/>
  <c r="AB30" i="22" s="1"/>
  <c r="S33" i="22"/>
  <c r="T33" i="22"/>
  <c r="E33" i="22" s="1"/>
  <c r="H33" i="22" s="1"/>
  <c r="K33" i="22" s="1"/>
  <c r="I33" i="22"/>
  <c r="Q33" i="22" s="1"/>
  <c r="R33" i="22" s="1"/>
  <c r="B35" i="22"/>
  <c r="BG34" i="22"/>
  <c r="BD34" i="22" s="1"/>
  <c r="AS34" i="22"/>
  <c r="AP34" i="22" s="1"/>
  <c r="V34" i="22"/>
  <c r="G34" i="22"/>
  <c r="J34" i="22" s="1"/>
  <c r="F34" i="22"/>
  <c r="L34" i="22" s="1"/>
  <c r="M34" i="22" s="1"/>
  <c r="A34" i="22"/>
  <c r="U32" i="22"/>
  <c r="W32" i="22" s="1"/>
  <c r="Y32" i="22" s="1"/>
  <c r="BB34" i="21"/>
  <c r="BA34" i="21"/>
  <c r="AZ34" i="21"/>
  <c r="AQ34" i="21" s="1"/>
  <c r="N34" i="21" s="1"/>
  <c r="AY34" i="21"/>
  <c r="AX34" i="21"/>
  <c r="AW34" i="21"/>
  <c r="AV34" i="21"/>
  <c r="AU34" i="21"/>
  <c r="AT34" i="21"/>
  <c r="X31" i="21"/>
  <c r="Z30" i="21"/>
  <c r="AB30" i="21" s="1"/>
  <c r="S33" i="21"/>
  <c r="T33" i="21"/>
  <c r="E33" i="21" s="1"/>
  <c r="H33" i="21" s="1"/>
  <c r="K33" i="21" s="1"/>
  <c r="I33" i="21"/>
  <c r="Q33" i="21" s="1"/>
  <c r="R33" i="21" s="1"/>
  <c r="B35" i="21"/>
  <c r="BG34" i="21"/>
  <c r="BD34" i="21" s="1"/>
  <c r="AS34" i="21"/>
  <c r="AP34" i="21" s="1"/>
  <c r="V34" i="21"/>
  <c r="G34" i="21"/>
  <c r="J34" i="21" s="1"/>
  <c r="F34" i="21"/>
  <c r="L34" i="21" s="1"/>
  <c r="M34" i="21" s="1"/>
  <c r="A34" i="21"/>
  <c r="U32" i="21"/>
  <c r="W32" i="21" s="1"/>
  <c r="Y32" i="21" s="1"/>
  <c r="BB34" i="20"/>
  <c r="BA34" i="20"/>
  <c r="AZ34" i="20"/>
  <c r="AQ34" i="20" s="1"/>
  <c r="N34" i="20" s="1"/>
  <c r="AY34" i="20"/>
  <c r="AX34" i="20"/>
  <c r="AW34" i="20"/>
  <c r="AV34" i="20"/>
  <c r="AU34" i="20"/>
  <c r="AT34" i="20"/>
  <c r="X31" i="20"/>
  <c r="Z30" i="20"/>
  <c r="AB30" i="20" s="1"/>
  <c r="S33" i="20"/>
  <c r="T33" i="20"/>
  <c r="E33" i="20" s="1"/>
  <c r="H33" i="20" s="1"/>
  <c r="K33" i="20" s="1"/>
  <c r="I33" i="20"/>
  <c r="Q33" i="20" s="1"/>
  <c r="R33" i="20" s="1"/>
  <c r="B35" i="20"/>
  <c r="BG34" i="20"/>
  <c r="BD34" i="20" s="1"/>
  <c r="AS34" i="20"/>
  <c r="AP34" i="20" s="1"/>
  <c r="V34" i="20"/>
  <c r="G34" i="20"/>
  <c r="J34" i="20" s="1"/>
  <c r="F34" i="20"/>
  <c r="L34" i="20" s="1"/>
  <c r="M34" i="20" s="1"/>
  <c r="A34" i="20"/>
  <c r="U32" i="20"/>
  <c r="W32" i="20" s="1"/>
  <c r="Y32" i="20" s="1"/>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BB35" i="23" l="1"/>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V35" i="23"/>
  <c r="G35" i="23"/>
  <c r="J35" i="23" s="1"/>
  <c r="F35" i="23"/>
  <c r="L35" i="23" s="1"/>
  <c r="M35" i="23" s="1"/>
  <c r="A35" i="23"/>
  <c r="U33" i="23"/>
  <c r="W33" i="23" s="1"/>
  <c r="Y33" i="23" s="1"/>
  <c r="X32" i="23"/>
  <c r="Z31" i="23"/>
  <c r="AB31" i="23" s="1"/>
  <c r="AA31" i="23"/>
  <c r="AA32" i="23" s="1"/>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V35" i="22"/>
  <c r="G35" i="22"/>
  <c r="J35" i="22" s="1"/>
  <c r="F35" i="22"/>
  <c r="L35" i="22" s="1"/>
  <c r="M35" i="22" s="1"/>
  <c r="A35" i="22"/>
  <c r="U33" i="22"/>
  <c r="W33" i="22" s="1"/>
  <c r="Y33" i="22" s="1"/>
  <c r="X32" i="22"/>
  <c r="Z31" i="22"/>
  <c r="AB31" i="22" s="1"/>
  <c r="AA31" i="22"/>
  <c r="AA32" i="22" s="1"/>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V35" i="21"/>
  <c r="G35" i="21"/>
  <c r="J35" i="21" s="1"/>
  <c r="F35" i="21"/>
  <c r="L35" i="21" s="1"/>
  <c r="M35" i="21" s="1"/>
  <c r="A35" i="21"/>
  <c r="U33" i="21"/>
  <c r="W33" i="21" s="1"/>
  <c r="Y33" i="21" s="1"/>
  <c r="X32" i="21"/>
  <c r="Z31" i="21"/>
  <c r="AB31" i="21" s="1"/>
  <c r="AA31" i="21"/>
  <c r="AA32" i="21" s="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V35" i="20"/>
  <c r="G35" i="20"/>
  <c r="J35" i="20" s="1"/>
  <c r="F35" i="20"/>
  <c r="L35" i="20" s="1"/>
  <c r="M35" i="20" s="1"/>
  <c r="A35" i="20"/>
  <c r="U33" i="20"/>
  <c r="W33" i="20" s="1"/>
  <c r="Y33" i="20" s="1"/>
  <c r="X32" i="20"/>
  <c r="Z31" i="20"/>
  <c r="AB31" i="20" s="1"/>
  <c r="AA31" i="20"/>
  <c r="AA32" i="20" s="1"/>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BB36" i="23" l="1"/>
  <c r="BA36" i="23"/>
  <c r="AZ36" i="23"/>
  <c r="AQ36" i="23" s="1"/>
  <c r="N36" i="23" s="1"/>
  <c r="AY36" i="23"/>
  <c r="AX36" i="23"/>
  <c r="AW36" i="23"/>
  <c r="AV36" i="23"/>
  <c r="AU36" i="23"/>
  <c r="AT36" i="23"/>
  <c r="X33" i="23"/>
  <c r="Z32" i="23"/>
  <c r="AB32" i="23" s="1"/>
  <c r="S35" i="23"/>
  <c r="T35" i="23"/>
  <c r="E35" i="23" s="1"/>
  <c r="H35" i="23" s="1"/>
  <c r="K35" i="23" s="1"/>
  <c r="I35" i="23"/>
  <c r="Q35" i="23" s="1"/>
  <c r="R35" i="23" s="1"/>
  <c r="B37" i="23"/>
  <c r="BG36" i="23"/>
  <c r="BD36" i="23" s="1"/>
  <c r="AS36" i="23"/>
  <c r="AP36" i="23" s="1"/>
  <c r="V36" i="23"/>
  <c r="G36" i="23"/>
  <c r="J36" i="23" s="1"/>
  <c r="F36" i="23"/>
  <c r="L36" i="23" s="1"/>
  <c r="M36" i="23" s="1"/>
  <c r="A36" i="23"/>
  <c r="U34" i="23"/>
  <c r="W34" i="23" s="1"/>
  <c r="Y34" i="23" s="1"/>
  <c r="BB36" i="22"/>
  <c r="BA36" i="22"/>
  <c r="AZ36" i="22"/>
  <c r="AQ36" i="22" s="1"/>
  <c r="N36" i="22" s="1"/>
  <c r="AY36" i="22"/>
  <c r="AX36" i="22"/>
  <c r="AW36" i="22"/>
  <c r="AV36" i="22"/>
  <c r="AU36" i="22"/>
  <c r="AT36" i="22"/>
  <c r="X33" i="22"/>
  <c r="Z32" i="22"/>
  <c r="AB32" i="22" s="1"/>
  <c r="S35" i="22"/>
  <c r="T35" i="22"/>
  <c r="E35" i="22" s="1"/>
  <c r="H35" i="22" s="1"/>
  <c r="K35" i="22" s="1"/>
  <c r="I35" i="22"/>
  <c r="Q35" i="22" s="1"/>
  <c r="R35" i="22" s="1"/>
  <c r="B37" i="22"/>
  <c r="BG36" i="22"/>
  <c r="BD36" i="22" s="1"/>
  <c r="AS36" i="22"/>
  <c r="AP36" i="22" s="1"/>
  <c r="V36" i="22"/>
  <c r="G36" i="22"/>
  <c r="J36" i="22" s="1"/>
  <c r="F36" i="22"/>
  <c r="L36" i="22" s="1"/>
  <c r="M36" i="22" s="1"/>
  <c r="A36" i="22"/>
  <c r="U34" i="22"/>
  <c r="W34" i="22" s="1"/>
  <c r="Y34" i="22" s="1"/>
  <c r="BB36" i="21"/>
  <c r="BA36" i="21"/>
  <c r="AZ36" i="21"/>
  <c r="AQ36" i="21" s="1"/>
  <c r="N36" i="21" s="1"/>
  <c r="AY36" i="21"/>
  <c r="AX36" i="21"/>
  <c r="AW36" i="21"/>
  <c r="AV36" i="21"/>
  <c r="AU36" i="21"/>
  <c r="AT36" i="21"/>
  <c r="X33" i="21"/>
  <c r="Z32" i="21"/>
  <c r="AB32" i="21" s="1"/>
  <c r="S35" i="21"/>
  <c r="T35" i="21"/>
  <c r="E35" i="21" s="1"/>
  <c r="H35" i="21" s="1"/>
  <c r="K35" i="21" s="1"/>
  <c r="I35" i="21"/>
  <c r="Q35" i="21" s="1"/>
  <c r="R35" i="21" s="1"/>
  <c r="B37" i="21"/>
  <c r="BG36" i="21"/>
  <c r="BD36" i="21" s="1"/>
  <c r="AS36" i="21"/>
  <c r="AP36" i="21" s="1"/>
  <c r="V36" i="21"/>
  <c r="G36" i="21"/>
  <c r="J36" i="21" s="1"/>
  <c r="F36" i="21"/>
  <c r="L36" i="21" s="1"/>
  <c r="M36" i="21" s="1"/>
  <c r="A36" i="21"/>
  <c r="U34" i="21"/>
  <c r="W34" i="21" s="1"/>
  <c r="Y34" i="21" s="1"/>
  <c r="BB36" i="20"/>
  <c r="BA36" i="20"/>
  <c r="AZ36" i="20"/>
  <c r="AQ36" i="20" s="1"/>
  <c r="N36" i="20" s="1"/>
  <c r="AY36" i="20"/>
  <c r="AX36" i="20"/>
  <c r="AW36" i="20"/>
  <c r="AV36" i="20"/>
  <c r="AU36" i="20"/>
  <c r="AT36" i="20"/>
  <c r="X33" i="20"/>
  <c r="Z32" i="20"/>
  <c r="AB32" i="20" s="1"/>
  <c r="S35" i="20"/>
  <c r="T35" i="20"/>
  <c r="E35" i="20" s="1"/>
  <c r="H35" i="20" s="1"/>
  <c r="K35" i="20" s="1"/>
  <c r="I35" i="20"/>
  <c r="Q35" i="20" s="1"/>
  <c r="R35" i="20" s="1"/>
  <c r="B37" i="20"/>
  <c r="BG36" i="20"/>
  <c r="BD36" i="20" s="1"/>
  <c r="AS36" i="20"/>
  <c r="AP36" i="20" s="1"/>
  <c r="V36" i="20"/>
  <c r="G36" i="20"/>
  <c r="J36" i="20" s="1"/>
  <c r="F36" i="20"/>
  <c r="L36" i="20" s="1"/>
  <c r="M36" i="20" s="1"/>
  <c r="A36" i="20"/>
  <c r="U34" i="20"/>
  <c r="W34" i="20" s="1"/>
  <c r="Y34" i="20" s="1"/>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BB37" i="23" l="1"/>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V37" i="23"/>
  <c r="G37" i="23"/>
  <c r="J37" i="23" s="1"/>
  <c r="F37" i="23"/>
  <c r="L37" i="23" s="1"/>
  <c r="M37" i="23" s="1"/>
  <c r="A37" i="23"/>
  <c r="U35" i="23"/>
  <c r="W35" i="23" s="1"/>
  <c r="Y35" i="23" s="1"/>
  <c r="X34" i="23"/>
  <c r="Z33" i="23"/>
  <c r="AB33" i="23" s="1"/>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V37" i="22"/>
  <c r="G37" i="22"/>
  <c r="J37" i="22" s="1"/>
  <c r="F37" i="22"/>
  <c r="L37" i="22" s="1"/>
  <c r="M37" i="22" s="1"/>
  <c r="A37" i="22"/>
  <c r="U35" i="22"/>
  <c r="W35" i="22" s="1"/>
  <c r="Y35" i="22" s="1"/>
  <c r="X34" i="22"/>
  <c r="Z33" i="22"/>
  <c r="AB33" i="22" s="1"/>
  <c r="AA33" i="22"/>
  <c r="AA34" i="22" s="1"/>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V37" i="21"/>
  <c r="G37" i="21"/>
  <c r="J37" i="21" s="1"/>
  <c r="F37" i="21"/>
  <c r="L37" i="21" s="1"/>
  <c r="M37" i="21" s="1"/>
  <c r="A37" i="21"/>
  <c r="U35" i="21"/>
  <c r="W35" i="21" s="1"/>
  <c r="Y35" i="21" s="1"/>
  <c r="X34" i="21"/>
  <c r="Z33" i="21"/>
  <c r="AB33" i="21" s="1"/>
  <c r="AA33" i="21"/>
  <c r="AA34" i="21" s="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V37" i="20"/>
  <c r="G37" i="20"/>
  <c r="J37" i="20" s="1"/>
  <c r="F37" i="20"/>
  <c r="L37" i="20" s="1"/>
  <c r="M37" i="20" s="1"/>
  <c r="A37" i="20"/>
  <c r="U35" i="20"/>
  <c r="W35" i="20" s="1"/>
  <c r="Y35" i="20" s="1"/>
  <c r="X34" i="20"/>
  <c r="Z33" i="20"/>
  <c r="AB33" i="20" s="1"/>
  <c r="AA33" i="20"/>
  <c r="AA34" i="20" s="1"/>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BB38" i="23" l="1"/>
  <c r="BA38" i="23"/>
  <c r="AZ38" i="23"/>
  <c r="AQ38" i="23" s="1"/>
  <c r="N38" i="23" s="1"/>
  <c r="AY38" i="23"/>
  <c r="AX38" i="23"/>
  <c r="AW38" i="23"/>
  <c r="AV38" i="23"/>
  <c r="AU38" i="23"/>
  <c r="AT38" i="23"/>
  <c r="X35" i="23"/>
  <c r="Z34" i="23"/>
  <c r="AB34" i="23" s="1"/>
  <c r="S37" i="23"/>
  <c r="T37" i="23"/>
  <c r="E37" i="23" s="1"/>
  <c r="H37" i="23" s="1"/>
  <c r="K37" i="23" s="1"/>
  <c r="I37" i="23"/>
  <c r="Q37" i="23" s="1"/>
  <c r="R37" i="23" s="1"/>
  <c r="B39" i="23"/>
  <c r="BG38" i="23"/>
  <c r="BD38" i="23" s="1"/>
  <c r="AS38" i="23"/>
  <c r="AP38" i="23" s="1"/>
  <c r="V38" i="23"/>
  <c r="G38" i="23"/>
  <c r="J38" i="23" s="1"/>
  <c r="F38" i="23"/>
  <c r="L38" i="23" s="1"/>
  <c r="M38" i="23" s="1"/>
  <c r="A38" i="23"/>
  <c r="U36" i="23"/>
  <c r="W36" i="23" s="1"/>
  <c r="Y36" i="23" s="1"/>
  <c r="BB38" i="22"/>
  <c r="BA38" i="22"/>
  <c r="AZ38" i="22"/>
  <c r="AQ38" i="22" s="1"/>
  <c r="N38" i="22" s="1"/>
  <c r="AY38" i="22"/>
  <c r="AX38" i="22"/>
  <c r="AW38" i="22"/>
  <c r="AV38" i="22"/>
  <c r="AU38" i="22"/>
  <c r="AT38" i="22"/>
  <c r="X35" i="22"/>
  <c r="Z34" i="22"/>
  <c r="AB34" i="22" s="1"/>
  <c r="S37" i="22"/>
  <c r="T37" i="22"/>
  <c r="E37" i="22" s="1"/>
  <c r="H37" i="22" s="1"/>
  <c r="K37" i="22" s="1"/>
  <c r="I37" i="22"/>
  <c r="Q37" i="22" s="1"/>
  <c r="R37" i="22" s="1"/>
  <c r="B39" i="22"/>
  <c r="BG38" i="22"/>
  <c r="BD38" i="22" s="1"/>
  <c r="AS38" i="22"/>
  <c r="AP38" i="22" s="1"/>
  <c r="V38" i="22"/>
  <c r="G38" i="22"/>
  <c r="J38" i="22" s="1"/>
  <c r="F38" i="22"/>
  <c r="L38" i="22" s="1"/>
  <c r="M38" i="22" s="1"/>
  <c r="A38" i="22"/>
  <c r="U36" i="22"/>
  <c r="W36" i="22" s="1"/>
  <c r="Y36" i="22" s="1"/>
  <c r="BB38" i="21"/>
  <c r="BA38" i="21"/>
  <c r="AZ38" i="21"/>
  <c r="AQ38" i="21" s="1"/>
  <c r="N38" i="21" s="1"/>
  <c r="AY38" i="21"/>
  <c r="AX38" i="21"/>
  <c r="AW38" i="21"/>
  <c r="AV38" i="21"/>
  <c r="AU38" i="21"/>
  <c r="AT38" i="21"/>
  <c r="X35" i="21"/>
  <c r="Z34" i="21"/>
  <c r="AB34" i="21" s="1"/>
  <c r="S37" i="21"/>
  <c r="T37" i="21"/>
  <c r="E37" i="21" s="1"/>
  <c r="H37" i="21" s="1"/>
  <c r="K37" i="21" s="1"/>
  <c r="I37" i="21"/>
  <c r="Q37" i="21" s="1"/>
  <c r="R37" i="21" s="1"/>
  <c r="B39" i="21"/>
  <c r="BG38" i="21"/>
  <c r="BD38" i="21" s="1"/>
  <c r="AS38" i="21"/>
  <c r="AP38" i="21" s="1"/>
  <c r="V38" i="21"/>
  <c r="G38" i="21"/>
  <c r="J38" i="21" s="1"/>
  <c r="F38" i="21"/>
  <c r="L38" i="21" s="1"/>
  <c r="M38" i="21" s="1"/>
  <c r="A38" i="21"/>
  <c r="U36" i="21"/>
  <c r="W36" i="21" s="1"/>
  <c r="Y36" i="21" s="1"/>
  <c r="BB38" i="20"/>
  <c r="BA38" i="20"/>
  <c r="AZ38" i="20"/>
  <c r="AQ38" i="20" s="1"/>
  <c r="N38" i="20" s="1"/>
  <c r="AY38" i="20"/>
  <c r="AX38" i="20"/>
  <c r="AW38" i="20"/>
  <c r="AV38" i="20"/>
  <c r="AU38" i="20"/>
  <c r="AT38" i="20"/>
  <c r="X35" i="20"/>
  <c r="Z34" i="20"/>
  <c r="AB34" i="20" s="1"/>
  <c r="S37" i="20"/>
  <c r="T37" i="20"/>
  <c r="E37" i="20" s="1"/>
  <c r="H37" i="20" s="1"/>
  <c r="K37" i="20" s="1"/>
  <c r="I37" i="20"/>
  <c r="Q37" i="20" s="1"/>
  <c r="R37" i="20" s="1"/>
  <c r="B39" i="20"/>
  <c r="BG38" i="20"/>
  <c r="BD38" i="20" s="1"/>
  <c r="AS38" i="20"/>
  <c r="AP38" i="20" s="1"/>
  <c r="V38" i="20"/>
  <c r="G38" i="20"/>
  <c r="J38" i="20" s="1"/>
  <c r="F38" i="20"/>
  <c r="L38" i="20" s="1"/>
  <c r="M38" i="20" s="1"/>
  <c r="A38" i="20"/>
  <c r="U36" i="20"/>
  <c r="W36" i="20" s="1"/>
  <c r="Y36" i="20" s="1"/>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BB39" i="23" l="1"/>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V39" i="23"/>
  <c r="G39" i="23"/>
  <c r="J39" i="23" s="1"/>
  <c r="F39" i="23"/>
  <c r="L39" i="23" s="1"/>
  <c r="M39" i="23" s="1"/>
  <c r="A39" i="23"/>
  <c r="U37" i="23"/>
  <c r="W37" i="23" s="1"/>
  <c r="Y37" i="23" s="1"/>
  <c r="X36" i="23"/>
  <c r="Z35" i="23"/>
  <c r="AB35" i="23" s="1"/>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V39" i="22"/>
  <c r="G39" i="22"/>
  <c r="J39" i="22" s="1"/>
  <c r="F39" i="22"/>
  <c r="L39" i="22" s="1"/>
  <c r="M39" i="22" s="1"/>
  <c r="A39" i="22"/>
  <c r="U37" i="22"/>
  <c r="W37" i="22" s="1"/>
  <c r="Y37" i="22" s="1"/>
  <c r="X36" i="22"/>
  <c r="Z35" i="22"/>
  <c r="AB35" i="22" s="1"/>
  <c r="AA35" i="22"/>
  <c r="AA36" i="22" s="1"/>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V39" i="21"/>
  <c r="G39" i="21"/>
  <c r="J39" i="21" s="1"/>
  <c r="F39" i="21"/>
  <c r="L39" i="21" s="1"/>
  <c r="M39" i="21" s="1"/>
  <c r="A39" i="21"/>
  <c r="U37" i="21"/>
  <c r="W37" i="21" s="1"/>
  <c r="Y37" i="21" s="1"/>
  <c r="X36" i="21"/>
  <c r="Z35" i="21"/>
  <c r="AB35" i="21" s="1"/>
  <c r="AA35" i="21"/>
  <c r="AA36" i="21" s="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V39" i="20"/>
  <c r="G39" i="20"/>
  <c r="J39" i="20" s="1"/>
  <c r="F39" i="20"/>
  <c r="L39" i="20" s="1"/>
  <c r="M39" i="20" s="1"/>
  <c r="A39" i="20"/>
  <c r="U37" i="20"/>
  <c r="W37" i="20" s="1"/>
  <c r="Y37" i="20" s="1"/>
  <c r="X36" i="20"/>
  <c r="Z35" i="20"/>
  <c r="AB35" i="20" s="1"/>
  <c r="AA35" i="20"/>
  <c r="AA36" i="20" s="1"/>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BB40" i="23" l="1"/>
  <c r="BA40" i="23"/>
  <c r="AZ40" i="23"/>
  <c r="AQ40" i="23" s="1"/>
  <c r="N40" i="23" s="1"/>
  <c r="AY40" i="23"/>
  <c r="AX40" i="23"/>
  <c r="AW40" i="23"/>
  <c r="AV40" i="23"/>
  <c r="AU40" i="23"/>
  <c r="AT40" i="23"/>
  <c r="X37" i="23"/>
  <c r="Z36" i="23"/>
  <c r="AB36" i="23" s="1"/>
  <c r="S39" i="23"/>
  <c r="T39" i="23"/>
  <c r="E39" i="23" s="1"/>
  <c r="H39" i="23" s="1"/>
  <c r="K39" i="23" s="1"/>
  <c r="I39" i="23"/>
  <c r="Q39" i="23" s="1"/>
  <c r="R39" i="23" s="1"/>
  <c r="B41" i="23"/>
  <c r="BG40" i="23"/>
  <c r="BD40" i="23" s="1"/>
  <c r="AS40" i="23"/>
  <c r="AP40" i="23" s="1"/>
  <c r="V40" i="23"/>
  <c r="G40" i="23"/>
  <c r="J40" i="23" s="1"/>
  <c r="F40" i="23"/>
  <c r="L40" i="23" s="1"/>
  <c r="M40" i="23" s="1"/>
  <c r="A40" i="23"/>
  <c r="U38" i="23"/>
  <c r="W38" i="23" s="1"/>
  <c r="Y38" i="23" s="1"/>
  <c r="BB40" i="22"/>
  <c r="BA40" i="22"/>
  <c r="AZ40" i="22"/>
  <c r="AQ40" i="22" s="1"/>
  <c r="N40" i="22" s="1"/>
  <c r="AY40" i="22"/>
  <c r="AX40" i="22"/>
  <c r="AW40" i="22"/>
  <c r="AV40" i="22"/>
  <c r="AU40" i="22"/>
  <c r="AT40" i="22"/>
  <c r="X37" i="22"/>
  <c r="Z36" i="22"/>
  <c r="AB36" i="22" s="1"/>
  <c r="S39" i="22"/>
  <c r="T39" i="22"/>
  <c r="E39" i="22" s="1"/>
  <c r="H39" i="22" s="1"/>
  <c r="K39" i="22" s="1"/>
  <c r="I39" i="22"/>
  <c r="Q39" i="22" s="1"/>
  <c r="R39" i="22" s="1"/>
  <c r="B41" i="22"/>
  <c r="BG40" i="22"/>
  <c r="BD40" i="22" s="1"/>
  <c r="AS40" i="22"/>
  <c r="AP40" i="22" s="1"/>
  <c r="V40" i="22"/>
  <c r="G40" i="22"/>
  <c r="J40" i="22" s="1"/>
  <c r="F40" i="22"/>
  <c r="L40" i="22" s="1"/>
  <c r="M40" i="22" s="1"/>
  <c r="A40" i="22"/>
  <c r="U38" i="22"/>
  <c r="W38" i="22" s="1"/>
  <c r="Y38" i="22" s="1"/>
  <c r="BB40" i="21"/>
  <c r="BA40" i="21"/>
  <c r="AZ40" i="21"/>
  <c r="AQ40" i="21" s="1"/>
  <c r="N40" i="21" s="1"/>
  <c r="AY40" i="21"/>
  <c r="AX40" i="21"/>
  <c r="AW40" i="21"/>
  <c r="AV40" i="21"/>
  <c r="AU40" i="21"/>
  <c r="AT40" i="21"/>
  <c r="X37" i="21"/>
  <c r="Z36" i="21"/>
  <c r="AB36" i="21" s="1"/>
  <c r="S39" i="21"/>
  <c r="T39" i="21"/>
  <c r="E39" i="21" s="1"/>
  <c r="H39" i="21" s="1"/>
  <c r="K39" i="21" s="1"/>
  <c r="I39" i="21"/>
  <c r="Q39" i="21" s="1"/>
  <c r="R39" i="21" s="1"/>
  <c r="B41" i="21"/>
  <c r="BG40" i="21"/>
  <c r="BD40" i="21" s="1"/>
  <c r="AS40" i="21"/>
  <c r="AP40" i="21" s="1"/>
  <c r="V40" i="21"/>
  <c r="G40" i="21"/>
  <c r="J40" i="21" s="1"/>
  <c r="F40" i="21"/>
  <c r="L40" i="21" s="1"/>
  <c r="M40" i="21" s="1"/>
  <c r="A40" i="21"/>
  <c r="U38" i="21"/>
  <c r="W38" i="21" s="1"/>
  <c r="Y38" i="21" s="1"/>
  <c r="BB40" i="20"/>
  <c r="BA40" i="20"/>
  <c r="AZ40" i="20"/>
  <c r="AQ40" i="20" s="1"/>
  <c r="N40" i="20" s="1"/>
  <c r="AY40" i="20"/>
  <c r="AX40" i="20"/>
  <c r="AW40" i="20"/>
  <c r="AV40" i="20"/>
  <c r="AU40" i="20"/>
  <c r="AT40" i="20"/>
  <c r="X37" i="20"/>
  <c r="Z36" i="20"/>
  <c r="AB36" i="20" s="1"/>
  <c r="S39" i="20"/>
  <c r="T39" i="20"/>
  <c r="E39" i="20" s="1"/>
  <c r="H39" i="20" s="1"/>
  <c r="K39" i="20" s="1"/>
  <c r="I39" i="20"/>
  <c r="Q39" i="20" s="1"/>
  <c r="R39" i="20" s="1"/>
  <c r="B41" i="20"/>
  <c r="BG40" i="20"/>
  <c r="BD40" i="20" s="1"/>
  <c r="AS40" i="20"/>
  <c r="AP40" i="20" s="1"/>
  <c r="V40" i="20"/>
  <c r="G40" i="20"/>
  <c r="J40" i="20" s="1"/>
  <c r="F40" i="20"/>
  <c r="L40" i="20" s="1"/>
  <c r="M40" i="20" s="1"/>
  <c r="A40" i="20"/>
  <c r="U38" i="20"/>
  <c r="W38" i="20" s="1"/>
  <c r="Y38" i="20" s="1"/>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BB41" i="23" l="1"/>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V41" i="23"/>
  <c r="G41" i="23"/>
  <c r="J41" i="23" s="1"/>
  <c r="F41" i="23"/>
  <c r="L41" i="23" s="1"/>
  <c r="M41" i="23" s="1"/>
  <c r="A41" i="23"/>
  <c r="U39" i="23"/>
  <c r="W39" i="23" s="1"/>
  <c r="Y39" i="23" s="1"/>
  <c r="X38" i="23"/>
  <c r="Z37" i="23"/>
  <c r="AB37" i="23" s="1"/>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V41" i="22"/>
  <c r="G41" i="22"/>
  <c r="J41" i="22" s="1"/>
  <c r="F41" i="22"/>
  <c r="L41" i="22" s="1"/>
  <c r="M41" i="22" s="1"/>
  <c r="A41" i="22"/>
  <c r="U39" i="22"/>
  <c r="W39" i="22" s="1"/>
  <c r="Y39" i="22" s="1"/>
  <c r="X38" i="22"/>
  <c r="Z37" i="22"/>
  <c r="AB37" i="22" s="1"/>
  <c r="AA37" i="22"/>
  <c r="AA38" i="22" s="1"/>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V41" i="21"/>
  <c r="G41" i="21"/>
  <c r="J41" i="21" s="1"/>
  <c r="F41" i="21"/>
  <c r="L41" i="21" s="1"/>
  <c r="M41" i="21" s="1"/>
  <c r="A41" i="21"/>
  <c r="U39" i="21"/>
  <c r="W39" i="21" s="1"/>
  <c r="Y39" i="21" s="1"/>
  <c r="X38" i="21"/>
  <c r="Z37" i="21"/>
  <c r="AB37" i="21" s="1"/>
  <c r="AA37" i="21"/>
  <c r="AA38" i="21" s="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V41" i="20"/>
  <c r="G41" i="20"/>
  <c r="J41" i="20" s="1"/>
  <c r="F41" i="20"/>
  <c r="L41" i="20" s="1"/>
  <c r="M41" i="20" s="1"/>
  <c r="A41" i="20"/>
  <c r="U39" i="20"/>
  <c r="W39" i="20" s="1"/>
  <c r="Y39" i="20" s="1"/>
  <c r="X38" i="20"/>
  <c r="Z37" i="20"/>
  <c r="AB37" i="20" s="1"/>
  <c r="AA37" i="20"/>
  <c r="AA38" i="20" s="1"/>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BB42" i="23" l="1"/>
  <c r="BA42" i="23"/>
  <c r="AZ42" i="23"/>
  <c r="AQ42" i="23" s="1"/>
  <c r="N42" i="23" s="1"/>
  <c r="AY42" i="23"/>
  <c r="AX42" i="23"/>
  <c r="AW42" i="23"/>
  <c r="AV42" i="23"/>
  <c r="AU42" i="23"/>
  <c r="AT42" i="23"/>
  <c r="X39" i="23"/>
  <c r="Z38" i="23"/>
  <c r="AB38" i="23" s="1"/>
  <c r="S41" i="23"/>
  <c r="T41" i="23"/>
  <c r="E41" i="23" s="1"/>
  <c r="H41" i="23" s="1"/>
  <c r="K41" i="23" s="1"/>
  <c r="I41" i="23"/>
  <c r="Q41" i="23" s="1"/>
  <c r="R41" i="23" s="1"/>
  <c r="B43" i="23"/>
  <c r="BG42" i="23"/>
  <c r="BD42" i="23" s="1"/>
  <c r="AS42" i="23"/>
  <c r="AP42" i="23" s="1"/>
  <c r="V42" i="23"/>
  <c r="G42" i="23"/>
  <c r="J42" i="23" s="1"/>
  <c r="F42" i="23"/>
  <c r="L42" i="23" s="1"/>
  <c r="M42" i="23" s="1"/>
  <c r="A42" i="23"/>
  <c r="U40" i="23"/>
  <c r="W40" i="23" s="1"/>
  <c r="Y40" i="23" s="1"/>
  <c r="BB42" i="22"/>
  <c r="BA42" i="22"/>
  <c r="AZ42" i="22"/>
  <c r="AQ42" i="22" s="1"/>
  <c r="N42" i="22" s="1"/>
  <c r="AY42" i="22"/>
  <c r="AX42" i="22"/>
  <c r="AW42" i="22"/>
  <c r="AV42" i="22"/>
  <c r="AU42" i="22"/>
  <c r="AT42" i="22"/>
  <c r="X39" i="22"/>
  <c r="Z38" i="22"/>
  <c r="AB38" i="22" s="1"/>
  <c r="S41" i="22"/>
  <c r="T41" i="22"/>
  <c r="E41" i="22" s="1"/>
  <c r="H41" i="22" s="1"/>
  <c r="K41" i="22" s="1"/>
  <c r="I41" i="22"/>
  <c r="Q41" i="22" s="1"/>
  <c r="R41" i="22" s="1"/>
  <c r="B43" i="22"/>
  <c r="BG42" i="22"/>
  <c r="BD42" i="22" s="1"/>
  <c r="AS42" i="22"/>
  <c r="AP42" i="22" s="1"/>
  <c r="V42" i="22"/>
  <c r="G42" i="22"/>
  <c r="J42" i="22" s="1"/>
  <c r="F42" i="22"/>
  <c r="L42" i="22" s="1"/>
  <c r="M42" i="22" s="1"/>
  <c r="A42" i="22"/>
  <c r="U40" i="22"/>
  <c r="W40" i="22" s="1"/>
  <c r="Y40" i="22" s="1"/>
  <c r="BB42" i="21"/>
  <c r="BA42" i="21"/>
  <c r="AZ42" i="21"/>
  <c r="AQ42" i="21" s="1"/>
  <c r="N42" i="21" s="1"/>
  <c r="AY42" i="21"/>
  <c r="AX42" i="21"/>
  <c r="AW42" i="21"/>
  <c r="AV42" i="21"/>
  <c r="AU42" i="21"/>
  <c r="AT42" i="21"/>
  <c r="X39" i="21"/>
  <c r="Z38" i="21"/>
  <c r="AB38" i="21" s="1"/>
  <c r="S41" i="21"/>
  <c r="T41" i="21"/>
  <c r="E41" i="21" s="1"/>
  <c r="H41" i="21" s="1"/>
  <c r="K41" i="21" s="1"/>
  <c r="I41" i="21"/>
  <c r="Q41" i="21" s="1"/>
  <c r="R41" i="21" s="1"/>
  <c r="B43" i="21"/>
  <c r="BG42" i="21"/>
  <c r="BD42" i="21" s="1"/>
  <c r="AS42" i="21"/>
  <c r="AP42" i="21" s="1"/>
  <c r="V42" i="21"/>
  <c r="G42" i="21"/>
  <c r="J42" i="21" s="1"/>
  <c r="F42" i="21"/>
  <c r="L42" i="21" s="1"/>
  <c r="M42" i="21" s="1"/>
  <c r="A42" i="21"/>
  <c r="U40" i="21"/>
  <c r="W40" i="21" s="1"/>
  <c r="Y40" i="21" s="1"/>
  <c r="BB42" i="20"/>
  <c r="BA42" i="20"/>
  <c r="AZ42" i="20"/>
  <c r="AQ42" i="20" s="1"/>
  <c r="N42" i="20" s="1"/>
  <c r="AY42" i="20"/>
  <c r="AX42" i="20"/>
  <c r="AW42" i="20"/>
  <c r="AV42" i="20"/>
  <c r="AU42" i="20"/>
  <c r="AT42" i="20"/>
  <c r="X39" i="20"/>
  <c r="Z38" i="20"/>
  <c r="AB38" i="20" s="1"/>
  <c r="S41" i="20"/>
  <c r="T41" i="20"/>
  <c r="E41" i="20" s="1"/>
  <c r="H41" i="20" s="1"/>
  <c r="K41" i="20" s="1"/>
  <c r="I41" i="20"/>
  <c r="Q41" i="20" s="1"/>
  <c r="R41" i="20" s="1"/>
  <c r="B43" i="20"/>
  <c r="BG42" i="20"/>
  <c r="BD42" i="20" s="1"/>
  <c r="AS42" i="20"/>
  <c r="AP42" i="20" s="1"/>
  <c r="V42" i="20"/>
  <c r="G42" i="20"/>
  <c r="J42" i="20" s="1"/>
  <c r="F42" i="20"/>
  <c r="L42" i="20" s="1"/>
  <c r="M42" i="20" s="1"/>
  <c r="A42" i="20"/>
  <c r="U40" i="20"/>
  <c r="W40" i="20" s="1"/>
  <c r="Y40" i="20" s="1"/>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BB43" i="23" l="1"/>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V43" i="23"/>
  <c r="G43" i="23"/>
  <c r="J43" i="23" s="1"/>
  <c r="F43" i="23"/>
  <c r="L43" i="23" s="1"/>
  <c r="M43" i="23" s="1"/>
  <c r="A43" i="23"/>
  <c r="U41" i="23"/>
  <c r="W41" i="23" s="1"/>
  <c r="Y41" i="23" s="1"/>
  <c r="X40" i="23"/>
  <c r="Z39" i="23"/>
  <c r="AB39" i="23" s="1"/>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V43" i="22"/>
  <c r="G43" i="22"/>
  <c r="J43" i="22" s="1"/>
  <c r="F43" i="22"/>
  <c r="L43" i="22" s="1"/>
  <c r="M43" i="22" s="1"/>
  <c r="A43" i="22"/>
  <c r="U41" i="22"/>
  <c r="W41" i="22" s="1"/>
  <c r="Y41" i="22" s="1"/>
  <c r="X40" i="22"/>
  <c r="Z39" i="22"/>
  <c r="AB39" i="22" s="1"/>
  <c r="AA39" i="22"/>
  <c r="AA40" i="22" s="1"/>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V43" i="21"/>
  <c r="G43" i="21"/>
  <c r="J43" i="21" s="1"/>
  <c r="F43" i="21"/>
  <c r="L43" i="21" s="1"/>
  <c r="M43" i="21" s="1"/>
  <c r="A43" i="21"/>
  <c r="U41" i="21"/>
  <c r="W41" i="21" s="1"/>
  <c r="Y41" i="21" s="1"/>
  <c r="X40" i="21"/>
  <c r="Z39" i="21"/>
  <c r="AB39" i="21" s="1"/>
  <c r="AA39" i="21"/>
  <c r="AA40" i="21" s="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V43" i="20"/>
  <c r="G43" i="20"/>
  <c r="J43" i="20" s="1"/>
  <c r="F43" i="20"/>
  <c r="L43" i="20" s="1"/>
  <c r="M43" i="20" s="1"/>
  <c r="A43" i="20"/>
  <c r="U41" i="20"/>
  <c r="W41" i="20" s="1"/>
  <c r="Y41" i="20" s="1"/>
  <c r="X40" i="20"/>
  <c r="Z39" i="20"/>
  <c r="AB39" i="20" s="1"/>
  <c r="AA39" i="20"/>
  <c r="AA40" i="20" s="1"/>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BB44" i="23" l="1"/>
  <c r="BA44" i="23"/>
  <c r="AZ44" i="23"/>
  <c r="AQ44" i="23" s="1"/>
  <c r="N44" i="23" s="1"/>
  <c r="AY44" i="23"/>
  <c r="AX44" i="23"/>
  <c r="AW44" i="23"/>
  <c r="AV44" i="23"/>
  <c r="AU44" i="23"/>
  <c r="AT44" i="23"/>
  <c r="X41" i="23"/>
  <c r="Z40" i="23"/>
  <c r="AB40" i="23" s="1"/>
  <c r="S43" i="23"/>
  <c r="T43" i="23"/>
  <c r="E43" i="23" s="1"/>
  <c r="H43" i="23" s="1"/>
  <c r="K43" i="23" s="1"/>
  <c r="I43" i="23"/>
  <c r="Q43" i="23" s="1"/>
  <c r="R43" i="23" s="1"/>
  <c r="B45" i="23"/>
  <c r="BG44" i="23"/>
  <c r="BD44" i="23" s="1"/>
  <c r="AS44" i="23"/>
  <c r="AP44" i="23" s="1"/>
  <c r="V44" i="23"/>
  <c r="G44" i="23"/>
  <c r="J44" i="23" s="1"/>
  <c r="F44" i="23"/>
  <c r="L44" i="23" s="1"/>
  <c r="M44" i="23" s="1"/>
  <c r="A44" i="23"/>
  <c r="U42" i="23"/>
  <c r="W42" i="23" s="1"/>
  <c r="Y42" i="23" s="1"/>
  <c r="BB44" i="22"/>
  <c r="BA44" i="22"/>
  <c r="AZ44" i="22"/>
  <c r="AQ44" i="22" s="1"/>
  <c r="N44" i="22" s="1"/>
  <c r="AY44" i="22"/>
  <c r="AX44" i="22"/>
  <c r="AW44" i="22"/>
  <c r="AV44" i="22"/>
  <c r="AU44" i="22"/>
  <c r="AT44" i="22"/>
  <c r="X41" i="22"/>
  <c r="Z40" i="22"/>
  <c r="AB40" i="22" s="1"/>
  <c r="S43" i="22"/>
  <c r="T43" i="22"/>
  <c r="E43" i="22" s="1"/>
  <c r="H43" i="22" s="1"/>
  <c r="K43" i="22" s="1"/>
  <c r="I43" i="22"/>
  <c r="Q43" i="22" s="1"/>
  <c r="R43" i="22" s="1"/>
  <c r="B45" i="22"/>
  <c r="BG44" i="22"/>
  <c r="BD44" i="22" s="1"/>
  <c r="AS44" i="22"/>
  <c r="AP44" i="22" s="1"/>
  <c r="V44" i="22"/>
  <c r="G44" i="22"/>
  <c r="J44" i="22" s="1"/>
  <c r="F44" i="22"/>
  <c r="L44" i="22" s="1"/>
  <c r="M44" i="22" s="1"/>
  <c r="A44" i="22"/>
  <c r="U42" i="22"/>
  <c r="W42" i="22" s="1"/>
  <c r="Y42" i="22" s="1"/>
  <c r="BB44" i="21"/>
  <c r="BA44" i="21"/>
  <c r="AZ44" i="21"/>
  <c r="AQ44" i="21" s="1"/>
  <c r="N44" i="21" s="1"/>
  <c r="AY44" i="21"/>
  <c r="AX44" i="21"/>
  <c r="AW44" i="21"/>
  <c r="AV44" i="21"/>
  <c r="AU44" i="21"/>
  <c r="AT44" i="21"/>
  <c r="X41" i="21"/>
  <c r="Z40" i="21"/>
  <c r="AB40" i="21" s="1"/>
  <c r="S43" i="21"/>
  <c r="T43" i="21"/>
  <c r="E43" i="21" s="1"/>
  <c r="H43" i="21" s="1"/>
  <c r="K43" i="21" s="1"/>
  <c r="I43" i="21"/>
  <c r="Q43" i="21" s="1"/>
  <c r="R43" i="21" s="1"/>
  <c r="B45" i="21"/>
  <c r="BG44" i="21"/>
  <c r="BD44" i="21" s="1"/>
  <c r="AS44" i="21"/>
  <c r="AP44" i="21" s="1"/>
  <c r="V44" i="21"/>
  <c r="G44" i="21"/>
  <c r="J44" i="21" s="1"/>
  <c r="F44" i="21"/>
  <c r="L44" i="21" s="1"/>
  <c r="M44" i="21" s="1"/>
  <c r="A44" i="21"/>
  <c r="U42" i="21"/>
  <c r="W42" i="21" s="1"/>
  <c r="Y42" i="21" s="1"/>
  <c r="BB44" i="20"/>
  <c r="BA44" i="20"/>
  <c r="AZ44" i="20"/>
  <c r="AQ44" i="20" s="1"/>
  <c r="N44" i="20" s="1"/>
  <c r="AY44" i="20"/>
  <c r="AX44" i="20"/>
  <c r="AW44" i="20"/>
  <c r="AV44" i="20"/>
  <c r="AU44" i="20"/>
  <c r="AT44" i="20"/>
  <c r="X41" i="20"/>
  <c r="Z40" i="20"/>
  <c r="AB40" i="20" s="1"/>
  <c r="S43" i="20"/>
  <c r="T43" i="20"/>
  <c r="E43" i="20" s="1"/>
  <c r="H43" i="20" s="1"/>
  <c r="K43" i="20" s="1"/>
  <c r="I43" i="20"/>
  <c r="Q43" i="20" s="1"/>
  <c r="R43" i="20" s="1"/>
  <c r="B45" i="20"/>
  <c r="BG44" i="20"/>
  <c r="BD44" i="20" s="1"/>
  <c r="AS44" i="20"/>
  <c r="AP44" i="20" s="1"/>
  <c r="V44" i="20"/>
  <c r="G44" i="20"/>
  <c r="J44" i="20" s="1"/>
  <c r="F44" i="20"/>
  <c r="L44" i="20" s="1"/>
  <c r="M44" i="20" s="1"/>
  <c r="A44" i="20"/>
  <c r="U42" i="20"/>
  <c r="W42" i="20" s="1"/>
  <c r="Y42" i="20" s="1"/>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BB45" i="23" l="1"/>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V45" i="23"/>
  <c r="G45" i="23"/>
  <c r="J45" i="23" s="1"/>
  <c r="F45" i="23"/>
  <c r="L45" i="23" s="1"/>
  <c r="M45" i="23" s="1"/>
  <c r="A45" i="23"/>
  <c r="U43" i="23"/>
  <c r="W43" i="23" s="1"/>
  <c r="Y43" i="23" s="1"/>
  <c r="X42" i="23"/>
  <c r="Z41" i="23"/>
  <c r="AB41" i="23" s="1"/>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V45" i="22"/>
  <c r="G45" i="22"/>
  <c r="J45" i="22" s="1"/>
  <c r="F45" i="22"/>
  <c r="L45" i="22" s="1"/>
  <c r="M45" i="22" s="1"/>
  <c r="A45" i="22"/>
  <c r="U43" i="22"/>
  <c r="W43" i="22" s="1"/>
  <c r="Y43" i="22" s="1"/>
  <c r="X42" i="22"/>
  <c r="Z41" i="22"/>
  <c r="AB41" i="22" s="1"/>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V45" i="21"/>
  <c r="G45" i="21"/>
  <c r="J45" i="21" s="1"/>
  <c r="F45" i="21"/>
  <c r="L45" i="21" s="1"/>
  <c r="M45" i="21" s="1"/>
  <c r="A45" i="21"/>
  <c r="U43" i="21"/>
  <c r="W43" i="21" s="1"/>
  <c r="Y43" i="21" s="1"/>
  <c r="X42" i="21"/>
  <c r="Z41" i="21"/>
  <c r="AB41" i="21" s="1"/>
  <c r="AA41" i="21"/>
  <c r="AA42" i="21" s="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V45" i="20"/>
  <c r="G45" i="20"/>
  <c r="J45" i="20" s="1"/>
  <c r="F45" i="20"/>
  <c r="L45" i="20" s="1"/>
  <c r="M45" i="20" s="1"/>
  <c r="A45" i="20"/>
  <c r="U43" i="20"/>
  <c r="W43" i="20" s="1"/>
  <c r="Y43" i="20" s="1"/>
  <c r="X42" i="20"/>
  <c r="Z41" i="20"/>
  <c r="AB41" i="20" s="1"/>
  <c r="AA41" i="20"/>
  <c r="AA42" i="20" s="1"/>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BB46" i="23" l="1"/>
  <c r="BA46" i="23"/>
  <c r="AZ46" i="23"/>
  <c r="AQ46" i="23" s="1"/>
  <c r="N46" i="23" s="1"/>
  <c r="AY46" i="23"/>
  <c r="AX46" i="23"/>
  <c r="AW46" i="23"/>
  <c r="AV46" i="23"/>
  <c r="AU46" i="23"/>
  <c r="AT46" i="23"/>
  <c r="X43" i="23"/>
  <c r="Z42" i="23"/>
  <c r="AB42" i="23" s="1"/>
  <c r="S45" i="23"/>
  <c r="T45" i="23"/>
  <c r="E45" i="23" s="1"/>
  <c r="H45" i="23" s="1"/>
  <c r="K45" i="23" s="1"/>
  <c r="I45" i="23"/>
  <c r="Q45" i="23" s="1"/>
  <c r="R45" i="23" s="1"/>
  <c r="B47" i="23"/>
  <c r="BG46" i="23"/>
  <c r="BD46" i="23" s="1"/>
  <c r="AS46" i="23"/>
  <c r="AP46" i="23" s="1"/>
  <c r="V46" i="23"/>
  <c r="G46" i="23"/>
  <c r="J46" i="23" s="1"/>
  <c r="F46" i="23"/>
  <c r="L46" i="23" s="1"/>
  <c r="M46" i="23" s="1"/>
  <c r="A46" i="23"/>
  <c r="U44" i="23"/>
  <c r="W44" i="23" s="1"/>
  <c r="Y44" i="23" s="1"/>
  <c r="BB46" i="22"/>
  <c r="BA46" i="22"/>
  <c r="AZ46" i="22"/>
  <c r="AQ46" i="22" s="1"/>
  <c r="N46" i="22" s="1"/>
  <c r="AY46" i="22"/>
  <c r="AX46" i="22"/>
  <c r="AW46" i="22"/>
  <c r="AV46" i="22"/>
  <c r="AU46" i="22"/>
  <c r="AT46" i="22"/>
  <c r="X43" i="22"/>
  <c r="Z42" i="22"/>
  <c r="AB42" i="22" s="1"/>
  <c r="S45" i="22"/>
  <c r="T45" i="22"/>
  <c r="E45" i="22" s="1"/>
  <c r="H45" i="22" s="1"/>
  <c r="K45" i="22" s="1"/>
  <c r="I45" i="22"/>
  <c r="Q45" i="22" s="1"/>
  <c r="R45" i="22" s="1"/>
  <c r="B47" i="22"/>
  <c r="BG46" i="22"/>
  <c r="BD46" i="22" s="1"/>
  <c r="AS46" i="22"/>
  <c r="AP46" i="22" s="1"/>
  <c r="V46" i="22"/>
  <c r="G46" i="22"/>
  <c r="J46" i="22" s="1"/>
  <c r="F46" i="22"/>
  <c r="L46" i="22" s="1"/>
  <c r="M46" i="22" s="1"/>
  <c r="A46" i="22"/>
  <c r="U44" i="22"/>
  <c r="W44" i="22" s="1"/>
  <c r="Y44" i="22" s="1"/>
  <c r="BB46" i="21"/>
  <c r="BA46" i="21"/>
  <c r="AZ46" i="21"/>
  <c r="AQ46" i="21" s="1"/>
  <c r="N46" i="21" s="1"/>
  <c r="AY46" i="21"/>
  <c r="AX46" i="21"/>
  <c r="AW46" i="21"/>
  <c r="AV46" i="21"/>
  <c r="AU46" i="21"/>
  <c r="AT46" i="21"/>
  <c r="X43" i="21"/>
  <c r="Z42" i="21"/>
  <c r="AB42" i="21" s="1"/>
  <c r="S45" i="21"/>
  <c r="T45" i="21"/>
  <c r="E45" i="21" s="1"/>
  <c r="H45" i="21" s="1"/>
  <c r="K45" i="21" s="1"/>
  <c r="I45" i="21"/>
  <c r="Q45" i="21" s="1"/>
  <c r="R45" i="21" s="1"/>
  <c r="B47" i="21"/>
  <c r="BG46" i="21"/>
  <c r="BD46" i="21" s="1"/>
  <c r="AS46" i="21"/>
  <c r="AP46" i="21" s="1"/>
  <c r="V46" i="21"/>
  <c r="G46" i="21"/>
  <c r="J46" i="21" s="1"/>
  <c r="F46" i="21"/>
  <c r="L46" i="21" s="1"/>
  <c r="M46" i="21" s="1"/>
  <c r="A46" i="21"/>
  <c r="U44" i="21"/>
  <c r="W44" i="21" s="1"/>
  <c r="Y44" i="21" s="1"/>
  <c r="BB46" i="20"/>
  <c r="BA46" i="20"/>
  <c r="AZ46" i="20"/>
  <c r="AQ46" i="20" s="1"/>
  <c r="N46" i="20" s="1"/>
  <c r="AY46" i="20"/>
  <c r="AX46" i="20"/>
  <c r="AW46" i="20"/>
  <c r="AV46" i="20"/>
  <c r="AU46" i="20"/>
  <c r="AT46" i="20"/>
  <c r="X43" i="20"/>
  <c r="Z42" i="20"/>
  <c r="AB42" i="20" s="1"/>
  <c r="S45" i="20"/>
  <c r="T45" i="20"/>
  <c r="E45" i="20" s="1"/>
  <c r="H45" i="20" s="1"/>
  <c r="K45" i="20" s="1"/>
  <c r="I45" i="20"/>
  <c r="Q45" i="20" s="1"/>
  <c r="R45" i="20" s="1"/>
  <c r="B47" i="20"/>
  <c r="BG46" i="20"/>
  <c r="BD46" i="20" s="1"/>
  <c r="AS46" i="20"/>
  <c r="AP46" i="20" s="1"/>
  <c r="V46" i="20"/>
  <c r="G46" i="20"/>
  <c r="J46" i="20" s="1"/>
  <c r="F46" i="20"/>
  <c r="L46" i="20" s="1"/>
  <c r="M46" i="20" s="1"/>
  <c r="A46" i="20"/>
  <c r="U44" i="20"/>
  <c r="W44" i="20" s="1"/>
  <c r="Y44" i="20" s="1"/>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BB47" i="23" l="1"/>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V47" i="23"/>
  <c r="G47" i="23"/>
  <c r="J47" i="23" s="1"/>
  <c r="F47" i="23"/>
  <c r="L47" i="23" s="1"/>
  <c r="M47" i="23" s="1"/>
  <c r="A47" i="23"/>
  <c r="U45" i="23"/>
  <c r="W45" i="23" s="1"/>
  <c r="Y45" i="23" s="1"/>
  <c r="X44" i="23"/>
  <c r="Z43" i="23"/>
  <c r="AB43" i="23" s="1"/>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V47" i="22"/>
  <c r="G47" i="22"/>
  <c r="J47" i="22" s="1"/>
  <c r="F47" i="22"/>
  <c r="L47" i="22" s="1"/>
  <c r="M47" i="22" s="1"/>
  <c r="A47" i="22"/>
  <c r="U45" i="22"/>
  <c r="W45" i="22" s="1"/>
  <c r="Y45" i="22" s="1"/>
  <c r="X44" i="22"/>
  <c r="Z43" i="22"/>
  <c r="AB43" i="22" s="1"/>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V47" i="21"/>
  <c r="G47" i="21"/>
  <c r="J47" i="21" s="1"/>
  <c r="F47" i="21"/>
  <c r="L47" i="21" s="1"/>
  <c r="M47" i="21" s="1"/>
  <c r="A47" i="21"/>
  <c r="U45" i="21"/>
  <c r="W45" i="21" s="1"/>
  <c r="Y45" i="21" s="1"/>
  <c r="X44" i="21"/>
  <c r="Z43" i="21"/>
  <c r="AB43" i="21" s="1"/>
  <c r="AA43" i="21"/>
  <c r="AA44" i="21" s="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V47" i="20"/>
  <c r="G47" i="20"/>
  <c r="J47" i="20" s="1"/>
  <c r="F47" i="20"/>
  <c r="L47" i="20" s="1"/>
  <c r="M47" i="20" s="1"/>
  <c r="A47" i="20"/>
  <c r="U45" i="20"/>
  <c r="W45" i="20" s="1"/>
  <c r="Y45" i="20" s="1"/>
  <c r="X44" i="20"/>
  <c r="Z43" i="20"/>
  <c r="AB43" i="20" s="1"/>
  <c r="AA43" i="20"/>
  <c r="AA44" i="20" s="1"/>
  <c r="S35" i="9"/>
  <c r="AI53" i="9"/>
  <c r="G48" i="10"/>
  <c r="G49" i="10" s="1"/>
  <c r="G50" i="10" s="1"/>
  <c r="G51" i="10" s="1"/>
  <c r="G52" i="10" s="1"/>
  <c r="G53" i="10" s="1"/>
  <c r="G54" i="10" s="1"/>
  <c r="G55" i="10" s="1"/>
  <c r="G56" i="10" s="1"/>
  <c r="G57" i="10" s="1"/>
  <c r="G58" i="10" s="1"/>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BB48" i="23" l="1"/>
  <c r="BA48" i="23"/>
  <c r="AZ48" i="23"/>
  <c r="AQ48" i="23" s="1"/>
  <c r="N48" i="23" s="1"/>
  <c r="AY48" i="23"/>
  <c r="AX48" i="23"/>
  <c r="AW48" i="23"/>
  <c r="AV48" i="23"/>
  <c r="AU48" i="23"/>
  <c r="AT48" i="23"/>
  <c r="X45" i="23"/>
  <c r="Z44" i="23"/>
  <c r="AB44" i="23" s="1"/>
  <c r="S47" i="23"/>
  <c r="T47" i="23"/>
  <c r="E47" i="23" s="1"/>
  <c r="H47" i="23" s="1"/>
  <c r="K47" i="23" s="1"/>
  <c r="I47" i="23"/>
  <c r="Q47" i="23" s="1"/>
  <c r="R47" i="23" s="1"/>
  <c r="B49" i="23"/>
  <c r="BG48" i="23"/>
  <c r="BD48" i="23" s="1"/>
  <c r="AS48" i="23"/>
  <c r="AP48" i="23" s="1"/>
  <c r="V48" i="23"/>
  <c r="G48" i="23"/>
  <c r="J48" i="23" s="1"/>
  <c r="F48" i="23"/>
  <c r="L48" i="23" s="1"/>
  <c r="M48" i="23" s="1"/>
  <c r="A48" i="23"/>
  <c r="U46" i="23"/>
  <c r="W46" i="23" s="1"/>
  <c r="Y46" i="23" s="1"/>
  <c r="BB48" i="22"/>
  <c r="BA48" i="22"/>
  <c r="AZ48" i="22"/>
  <c r="AQ48" i="22" s="1"/>
  <c r="N48" i="22" s="1"/>
  <c r="AY48" i="22"/>
  <c r="AX48" i="22"/>
  <c r="AW48" i="22"/>
  <c r="AV48" i="22"/>
  <c r="AU48" i="22"/>
  <c r="AT48" i="22"/>
  <c r="X45" i="22"/>
  <c r="Z44" i="22"/>
  <c r="AB44" i="22" s="1"/>
  <c r="S47" i="22"/>
  <c r="T47" i="22"/>
  <c r="E47" i="22" s="1"/>
  <c r="H47" i="22" s="1"/>
  <c r="K47" i="22" s="1"/>
  <c r="I47" i="22"/>
  <c r="Q47" i="22" s="1"/>
  <c r="R47" i="22" s="1"/>
  <c r="B49" i="22"/>
  <c r="BG48" i="22"/>
  <c r="BD48" i="22" s="1"/>
  <c r="AS48" i="22"/>
  <c r="AP48" i="22" s="1"/>
  <c r="V48" i="22"/>
  <c r="G48" i="22"/>
  <c r="J48" i="22" s="1"/>
  <c r="F48" i="22"/>
  <c r="L48" i="22" s="1"/>
  <c r="M48" i="22" s="1"/>
  <c r="A48" i="22"/>
  <c r="U46" i="22"/>
  <c r="W46" i="22" s="1"/>
  <c r="Y46" i="22" s="1"/>
  <c r="BB48" i="21"/>
  <c r="BA48" i="21"/>
  <c r="AZ48" i="21"/>
  <c r="AQ48" i="21" s="1"/>
  <c r="N48" i="21" s="1"/>
  <c r="AY48" i="21"/>
  <c r="AX48" i="21"/>
  <c r="AW48" i="21"/>
  <c r="AV48" i="21"/>
  <c r="AU48" i="21"/>
  <c r="AT48" i="21"/>
  <c r="X45" i="21"/>
  <c r="Z44" i="21"/>
  <c r="AB44" i="21" s="1"/>
  <c r="S47" i="21"/>
  <c r="T47" i="21"/>
  <c r="E47" i="21" s="1"/>
  <c r="H47" i="21" s="1"/>
  <c r="K47" i="21" s="1"/>
  <c r="I47" i="21"/>
  <c r="Q47" i="21" s="1"/>
  <c r="R47" i="21" s="1"/>
  <c r="B49" i="21"/>
  <c r="BG48" i="21"/>
  <c r="BD48" i="21" s="1"/>
  <c r="AS48" i="21"/>
  <c r="AP48" i="21" s="1"/>
  <c r="V48" i="21"/>
  <c r="G48" i="21"/>
  <c r="J48" i="21" s="1"/>
  <c r="F48" i="21"/>
  <c r="L48" i="21" s="1"/>
  <c r="M48" i="21" s="1"/>
  <c r="A48" i="21"/>
  <c r="U46" i="21"/>
  <c r="W46" i="21" s="1"/>
  <c r="Y46" i="21" s="1"/>
  <c r="BB48" i="20"/>
  <c r="BA48" i="20"/>
  <c r="AZ48" i="20"/>
  <c r="AQ48" i="20" s="1"/>
  <c r="N48" i="20" s="1"/>
  <c r="AY48" i="20"/>
  <c r="AX48" i="20"/>
  <c r="AW48" i="20"/>
  <c r="AV48" i="20"/>
  <c r="AU48" i="20"/>
  <c r="AT48" i="20"/>
  <c r="X45" i="20"/>
  <c r="Z44" i="20"/>
  <c r="AB44" i="20" s="1"/>
  <c r="S47" i="20"/>
  <c r="T47" i="20"/>
  <c r="E47" i="20" s="1"/>
  <c r="H47" i="20" s="1"/>
  <c r="K47" i="20" s="1"/>
  <c r="I47" i="20"/>
  <c r="Q47" i="20" s="1"/>
  <c r="R47" i="20" s="1"/>
  <c r="B49" i="20"/>
  <c r="BG48" i="20"/>
  <c r="BD48" i="20" s="1"/>
  <c r="AS48" i="20"/>
  <c r="AP48" i="20" s="1"/>
  <c r="V48" i="20"/>
  <c r="G48" i="20"/>
  <c r="J48" i="20" s="1"/>
  <c r="F48" i="20"/>
  <c r="L48" i="20" s="1"/>
  <c r="M48" i="20" s="1"/>
  <c r="A48" i="20"/>
  <c r="U46" i="20"/>
  <c r="W46" i="20" s="1"/>
  <c r="Y46" i="20" s="1"/>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BB49" i="23" l="1"/>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V49" i="23"/>
  <c r="G49" i="23"/>
  <c r="J49" i="23" s="1"/>
  <c r="F49" i="23"/>
  <c r="L49" i="23" s="1"/>
  <c r="M49" i="23" s="1"/>
  <c r="A49" i="23"/>
  <c r="U47" i="23"/>
  <c r="W47" i="23" s="1"/>
  <c r="Y47" i="23" s="1"/>
  <c r="X46" i="23"/>
  <c r="Z45" i="23"/>
  <c r="AB45" i="23" s="1"/>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V49" i="22"/>
  <c r="G49" i="22"/>
  <c r="J49" i="22" s="1"/>
  <c r="F49" i="22"/>
  <c r="L49" i="22" s="1"/>
  <c r="M49" i="22" s="1"/>
  <c r="A49" i="22"/>
  <c r="U47" i="22"/>
  <c r="W47" i="22" s="1"/>
  <c r="Y47" i="22" s="1"/>
  <c r="X46" i="22"/>
  <c r="Z45" i="22"/>
  <c r="AB45" i="22" s="1"/>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V49" i="21"/>
  <c r="G49" i="21"/>
  <c r="J49" i="21" s="1"/>
  <c r="F49" i="21"/>
  <c r="L49" i="21" s="1"/>
  <c r="M49" i="21" s="1"/>
  <c r="A49" i="21"/>
  <c r="U47" i="21"/>
  <c r="W47" i="21" s="1"/>
  <c r="Y47" i="21" s="1"/>
  <c r="X46" i="21"/>
  <c r="Z45" i="21"/>
  <c r="AB45" i="21" s="1"/>
  <c r="AA45" i="21"/>
  <c r="AA46" i="21" s="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V49" i="20"/>
  <c r="G49" i="20"/>
  <c r="J49" i="20" s="1"/>
  <c r="F49" i="20"/>
  <c r="L49" i="20" s="1"/>
  <c r="M49" i="20" s="1"/>
  <c r="A49" i="20"/>
  <c r="U47" i="20"/>
  <c r="W47" i="20" s="1"/>
  <c r="Y47" i="20" s="1"/>
  <c r="X46" i="20"/>
  <c r="Z45" i="20"/>
  <c r="AB45" i="20" s="1"/>
  <c r="AA45" i="20"/>
  <c r="AA46" i="20" s="1"/>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BB50" i="23" l="1"/>
  <c r="BA50" i="23"/>
  <c r="AZ50" i="23"/>
  <c r="AQ50" i="23" s="1"/>
  <c r="N50" i="23" s="1"/>
  <c r="AY50" i="23"/>
  <c r="AX50" i="23"/>
  <c r="AW50" i="23"/>
  <c r="AV50" i="23"/>
  <c r="AU50" i="23"/>
  <c r="AT50" i="23"/>
  <c r="X47" i="23"/>
  <c r="Z46" i="23"/>
  <c r="AB46" i="23" s="1"/>
  <c r="S49" i="23"/>
  <c r="T49" i="23"/>
  <c r="E49" i="23" s="1"/>
  <c r="H49" i="23" s="1"/>
  <c r="K49" i="23" s="1"/>
  <c r="I49" i="23"/>
  <c r="Q49" i="23" s="1"/>
  <c r="R49" i="23" s="1"/>
  <c r="B51" i="23"/>
  <c r="BG50" i="23"/>
  <c r="BD50" i="23" s="1"/>
  <c r="AS50" i="23"/>
  <c r="AP50" i="23" s="1"/>
  <c r="V50" i="23"/>
  <c r="G50" i="23"/>
  <c r="J50" i="23" s="1"/>
  <c r="F50" i="23"/>
  <c r="L50" i="23" s="1"/>
  <c r="M50" i="23" s="1"/>
  <c r="A50" i="23"/>
  <c r="U48" i="23"/>
  <c r="W48" i="23" s="1"/>
  <c r="Y48" i="23" s="1"/>
  <c r="AC47" i="23"/>
  <c r="BB50" i="22"/>
  <c r="BA50" i="22"/>
  <c r="AZ50" i="22"/>
  <c r="AQ50" i="22" s="1"/>
  <c r="N50" i="22" s="1"/>
  <c r="AY50" i="22"/>
  <c r="AX50" i="22"/>
  <c r="AW50" i="22"/>
  <c r="AV50" i="22"/>
  <c r="AU50" i="22"/>
  <c r="AT50" i="22"/>
  <c r="X47" i="22"/>
  <c r="Z46" i="22"/>
  <c r="AB46" i="22" s="1"/>
  <c r="S49" i="22"/>
  <c r="T49" i="22"/>
  <c r="E49" i="22" s="1"/>
  <c r="H49" i="22" s="1"/>
  <c r="K49" i="22" s="1"/>
  <c r="I49" i="22"/>
  <c r="Q49" i="22" s="1"/>
  <c r="R49" i="22" s="1"/>
  <c r="B51" i="22"/>
  <c r="BG50" i="22"/>
  <c r="BD50" i="22" s="1"/>
  <c r="AS50" i="22"/>
  <c r="AP50" i="22" s="1"/>
  <c r="V50" i="22"/>
  <c r="G50" i="22"/>
  <c r="J50" i="22" s="1"/>
  <c r="F50" i="22"/>
  <c r="L50" i="22" s="1"/>
  <c r="M50" i="22" s="1"/>
  <c r="A50" i="22"/>
  <c r="U48" i="22"/>
  <c r="W48" i="22" s="1"/>
  <c r="Y48" i="22" s="1"/>
  <c r="AC47" i="22"/>
  <c r="BB50" i="21"/>
  <c r="BA50" i="21"/>
  <c r="AZ50" i="21"/>
  <c r="AQ50" i="21" s="1"/>
  <c r="N50" i="21" s="1"/>
  <c r="AY50" i="21"/>
  <c r="AX50" i="21"/>
  <c r="AW50" i="21"/>
  <c r="AV50" i="21"/>
  <c r="AU50" i="21"/>
  <c r="AT50" i="21"/>
  <c r="X47" i="21"/>
  <c r="Z46" i="21"/>
  <c r="AB46" i="21" s="1"/>
  <c r="S49" i="21"/>
  <c r="T49" i="21"/>
  <c r="E49" i="21" s="1"/>
  <c r="H49" i="21" s="1"/>
  <c r="K49" i="21" s="1"/>
  <c r="I49" i="21"/>
  <c r="Q49" i="21" s="1"/>
  <c r="R49" i="21" s="1"/>
  <c r="B51" i="21"/>
  <c r="BG50" i="21"/>
  <c r="BD50" i="21" s="1"/>
  <c r="AS50" i="21"/>
  <c r="AP50" i="21" s="1"/>
  <c r="V50" i="21"/>
  <c r="G50" i="21"/>
  <c r="J50" i="21" s="1"/>
  <c r="F50" i="21"/>
  <c r="L50" i="21" s="1"/>
  <c r="M50" i="21" s="1"/>
  <c r="A50" i="21"/>
  <c r="U48" i="21"/>
  <c r="W48" i="21" s="1"/>
  <c r="Y48" i="21" s="1"/>
  <c r="AC47" i="21"/>
  <c r="BB50" i="20"/>
  <c r="BA50" i="20"/>
  <c r="AZ50" i="20"/>
  <c r="AQ50" i="20" s="1"/>
  <c r="N50" i="20" s="1"/>
  <c r="AY50" i="20"/>
  <c r="AX50" i="20"/>
  <c r="AW50" i="20"/>
  <c r="AV50" i="20"/>
  <c r="AU50" i="20"/>
  <c r="AT50" i="20"/>
  <c r="X47" i="20"/>
  <c r="Z46" i="20"/>
  <c r="AB46" i="20" s="1"/>
  <c r="S49" i="20"/>
  <c r="T49" i="20"/>
  <c r="E49" i="20" s="1"/>
  <c r="H49" i="20" s="1"/>
  <c r="K49" i="20" s="1"/>
  <c r="I49" i="20"/>
  <c r="Q49" i="20" s="1"/>
  <c r="R49" i="20" s="1"/>
  <c r="B51" i="20"/>
  <c r="BG50" i="20"/>
  <c r="BD50" i="20" s="1"/>
  <c r="AS50" i="20"/>
  <c r="AP50" i="20" s="1"/>
  <c r="V50" i="20"/>
  <c r="G50" i="20"/>
  <c r="J50" i="20" s="1"/>
  <c r="F50" i="20"/>
  <c r="L50" i="20" s="1"/>
  <c r="M50" i="20" s="1"/>
  <c r="A50" i="20"/>
  <c r="U48" i="20"/>
  <c r="W48" i="20" s="1"/>
  <c r="Y48" i="20" s="1"/>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BB51" i="23" l="1"/>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V51" i="23"/>
  <c r="G51" i="23"/>
  <c r="J51" i="23" s="1"/>
  <c r="F51" i="23"/>
  <c r="L51" i="23" s="1"/>
  <c r="M51" i="23" s="1"/>
  <c r="A51" i="23"/>
  <c r="U49" i="23"/>
  <c r="W49" i="23" s="1"/>
  <c r="Y49" i="23" s="1"/>
  <c r="X48" i="23"/>
  <c r="Z47" i="23"/>
  <c r="AB47" i="23" s="1"/>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V51" i="22"/>
  <c r="G51" i="22"/>
  <c r="J51" i="22" s="1"/>
  <c r="F51" i="22"/>
  <c r="L51" i="22" s="1"/>
  <c r="M51" i="22" s="1"/>
  <c r="A51" i="22"/>
  <c r="U49" i="22"/>
  <c r="W49" i="22" s="1"/>
  <c r="Y49" i="22" s="1"/>
  <c r="X48" i="22"/>
  <c r="Z47" i="22"/>
  <c r="AB47" i="22" s="1"/>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V51" i="21"/>
  <c r="G51" i="21"/>
  <c r="J51" i="21" s="1"/>
  <c r="F51" i="21"/>
  <c r="L51" i="21" s="1"/>
  <c r="M51" i="21" s="1"/>
  <c r="A51" i="21"/>
  <c r="U49" i="21"/>
  <c r="W49" i="21" s="1"/>
  <c r="Y49" i="21" s="1"/>
  <c r="X48" i="21"/>
  <c r="Z47" i="21"/>
  <c r="AB47" i="21" s="1"/>
  <c r="AA47" i="21"/>
  <c r="AA48" i="21" s="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V51" i="20"/>
  <c r="G51" i="20"/>
  <c r="J51" i="20" s="1"/>
  <c r="F51" i="20"/>
  <c r="L51" i="20" s="1"/>
  <c r="M51" i="20" s="1"/>
  <c r="A51" i="20"/>
  <c r="U49" i="20"/>
  <c r="W49" i="20" s="1"/>
  <c r="Y49" i="20" s="1"/>
  <c r="X48" i="20"/>
  <c r="Z47" i="20"/>
  <c r="AB47" i="20" s="1"/>
  <c r="AA47" i="20"/>
  <c r="AA48" i="20" s="1"/>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BB52" i="23" l="1"/>
  <c r="BA52" i="23"/>
  <c r="AZ52" i="23"/>
  <c r="AQ52" i="23" s="1"/>
  <c r="N52" i="23" s="1"/>
  <c r="AY52" i="23"/>
  <c r="AX52" i="23"/>
  <c r="AW52" i="23"/>
  <c r="AV52" i="23"/>
  <c r="AU52" i="23"/>
  <c r="AT52" i="23"/>
  <c r="X49" i="23"/>
  <c r="Z48" i="23"/>
  <c r="AB48" i="23" s="1"/>
  <c r="S51" i="23"/>
  <c r="T51" i="23"/>
  <c r="E51" i="23" s="1"/>
  <c r="H51" i="23" s="1"/>
  <c r="K51" i="23" s="1"/>
  <c r="I51" i="23"/>
  <c r="Q51" i="23" s="1"/>
  <c r="R51" i="23" s="1"/>
  <c r="B53" i="23"/>
  <c r="BG52" i="23"/>
  <c r="BD52" i="23" s="1"/>
  <c r="AS52" i="23"/>
  <c r="AP52" i="23" s="1"/>
  <c r="V52" i="23"/>
  <c r="G52" i="23"/>
  <c r="J52" i="23" s="1"/>
  <c r="F52" i="23"/>
  <c r="L52" i="23" s="1"/>
  <c r="M52" i="23" s="1"/>
  <c r="A52" i="23"/>
  <c r="U50" i="23"/>
  <c r="W50" i="23" s="1"/>
  <c r="Y50" i="23" s="1"/>
  <c r="BB52" i="22"/>
  <c r="BA52" i="22"/>
  <c r="AZ52" i="22"/>
  <c r="AQ52" i="22" s="1"/>
  <c r="N52" i="22" s="1"/>
  <c r="AY52" i="22"/>
  <c r="AX52" i="22"/>
  <c r="AW52" i="22"/>
  <c r="AV52" i="22"/>
  <c r="AU52" i="22"/>
  <c r="AT52" i="22"/>
  <c r="X49" i="22"/>
  <c r="Z48" i="22"/>
  <c r="AB48" i="22" s="1"/>
  <c r="S51" i="22"/>
  <c r="T51" i="22"/>
  <c r="E51" i="22" s="1"/>
  <c r="H51" i="22" s="1"/>
  <c r="K51" i="22" s="1"/>
  <c r="I51" i="22"/>
  <c r="Q51" i="22" s="1"/>
  <c r="R51" i="22" s="1"/>
  <c r="B53" i="22"/>
  <c r="BG52" i="22"/>
  <c r="BD52" i="22" s="1"/>
  <c r="AS52" i="22"/>
  <c r="AP52" i="22" s="1"/>
  <c r="V52" i="22"/>
  <c r="G52" i="22"/>
  <c r="J52" i="22" s="1"/>
  <c r="F52" i="22"/>
  <c r="L52" i="22" s="1"/>
  <c r="M52" i="22" s="1"/>
  <c r="A52" i="22"/>
  <c r="U50" i="22"/>
  <c r="W50" i="22" s="1"/>
  <c r="Y50" i="22" s="1"/>
  <c r="BB52" i="21"/>
  <c r="BA52" i="21"/>
  <c r="AZ52" i="21"/>
  <c r="AQ52" i="21" s="1"/>
  <c r="N52" i="21" s="1"/>
  <c r="AY52" i="21"/>
  <c r="AX52" i="21"/>
  <c r="AW52" i="21"/>
  <c r="AV52" i="21"/>
  <c r="AU52" i="21"/>
  <c r="AT52" i="21"/>
  <c r="X49" i="21"/>
  <c r="Z48" i="21"/>
  <c r="AB48" i="21" s="1"/>
  <c r="S51" i="21"/>
  <c r="T51" i="21"/>
  <c r="E51" i="21" s="1"/>
  <c r="H51" i="21" s="1"/>
  <c r="K51" i="21" s="1"/>
  <c r="I51" i="21"/>
  <c r="Q51" i="21" s="1"/>
  <c r="R51" i="21" s="1"/>
  <c r="B53" i="21"/>
  <c r="BG52" i="21"/>
  <c r="BD52" i="21" s="1"/>
  <c r="AS52" i="21"/>
  <c r="AP52" i="21" s="1"/>
  <c r="V52" i="21"/>
  <c r="G52" i="21"/>
  <c r="J52" i="21" s="1"/>
  <c r="F52" i="21"/>
  <c r="L52" i="21" s="1"/>
  <c r="M52" i="21" s="1"/>
  <c r="A52" i="21"/>
  <c r="U50" i="21"/>
  <c r="W50" i="21" s="1"/>
  <c r="Y50" i="21" s="1"/>
  <c r="BB52" i="20"/>
  <c r="BA52" i="20"/>
  <c r="AZ52" i="20"/>
  <c r="AQ52" i="20" s="1"/>
  <c r="N52" i="20" s="1"/>
  <c r="AY52" i="20"/>
  <c r="AX52" i="20"/>
  <c r="AW52" i="20"/>
  <c r="AV52" i="20"/>
  <c r="AU52" i="20"/>
  <c r="AT52" i="20"/>
  <c r="X49" i="20"/>
  <c r="Z48" i="20"/>
  <c r="AB48" i="20" s="1"/>
  <c r="S51" i="20"/>
  <c r="T51" i="20"/>
  <c r="E51" i="20" s="1"/>
  <c r="H51" i="20" s="1"/>
  <c r="K51" i="20" s="1"/>
  <c r="I51" i="20"/>
  <c r="Q51" i="20" s="1"/>
  <c r="R51" i="20" s="1"/>
  <c r="B53" i="20"/>
  <c r="BG52" i="20"/>
  <c r="BD52" i="20" s="1"/>
  <c r="AS52" i="20"/>
  <c r="AP52" i="20" s="1"/>
  <c r="V52" i="20"/>
  <c r="G52" i="20"/>
  <c r="J52" i="20" s="1"/>
  <c r="F52" i="20"/>
  <c r="L52" i="20" s="1"/>
  <c r="M52" i="20" s="1"/>
  <c r="A52" i="20"/>
  <c r="U50" i="20"/>
  <c r="W50" i="20" s="1"/>
  <c r="Y50" i="20" s="1"/>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BB53" i="23" l="1"/>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V53" i="23"/>
  <c r="G53" i="23"/>
  <c r="J53" i="23" s="1"/>
  <c r="F53" i="23"/>
  <c r="L53" i="23" s="1"/>
  <c r="M53" i="23" s="1"/>
  <c r="A53" i="23"/>
  <c r="U51" i="23"/>
  <c r="W51" i="23" s="1"/>
  <c r="Y51" i="23" s="1"/>
  <c r="X50" i="23"/>
  <c r="Z49" i="23"/>
  <c r="AB49" i="23" s="1"/>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V53" i="22"/>
  <c r="G53" i="22"/>
  <c r="J53" i="22" s="1"/>
  <c r="F53" i="22"/>
  <c r="L53" i="22" s="1"/>
  <c r="M53" i="22" s="1"/>
  <c r="A53" i="22"/>
  <c r="U51" i="22"/>
  <c r="W51" i="22" s="1"/>
  <c r="Y51" i="22" s="1"/>
  <c r="X50" i="22"/>
  <c r="Z49" i="22"/>
  <c r="AB49" i="22" s="1"/>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V53" i="21"/>
  <c r="G53" i="21"/>
  <c r="J53" i="21" s="1"/>
  <c r="F53" i="21"/>
  <c r="L53" i="21" s="1"/>
  <c r="M53" i="21" s="1"/>
  <c r="A53" i="21"/>
  <c r="U51" i="21"/>
  <c r="W51" i="21" s="1"/>
  <c r="Y51" i="21" s="1"/>
  <c r="X50" i="21"/>
  <c r="Z49" i="21"/>
  <c r="AB49" i="21" s="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V53" i="20"/>
  <c r="G53" i="20"/>
  <c r="J53" i="20" s="1"/>
  <c r="F53" i="20"/>
  <c r="L53" i="20" s="1"/>
  <c r="M53" i="20" s="1"/>
  <c r="A53" i="20"/>
  <c r="U51" i="20"/>
  <c r="W51" i="20" s="1"/>
  <c r="Y51" i="20" s="1"/>
  <c r="X50" i="20"/>
  <c r="Z49" i="20"/>
  <c r="AB49" i="20" s="1"/>
  <c r="AA49" i="20"/>
  <c r="AA50" i="20" s="1"/>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BB54" i="23" l="1"/>
  <c r="BA54" i="23"/>
  <c r="AZ54" i="23"/>
  <c r="AQ54" i="23" s="1"/>
  <c r="N54" i="23" s="1"/>
  <c r="AY54" i="23"/>
  <c r="AX54" i="23"/>
  <c r="AW54" i="23"/>
  <c r="AV54" i="23"/>
  <c r="AU54" i="23"/>
  <c r="AT54" i="23"/>
  <c r="X51" i="23"/>
  <c r="Z50" i="23"/>
  <c r="AB50" i="23" s="1"/>
  <c r="S53" i="23"/>
  <c r="T53" i="23"/>
  <c r="E53" i="23" s="1"/>
  <c r="H53" i="23" s="1"/>
  <c r="K53" i="23" s="1"/>
  <c r="I53" i="23"/>
  <c r="Q53" i="23" s="1"/>
  <c r="R53" i="23" s="1"/>
  <c r="BG54" i="23"/>
  <c r="BD54" i="23" s="1"/>
  <c r="AS54" i="23"/>
  <c r="AP54" i="23" s="1"/>
  <c r="V54" i="23"/>
  <c r="G54" i="23"/>
  <c r="J54" i="23" s="1"/>
  <c r="F54" i="23"/>
  <c r="L54" i="23" s="1"/>
  <c r="M54" i="23" s="1"/>
  <c r="A54" i="23"/>
  <c r="U52" i="23"/>
  <c r="W52" i="23" s="1"/>
  <c r="Y52" i="23" s="1"/>
  <c r="BB54" i="22"/>
  <c r="BA54" i="22"/>
  <c r="AZ54" i="22"/>
  <c r="AQ54" i="22" s="1"/>
  <c r="N54" i="22" s="1"/>
  <c r="AY54" i="22"/>
  <c r="AX54" i="22"/>
  <c r="AW54" i="22"/>
  <c r="AV54" i="22"/>
  <c r="AU54" i="22"/>
  <c r="AT54" i="22"/>
  <c r="X51" i="22"/>
  <c r="Z50" i="22"/>
  <c r="AB50" i="22" s="1"/>
  <c r="S53" i="22"/>
  <c r="T53" i="22"/>
  <c r="E53" i="22" s="1"/>
  <c r="H53" i="22" s="1"/>
  <c r="K53" i="22" s="1"/>
  <c r="I53" i="22"/>
  <c r="Q53" i="22" s="1"/>
  <c r="R53" i="22" s="1"/>
  <c r="BG54" i="22"/>
  <c r="BD54" i="22" s="1"/>
  <c r="AS54" i="22"/>
  <c r="AP54" i="22" s="1"/>
  <c r="V54" i="22"/>
  <c r="G54" i="22"/>
  <c r="J54" i="22" s="1"/>
  <c r="F54" i="22"/>
  <c r="L54" i="22" s="1"/>
  <c r="M54" i="22" s="1"/>
  <c r="A54" i="22"/>
  <c r="U52" i="22"/>
  <c r="W52" i="22" s="1"/>
  <c r="Y52" i="22" s="1"/>
  <c r="BB54" i="21"/>
  <c r="BA54" i="21"/>
  <c r="AZ54" i="21"/>
  <c r="AQ54" i="21" s="1"/>
  <c r="N54" i="21" s="1"/>
  <c r="AY54" i="21"/>
  <c r="AX54" i="21"/>
  <c r="AW54" i="21"/>
  <c r="AV54" i="21"/>
  <c r="AU54" i="21"/>
  <c r="AT54" i="21"/>
  <c r="X51" i="21"/>
  <c r="Z50" i="21"/>
  <c r="AB50" i="21" s="1"/>
  <c r="S53" i="21"/>
  <c r="T53" i="21"/>
  <c r="E53" i="21" s="1"/>
  <c r="H53" i="21" s="1"/>
  <c r="K53" i="21" s="1"/>
  <c r="I53" i="21"/>
  <c r="Q53" i="21" s="1"/>
  <c r="R53" i="21" s="1"/>
  <c r="BG54" i="21"/>
  <c r="BD54" i="21" s="1"/>
  <c r="AS54" i="21"/>
  <c r="AP54" i="21" s="1"/>
  <c r="V54" i="21"/>
  <c r="G54" i="21"/>
  <c r="J54" i="21" s="1"/>
  <c r="F54" i="21"/>
  <c r="L54" i="21" s="1"/>
  <c r="M54" i="21" s="1"/>
  <c r="A54" i="21"/>
  <c r="U52" i="21"/>
  <c r="W52" i="21" s="1"/>
  <c r="Y52" i="21" s="1"/>
  <c r="BB54" i="20"/>
  <c r="BA54" i="20"/>
  <c r="AZ54" i="20"/>
  <c r="AQ54" i="20" s="1"/>
  <c r="N54" i="20" s="1"/>
  <c r="AY54" i="20"/>
  <c r="AX54" i="20"/>
  <c r="AW54" i="20"/>
  <c r="AV54" i="20"/>
  <c r="AU54" i="20"/>
  <c r="AT54" i="20"/>
  <c r="X51" i="20"/>
  <c r="Z50" i="20"/>
  <c r="AB50" i="20" s="1"/>
  <c r="S53" i="20"/>
  <c r="T53" i="20"/>
  <c r="E53" i="20" s="1"/>
  <c r="H53" i="20" s="1"/>
  <c r="K53" i="20" s="1"/>
  <c r="I53" i="20"/>
  <c r="Q53" i="20" s="1"/>
  <c r="R53" i="20" s="1"/>
  <c r="BG54" i="20"/>
  <c r="BD54" i="20" s="1"/>
  <c r="AS54" i="20"/>
  <c r="AP54" i="20" s="1"/>
  <c r="V54" i="20"/>
  <c r="G54" i="20"/>
  <c r="J54" i="20" s="1"/>
  <c r="F54" i="20"/>
  <c r="L54" i="20" s="1"/>
  <c r="M54" i="20" s="1"/>
  <c r="A54" i="20"/>
  <c r="U52" i="20"/>
  <c r="W52" i="20" s="1"/>
  <c r="Y52" i="20" s="1"/>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S54" i="23" l="1"/>
  <c r="T54" i="23"/>
  <c r="E54" i="23" s="1"/>
  <c r="H54" i="23" s="1"/>
  <c r="K54" i="23" s="1"/>
  <c r="I54" i="23"/>
  <c r="Q54" i="23" s="1"/>
  <c r="Q55" i="23" s="1"/>
  <c r="I9" i="23" s="1"/>
  <c r="U53" i="23"/>
  <c r="W53" i="23" s="1"/>
  <c r="Y53" i="23" s="1"/>
  <c r="X52" i="23"/>
  <c r="Z51" i="23"/>
  <c r="AB51" i="23" s="1"/>
  <c r="AA51" i="23"/>
  <c r="AA52" i="23" s="1"/>
  <c r="S54" i="22"/>
  <c r="T54" i="22"/>
  <c r="E54" i="22" s="1"/>
  <c r="H54" i="22" s="1"/>
  <c r="K54" i="22" s="1"/>
  <c r="I54" i="22"/>
  <c r="Q54" i="22" s="1"/>
  <c r="Q55" i="22" s="1"/>
  <c r="I9" i="22" s="1"/>
  <c r="U53" i="22"/>
  <c r="W53" i="22" s="1"/>
  <c r="Y53" i="22" s="1"/>
  <c r="X52" i="22"/>
  <c r="Z51" i="22"/>
  <c r="AB51" i="22" s="1"/>
  <c r="AA51" i="22"/>
  <c r="AA52" i="22" s="1"/>
  <c r="S54" i="21"/>
  <c r="T54" i="21"/>
  <c r="E54" i="21" s="1"/>
  <c r="H54" i="21" s="1"/>
  <c r="K54" i="21" s="1"/>
  <c r="I54" i="21"/>
  <c r="Q54" i="21" s="1"/>
  <c r="Q55" i="21" s="1"/>
  <c r="I9" i="21" s="1"/>
  <c r="U53" i="21"/>
  <c r="W53" i="21" s="1"/>
  <c r="Y53" i="21" s="1"/>
  <c r="X52" i="21"/>
  <c r="Z51" i="21"/>
  <c r="AB51" i="21" s="1"/>
  <c r="AA51" i="21"/>
  <c r="AA52" i="21" s="1"/>
  <c r="S54" i="20"/>
  <c r="T54" i="20"/>
  <c r="E54" i="20" s="1"/>
  <c r="H54" i="20" s="1"/>
  <c r="K54" i="20" s="1"/>
  <c r="I54" i="20"/>
  <c r="Q54" i="20" s="1"/>
  <c r="Q55" i="20" s="1"/>
  <c r="I9" i="20" s="1"/>
  <c r="U53" i="20"/>
  <c r="W53" i="20" s="1"/>
  <c r="Y53" i="20" s="1"/>
  <c r="X52" i="20"/>
  <c r="Z51" i="20"/>
  <c r="AB51" i="20" s="1"/>
  <c r="AA51" i="20"/>
  <c r="AA52" i="20" s="1"/>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X53" i="23" l="1"/>
  <c r="Z52" i="23"/>
  <c r="AB52" i="23" s="1"/>
  <c r="U54" i="23"/>
  <c r="W54" i="23" s="1"/>
  <c r="R54" i="23"/>
  <c r="AB55" i="23" s="1"/>
  <c r="X53" i="22"/>
  <c r="Z52" i="22"/>
  <c r="AB52" i="22" s="1"/>
  <c r="U54" i="22"/>
  <c r="W54" i="22" s="1"/>
  <c r="R54" i="22"/>
  <c r="AB55" i="22" s="1"/>
  <c r="X53" i="21"/>
  <c r="Z52" i="21"/>
  <c r="AB52" i="21" s="1"/>
  <c r="U54" i="21"/>
  <c r="W54" i="21" s="1"/>
  <c r="R54" i="21"/>
  <c r="AB55" i="21" s="1"/>
  <c r="X53" i="20"/>
  <c r="Z52" i="20"/>
  <c r="AB52" i="20" s="1"/>
  <c r="U54" i="20"/>
  <c r="W54" i="20" s="1"/>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Y54" i="23" l="1"/>
  <c r="Y55" i="23" s="1"/>
  <c r="W55" i="23"/>
  <c r="S9" i="23" s="1"/>
  <c r="X54" i="23"/>
  <c r="Z54" i="23" s="1"/>
  <c r="AB54" i="23" s="1"/>
  <c r="Z53" i="23"/>
  <c r="AB53" i="23" s="1"/>
  <c r="AA53" i="23"/>
  <c r="AA54" i="23" s="1"/>
  <c r="Y54" i="22"/>
  <c r="Y55" i="22" s="1"/>
  <c r="W55" i="22"/>
  <c r="S9" i="22" s="1"/>
  <c r="X54" i="22"/>
  <c r="Z54" i="22" s="1"/>
  <c r="AB54" i="22" s="1"/>
  <c r="Z53" i="22"/>
  <c r="AB53" i="22" s="1"/>
  <c r="AA53" i="22"/>
  <c r="AA54" i="22" s="1"/>
  <c r="Y54" i="21"/>
  <c r="Y55" i="21" s="1"/>
  <c r="W55" i="21"/>
  <c r="S9" i="21" s="1"/>
  <c r="X54" i="21"/>
  <c r="Z54" i="21" s="1"/>
  <c r="AB54" i="21" s="1"/>
  <c r="Z53" i="21"/>
  <c r="AB53" i="21" s="1"/>
  <c r="AA53" i="21"/>
  <c r="AA54" i="21" s="1"/>
  <c r="Y54" i="20"/>
  <c r="Y55" i="20" s="1"/>
  <c r="W55" i="20"/>
  <c r="S9" i="20" s="1"/>
  <c r="X54" i="20"/>
  <c r="Z54" i="20" s="1"/>
  <c r="AB54" i="20" s="1"/>
  <c r="Z53" i="20"/>
  <c r="AB53" i="20" s="1"/>
  <c r="AA53" i="20"/>
  <c r="AA54" i="20"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S46" i="9" l="1"/>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S47" i="9" l="1"/>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48" i="9" l="1"/>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S49" i="9" l="1"/>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S50" i="9" l="1"/>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S51" i="9" l="1"/>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S52" i="9" l="1"/>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S53" i="9" l="1"/>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S54" i="9" l="1"/>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AV54" i="9" l="1"/>
  <c r="Q53" i="9"/>
  <c r="Y53" i="9" s="1"/>
  <c r="AY54" i="9"/>
  <c r="AZ54" i="9"/>
  <c r="AQ54" i="9" s="1"/>
  <c r="N54" i="9" s="1"/>
  <c r="BA54" i="9"/>
  <c r="AW54" i="9"/>
  <c r="AX54" i="9"/>
  <c r="AT54" i="9"/>
  <c r="Z52" i="9"/>
  <c r="AB52" i="9" s="1"/>
  <c r="X53" i="9"/>
  <c r="W54" i="9"/>
  <c r="I54" i="9"/>
  <c r="R53" i="9" l="1"/>
  <c r="AA53" i="9" s="1"/>
  <c r="Q54" i="9"/>
  <c r="Y54" i="9" s="1"/>
  <c r="Y55" i="9" s="1"/>
  <c r="Z53" i="9"/>
  <c r="AB53" i="9" s="1"/>
  <c r="W55" i="9"/>
  <c r="D9" i="1"/>
  <c r="D10" i="1"/>
  <c r="D11" i="1"/>
  <c r="D12" i="1"/>
  <c r="D13" i="1"/>
  <c r="R54" i="9" l="1"/>
  <c r="AB55" i="9" s="1"/>
  <c r="Q55" i="9"/>
  <c r="I9" i="9" s="1"/>
  <c r="S9" i="9"/>
  <c r="D14" i="1" l="1"/>
  <c r="X54" i="9" l="1"/>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<sst xmlns="http://schemas.openxmlformats.org/spreadsheetml/2006/main" count="2855" uniqueCount="624">
  <si>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</si>
  <si>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</si>
  <si>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</si>
  <si>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</si>
  <si>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</si>
  <si>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</si>
  <si>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</si>
  <si>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</si>
  <si>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</si>
  <si>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</si>
  <si>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</si>
  <si>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</si>
  <si>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</si>
  <si>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</si>
  <si>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</si>
  <si>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</si>
  <si>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</si>
  <si>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</si>
  <si>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</si>
  <si>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</si>
  <si>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</si>
  <si>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</si>
  <si>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</si>
  <si>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</si>
  <si>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</si>
  <si>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</si>
  <si>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</si>
  <si>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</si>
  <si>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</si>
  <si>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</si>
  <si>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</si>
  <si>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</si>
  <si>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0 Only</t>
  </si>
  <si>
    <t>User Input Dropdown Window</t>
  </si>
  <si>
    <t>Thru Step 1 Only</t>
  </si>
  <si>
    <t>Spreadsheet Calculations</t>
  </si>
  <si>
    <t>Thru Step 2 Only</t>
  </si>
  <si>
    <t>Analysis Script Output</t>
  </si>
  <si>
    <t>See water use summary, area summary and scenario sheets.</t>
  </si>
  <si>
    <t>Thru Step 3 Only</t>
  </si>
  <si>
    <t>Thru Step 4 Only</t>
  </si>
  <si>
    <t>Worksheets</t>
  </si>
  <si>
    <t>Thru Step 5</t>
  </si>
  <si>
    <t>NPV, Water Use and Area Summary</t>
  </si>
  <si>
    <t>Analysis summary results.</t>
  </si>
  <si>
    <t>No Change, DWM, Step0…</t>
  </si>
  <si>
    <t>Year-by-year cost and water use breakdowns by scenario. Sheet name indicates MP stop point for scenario.</t>
  </si>
  <si>
    <t>Base Case water usage (acre-feet/year)</t>
  </si>
  <si>
    <t>Rates</t>
  </si>
  <si>
    <t>Projected MWD water rates (provided by LADWP). Must be changed in 'MP NPV TEMPLATE' workbook prior to script analysis (if necessary).</t>
  </si>
  <si>
    <t>Script Input</t>
  </si>
  <si>
    <t>DCM mapping and cost tables needed for external analysis script. Must be changed in 'MP NPV TEMPLATE' workbook prior to script analysis (if necessary).</t>
  </si>
  <si>
    <t>Data read from Master Project workbook 'output/MP Workbook 05_14_18 09_22.xlsx'</t>
  </si>
  <si>
    <t>MP Schedule</t>
  </si>
  <si>
    <t>Data read from MP input workbook. Must be changed in MP Workbook (if necessary).</t>
  </si>
  <si>
    <t>NPV Analysis run on 05-15-2018 10:25</t>
  </si>
  <si>
    <t>MP Water</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</si>
  <si>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</si>
  <si>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</si>
  <si>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</si>
  <si>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</si>
  <si>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</si>
  <si>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</si>
  <si>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</si>
  <si>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</si>
  <si>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</si>
  <si>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</si>
  <si>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</si>
  <si>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</si>
  <si>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</si>
  <si>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</si>
  <si>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</si>
  <si>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</si>
  <si>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</si>
  <si>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</si>
  <si>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</si>
  <si>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</si>
  <si>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</si>
  <si>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</si>
  <si>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</si>
  <si>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</si>
  <si>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</si>
  <si>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</si>
  <si>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</si>
  <si>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</si>
  <si>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</si>
  <si>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</si>
  <si>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</si>
  <si>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</si>
  <si>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</si>
  <si>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</si>
  <si>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</si>
  <si>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</si>
  <si>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</si>
  <si>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</si>
  <si>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</si>
  <si>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</si>
  <si>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</si>
  <si>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</si>
  <si>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</si>
  <si>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</si>
  <si>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</si>
  <si>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</si>
  <si>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</si>
  <si>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</si>
  <si>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</si>
  <si>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</si>
  <si>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</si>
  <si>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</si>
  <si>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</si>
  <si>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</si>
  <si>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</si>
  <si>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</si>
  <si>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</si>
  <si>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</si>
  <si>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</si>
  <si>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</si>
  <si>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</si>
  <si>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</si>
  <si>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</si>
  <si>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</si>
  <si>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</si>
  <si>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</si>
  <si>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</si>
  <si>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</si>
  <si>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</si>
  <si>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</si>
  <si>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</si>
  <si>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</si>
  <si>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</si>
  <si>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</si>
  <si>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</si>
  <si>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</si>
  <si>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</si>
  <si>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</si>
  <si>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</si>
  <si>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</si>
  <si>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</si>
  <si>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</si>
  <si>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</si>
  <si>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</si>
  <si>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</si>
  <si>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</si>
  <si>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</si>
  <si>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</si>
  <si>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</si>
  <si>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</si>
  <si>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</si>
  <si>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</si>
  <si>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</si>
  <si>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</si>
  <si>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</si>
  <si>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</si>
  <si>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</si>
  <si>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</si>
  <si>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</si>
  <si>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</si>
  <si>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</si>
  <si>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</si>
  <si>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</si>
  <si>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</si>
  <si>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</si>
  <si>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</si>
  <si>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</si>
  <si>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</si>
  <si>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</si>
  <si>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</si>
  <si>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</si>
  <si>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</si>
  <si>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</si>
  <si>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</si>
  <si>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</si>
  <si>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</si>
  <si>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</si>
  <si>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</si>
  <si>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</si>
  <si>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</si>
  <si>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</si>
  <si>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</si>
  <si>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</si>
  <si>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</si>
  <si>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</si>
  <si>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</si>
  <si>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</si>
  <si>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</si>
  <si>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</si>
  <si>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</si>
  <si>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</si>
  <si>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</si>
  <si>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</si>
  <si>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</si>
  <si>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</si>
  <si>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</si>
  <si>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</si>
  <si>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</si>
  <si>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</si>
  <si>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</si>
  <si>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</si>
  <si>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</si>
  <si>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</si>
  <si>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</si>
  <si>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</si>
  <si>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</si>
  <si>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</si>
  <si>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</si>
  <si>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</si>
  <si>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</si>
  <si>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</si>
  <si>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</si>
  <si>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</si>
  <si>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</si>
  <si>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</si>
  <si>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</si>
  <si>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</si>
  <si>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</si>
  <si>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</si>
  <si>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</si>
  <si>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</si>
  <si>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</si>
  <si>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</si>
  <si>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</si>
  <si>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</si>
  <si>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</si>
  <si>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</si>
  <si>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</si>
  <si>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</si>
  <si>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</si>
  <si>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</si>
  <si>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</si>
  <si>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</si>
  <si>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</si>
  <si>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</si>
  <si>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</si>
  <si>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</si>
  <si>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</si>
  <si>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</si>
  <si>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</si>
  <si>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</si>
  <si>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</si>
  <si>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</si>
  <si>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</si>
  <si>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</si>
  <si>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</si>
  <si>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</si>
  <si>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</si>
  <si>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</si>
  <si>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</si>
  <si>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</si>
  <si>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</si>
  <si>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</si>
  <si>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</si>
  <si>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</si>
  <si>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</si>
  <si>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</si>
  <si>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</si>
  <si>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</si>
  <si>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</si>
  <si>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</si>
  <si>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</si>
  <si>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</si>
  <si>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</si>
  <si>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</si>
  <si>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</si>
  <si>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</si>
  <si>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</si>
  <si>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</si>
  <si>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</si>
  <si>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</si>
  <si>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</si>
  <si>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</si>
  <si>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</si>
  <si>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</si>
  <si>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</si>
  <si>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</si>
  <si>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</si>
  <si>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</si>
  <si>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</si>
  <si>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</si>
  <si>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</si>
  <si>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</si>
  <si>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</si>
  <si>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</si>
  <si>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</si>
  <si>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</si>
  <si>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</si>
  <si>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</si>
  <si>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</si>
  <si>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</si>
  <si>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</si>
  <si>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</si>
  <si>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</si>
  <si>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</si>
  <si>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</si>
  <si>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</si>
  <si>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</si>
  <si>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</si>
  <si>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</si>
  <si>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</si>
  <si>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</si>
  <si>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</si>
  <si>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</si>
  <si>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</si>
  <si>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</si>
  <si>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</si>
  <si>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</si>
  <si>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</si>
  <si>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</si>
  <si>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</si>
  <si>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</si>
  <si>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</si>
  <si>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</si>
  <si>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</si>
  <si>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</si>
  <si>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</si>
  <si>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</si>
  <si>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</si>
  <si>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</si>
  <si>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</si>
  <si>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</si>
  <si>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</si>
  <si>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</si>
  <si>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</si>
  <si>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</si>
  <si>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</si>
  <si>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</si>
  <si>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</si>
  <si>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</si>
  <si>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</si>
  <si>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</si>
  <si>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</si>
  <si>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</si>
  <si>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</si>
  <si>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</si>
  <si>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</si>
  <si>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</si>
  <si>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</si>
  <si>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</si>
  <si>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</si>
  <si>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</si>
  <si>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</si>
  <si>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</si>
  <si>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</si>
  <si>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</si>
  <si>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</si>
  <si>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</si>
  <si>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</si>
  <si>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</si>
  <si>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</si>
  <si>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</si>
  <si>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</si>
  <si>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</si>
  <si>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</si>
  <si>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</si>
  <si>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</si>
  <si>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</si>
  <si>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</si>
  <si>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</si>
  <si>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</si>
  <si>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</si>
  <si>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</si>
  <si>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</si>
  <si>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</si>
  <si>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</si>
  <si>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</si>
  <si>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</si>
  <si>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</si>
  <si>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</si>
  <si>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</si>
  <si>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</si>
  <si>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</si>
  <si>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</si>
  <si>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</si>
  <si>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</si>
  <si>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</si>
  <si>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</si>
  <si>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</si>
  <si>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</si>
  <si>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</si>
  <si>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</si>
  <si>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</si>
  <si>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</si>
  <si>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</si>
  <si>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</si>
  <si>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</si>
  <si>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</si>
  <si>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</si>
  <si>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</si>
  <si>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</si>
  <si>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</si>
  <si>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</si>
  <si>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</si>
  <si>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</si>
  <si>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</si>
  <si>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</si>
  <si>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</si>
  <si>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</si>
  <si>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</si>
  <si>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</si>
  <si>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</si>
  <si>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</si>
  <si>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</si>
  <si>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</si>
  <si>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</si>
  <si>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</si>
  <si>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</si>
  <si>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</si>
  <si>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</si>
  <si>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</si>
  <si>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</si>
  <si>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</si>
  <si>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</si>
  <si>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</si>
  <si>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</si>
  <si>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</si>
  <si>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</si>
  <si>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</si>
  <si>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</si>
  <si>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</si>
  <si>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</si>
  <si>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</si>
  <si>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</si>
  <si>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</si>
  <si>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</si>
  <si>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</si>
  <si>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</si>
  <si>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</si>
  <si>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</si>
  <si>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</si>
  <si>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</si>
  <si>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</si>
  <si>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</si>
  <si>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</si>
  <si>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</si>
  <si>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</si>
  <si>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</si>
  <si>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</si>
  <si>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</si>
  <si>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</si>
  <si>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</si>
  <si>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</si>
  <si>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</si>
  <si>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</si>
  <si>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</si>
  <si>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</si>
  <si>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</si>
  <si>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</si>
  <si>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</si>
  <si>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</si>
  <si>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</si>
  <si>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</si>
  <si>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</si>
  <si>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</si>
  <si>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</si>
  <si>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</si>
  <si>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</si>
  <si>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</si>
  <si>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</si>
  <si>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</si>
  <si>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</si>
  <si>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</si>
  <si>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</si>
  <si>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</si>
  <si>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</si>
  <si>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</si>
  <si>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</si>
  <si>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</si>
  <si>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</si>
  <si>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</si>
  <si>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</si>
  <si>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</si>
  <si>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</si>
  <si>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</si>
  <si>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</si>
  <si>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</si>
  <si>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</si>
  <si>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</si>
  <si>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</si>
  <si>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</si>
  <si>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</si>
  <si>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</si>
  <si>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</si>
  <si>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</si>
  <si>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</si>
  <si>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</si>
  <si>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</si>
  <si>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</si>
  <si>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</si>
  <si>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</si>
  <si>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</si>
  <si>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</si>
  <si>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</si>
  <si>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</si>
  <si>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</si>
  <si>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</si>
  <si>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</si>
  <si>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</si>
  <si>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</si>
  <si>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</si>
  <si>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</si>
  <si>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</si>
  <si>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</si>
  <si>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</si>
  <si>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</si>
  <si>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</si>
  <si>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</si>
  <si>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</si>
  <si>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</si>
  <si>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</si>
  <si>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</si>
  <si>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</si>
  <si>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</si>
  <si>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</si>
  <si>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</si>
  <si>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</si>
  <si>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</si>
  <si>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</si>
  <si>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</si>
  <si>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Step 0</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</si>
  <si>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</si>
  <si>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</si>
  <si>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</si>
  <si>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</si>
  <si>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</si>
  <si>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</si>
  <si>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</si>
  <si>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</si>
  <si>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</si>
  <si>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</si>
  <si>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</si>
  <si>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</si>
  <si>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</si>
  <si>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</si>
  <si>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</si>
  <si>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</si>
  <si>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</si>
  <si>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</si>
  <si>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</si>
  <si>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</si>
  <si>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</si>
  <si>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</si>
  <si>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</si>
  <si>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</si>
  <si>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</si>
  <si>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</si>
  <si>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</si>
  <si>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</si>
  <si>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</si>
  <si>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</si>
  <si>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</si>
  <si>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</si>
  <si>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</si>
  <si>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</si>
  <si>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</si>
  <si>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</si>
  <si>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</si>
  <si>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</si>
  <si>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</si>
  <si>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</si>
  <si>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</si>
  <si>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</si>
  <si>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</si>
  <si>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</si>
  <si>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</si>
  <si>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</si>
  <si>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</si>
  <si>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</si>
  <si>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</si>
  <si>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</si>
  <si>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</si>
  <si>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</si>
  <si>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</si>
  <si>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</si>
  <si>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</si>
  <si>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</si>
  <si>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</si>
  <si>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</si>
  <si>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</si>
  <si>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</si>
  <si>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</si>
  <si>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</si>
  <si>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</si>
  <si>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</si>
  <si>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</si>
  <si>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</si>
  <si>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</si>
  <si>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</si>
  <si>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</si>
  <si>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</si>
  <si>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</si>
  <si>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</si>
  <si>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</si>
  <si>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</si>
  <si>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</si>
  <si>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</si>
  <si>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</si>
  <si>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</si>
  <si>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</si>
  <si>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T30-1 should not be changed (remain Breeding Waterfowl and Meadow)</t>
  </si>
  <si>
    <t>All DCAs under waterless DCM (Tillage, Brine, Gravel, Sand Fences) in Step 0 should be kept as-is.</t>
  </si>
  <si>
    <t>Channel areas locked to "ENV" - not in TDCA</t>
  </si>
  <si>
    <t>T10-1a waterless only</t>
  </si>
  <si>
    <t xml:space="preserve">T3SE and T3NE are now tillage, but challenging. Allow options for other BACM. </t>
  </si>
  <si>
    <t>T23-5 should no gravel</t>
  </si>
  <si>
    <t>T11 should Brine only</t>
  </si>
  <si>
    <t>T23NE Brine only</t>
  </si>
  <si>
    <t>T23SE no Tillage</t>
  </si>
  <si>
    <t>T25-3 no Tillage or Gravel</t>
  </si>
  <si>
    <t>T26 should no tillage, sand fences or brine</t>
  </si>
  <si>
    <t>T27 Addtion Brine only</t>
  </si>
  <si>
    <t>T29-3 Brine only</t>
  </si>
  <si>
    <t>All Meadow stays as-is</t>
  </si>
  <si>
    <t>T16 stays MWF and MSB</t>
  </si>
  <si>
    <t xml:space="preserve"> T4-3, T4-3 Addition no ponds</t>
  </si>
  <si>
    <t>Nothing ENV except for Channel Areas</t>
  </si>
  <si>
    <t>T1A-2 to stay as BWF</t>
  </si>
  <si>
    <t>Additional O&amp;M Cost Per Step ($Millions)</t>
  </si>
  <si>
    <t>Water Saved in Step (a-f/y) with GW</t>
  </si>
  <si>
    <t>Water Savings in Step (a-f/y) w/o GW</t>
  </si>
  <si>
    <t>Total Water Savings (a-f/y) w/o GW</t>
  </si>
  <si>
    <t>Total Water Saved (a-f/y) with GW</t>
  </si>
  <si>
    <t>k</t>
  </si>
  <si>
    <t>MWD Water Rates, as provided by LADWP</t>
  </si>
  <si>
    <t xml:space="preserve">Changes to user input cells will automatically update spreadsheet calculations. </t>
  </si>
  <si>
    <t>Workbook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</si>
</sst>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2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20" borderId="104"/>
    <xf numFmtId="0" fontId="38" fillId="0" borderId="0" applyNumberFormat="0" applyFill="0" applyBorder="0" applyAlignment="0" applyProtection="0"/>
    <xf numFmtId="43" fontId="3" fillId="0" borderId="0" applyFont="0" applyFill="0" applyBorder="0" applyAlignment="0" applyProtection="0"/>
  </cellStyleXfs>
  <cellXfs count="696">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2" fillId="4" borderId="39" xfId="0" applyFont="1" applyFill="1" applyBorder="1" applyAlignment="1">
      <alignment horizontal="center" vertical="center"/>
    </xf>
    <xf numFmtId="0" fontId="2" fillId="8" borderId="32" xfId="0" applyFont="1" applyFill="1" applyBorder="1"/>
    <xf numFmtId="0" fontId="1" fillId="8" borderId="29" xfId="0" applyFont="1" applyFill="1" applyBorder="1" applyAlignment="1" applyProtection="1">
      <alignment horizontal="center" vertical="center"/>
      <protection locked="0"/>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8" borderId="31" xfId="0" applyFont="1" applyFill="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3" fontId="1" fillId="7" borderId="29" xfId="0" applyNumberFormat="1"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1" fillId="7" borderId="16" xfId="0" applyFont="1" applyFill="1" applyBorder="1" applyAlignment="1" applyProtection="1">
      <alignment horizontal="center" vertical="center"/>
      <protection locked="0"/>
    </xf>
    <xf numFmtId="9" fontId="1" fillId="7" borderId="34" xfId="0" applyNumberFormat="1" applyFont="1" applyFill="1" applyBorder="1" applyAlignment="1" applyProtection="1">
      <alignment horizontal="center" vertical="center"/>
      <protection locked="0"/>
    </xf>
    <xf numFmtId="0" fontId="6" fillId="3" borderId="35" xfId="0" applyFont="1" applyFill="1" applyBorder="1" applyAlignment="1">
      <alignment horizontal="center" vertical="center" wrapText="1"/>
    </xf>
    <xf numFmtId="41" fontId="13" fillId="9" borderId="1" xfId="0" applyNumberFormat="1" applyFont="1" applyFill="1" applyBorder="1" applyAlignment="1">
      <alignment horizontal="center"/>
    </xf>
    <xf numFmtId="41" fontId="13" fillId="9" borderId="7" xfId="0" applyNumberFormat="1" applyFont="1" applyFill="1" applyBorder="1" applyAlignment="1">
      <alignment horizontal="center"/>
    </xf>
    <xf numFmtId="0" fontId="1" fillId="7" borderId="39" xfId="0" applyFont="1" applyFill="1" applyBorder="1" applyAlignment="1" applyProtection="1">
      <alignment horizontal="center" vertical="center"/>
      <protection locked="0"/>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2" fillId="7" borderId="32" xfId="0" applyFont="1" applyFill="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1" fillId="7" borderId="9" xfId="0" applyFont="1" applyFill="1" applyBorder="1" applyAlignment="1" applyProtection="1">
      <alignment horizontal="center" vertical="center"/>
      <protection locked="0"/>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2" fillId="10" borderId="32" xfId="0" applyFont="1" applyFill="1" applyBorder="1" applyAlignment="1" applyProtection="1">
      <alignment horizontal="center" vertical="center"/>
      <protection locked="0"/>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0" fontId="0" fillId="0" borderId="0" xfId="0" applyAlignment="1">
      <alignment horizontal="left"/>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1" fontId="2" fillId="10" borderId="32" xfId="0" applyNumberFormat="1" applyFont="1" applyFill="1"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7" borderId="29" xfId="0" applyNumberFormat="1" applyFont="1" applyFill="1" applyBorder="1" applyAlignment="1" applyProtection="1">
      <alignment horizontal="center" vertical="center"/>
      <protection locked="0"/>
    </xf>
    <xf numFmtId="166" fontId="1" fillId="7" borderId="35" xfId="0" applyNumberFormat="1"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166" fontId="1" fillId="8" borderId="8" xfId="0" applyNumberFormat="1" applyFont="1" applyFill="1" applyBorder="1" applyAlignment="1" applyProtection="1">
      <alignment horizontal="center" vertical="center"/>
      <protection locked="0"/>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5" borderId="78" xfId="2" applyNumberFormat="1" applyFont="1" applyFill="1" applyBorder="1" applyAlignment="1">
      <alignment horizontal="center" wrapText="1"/>
    </xf>
    <xf numFmtId="0" fontId="3" fillId="15" borderId="79" xfId="2" applyFill="1" applyBorder="1" applyAlignment="1">
      <alignment wrapText="1"/>
    </xf>
    <xf numFmtId="169" fontId="3" fillId="15" borderId="13" xfId="2" applyNumberFormat="1" applyFill="1" applyBorder="1" applyAlignment="1">
      <alignment wrapText="1"/>
    </xf>
    <xf numFmtId="169" fontId="3" fillId="15" borderId="11" xfId="2" applyNumberFormat="1" applyFill="1" applyBorder="1" applyAlignment="1">
      <alignment wrapText="1"/>
    </xf>
    <xf numFmtId="169" fontId="3" fillId="15" borderId="23" xfId="2" applyNumberFormat="1" applyFill="1" applyBorder="1" applyAlignment="1">
      <alignment wrapText="1"/>
    </xf>
    <xf numFmtId="169" fontId="3" fillId="15" borderId="14" xfId="2" applyNumberFormat="1" applyFill="1" applyBorder="1" applyAlignment="1">
      <alignment wrapText="1"/>
    </xf>
    <xf numFmtId="169" fontId="3" fillId="15" borderId="41" xfId="2" applyNumberFormat="1" applyFont="1" applyFill="1" applyBorder="1" applyAlignment="1">
      <alignment wrapText="1"/>
    </xf>
    <xf numFmtId="6" fontId="3" fillId="15" borderId="61" xfId="2" applyNumberFormat="1" applyFont="1" applyFill="1" applyBorder="1" applyAlignment="1">
      <alignment horizontal="right" wrapText="1"/>
    </xf>
    <xf numFmtId="6" fontId="3" fillId="15" borderId="61" xfId="2" applyNumberFormat="1" applyFont="1" applyFill="1" applyBorder="1" applyAlignment="1">
      <alignment horizontal="center" wrapText="1"/>
    </xf>
    <xf numFmtId="1" fontId="3" fillId="15" borderId="61" xfId="2" applyNumberFormat="1" applyFont="1" applyFill="1" applyBorder="1" applyAlignment="1">
      <alignment horizontal="center" wrapText="1"/>
    </xf>
    <xf numFmtId="0" fontId="3" fillId="15" borderId="62" xfId="2" applyFill="1" applyBorder="1" applyAlignment="1">
      <alignment wrapText="1"/>
    </xf>
    <xf numFmtId="169" fontId="3" fillId="15" borderId="6" xfId="2" applyNumberFormat="1" applyFill="1" applyBorder="1" applyAlignment="1">
      <alignment wrapText="1"/>
    </xf>
    <xf numFmtId="169" fontId="3" fillId="15" borderId="57" xfId="2" applyNumberFormat="1" applyFill="1" applyBorder="1" applyAlignment="1">
      <alignment wrapText="1"/>
    </xf>
    <xf numFmtId="169" fontId="3" fillId="15" borderId="2" xfId="2" applyNumberFormat="1" applyFill="1" applyBorder="1" applyAlignment="1">
      <alignment wrapText="1"/>
    </xf>
    <xf numFmtId="169" fontId="3" fillId="15" borderId="7" xfId="2" applyNumberFormat="1" applyFill="1" applyBorder="1" applyAlignment="1">
      <alignment wrapText="1"/>
    </xf>
    <xf numFmtId="169" fontId="3" fillId="15" borderId="42" xfId="2" applyNumberFormat="1" applyFont="1" applyFill="1" applyBorder="1" applyAlignment="1">
      <alignment wrapText="1"/>
    </xf>
    <xf numFmtId="0" fontId="3" fillId="15" borderId="61" xfId="2" applyFont="1" applyFill="1" applyBorder="1" applyAlignment="1">
      <alignment horizontal="right" wrapText="1"/>
    </xf>
    <xf numFmtId="0" fontId="3" fillId="15" borderId="61" xfId="2" applyFont="1" applyFill="1" applyBorder="1" applyAlignment="1">
      <alignment horizontal="center" wrapText="1"/>
    </xf>
    <xf numFmtId="0" fontId="3" fillId="15" borderId="61" xfId="2" applyFill="1" applyBorder="1" applyAlignment="1">
      <alignment horizontal="right" wrapText="1"/>
    </xf>
    <xf numFmtId="1" fontId="3" fillId="15" borderId="61" xfId="2" applyNumberFormat="1" applyFill="1" applyBorder="1" applyAlignment="1">
      <alignment horizontal="center" wrapText="1"/>
    </xf>
    <xf numFmtId="0" fontId="3" fillId="15" borderId="80" xfId="2" applyFill="1" applyBorder="1" applyAlignment="1">
      <alignment horizontal="right" wrapText="1"/>
    </xf>
    <xf numFmtId="1" fontId="3" fillId="15" borderId="80" xfId="2" applyNumberFormat="1" applyFill="1" applyBorder="1" applyAlignment="1">
      <alignment horizontal="center" wrapText="1"/>
    </xf>
    <xf numFmtId="0" fontId="3" fillId="15" borderId="64" xfId="2" applyFont="1" applyFill="1" applyBorder="1" applyAlignment="1">
      <alignment wrapText="1"/>
    </xf>
    <xf numFmtId="169" fontId="3" fillId="15" borderId="8" xfId="2" applyNumberFormat="1" applyFill="1" applyBorder="1" applyAlignment="1">
      <alignment wrapText="1"/>
    </xf>
    <xf numFmtId="169" fontId="3" fillId="15" borderId="9" xfId="2" applyNumberFormat="1" applyFill="1" applyBorder="1" applyAlignment="1">
      <alignment wrapText="1"/>
    </xf>
    <xf numFmtId="169" fontId="3" fillId="15" borderId="81" xfId="2" applyNumberFormat="1" applyFill="1" applyBorder="1" applyAlignment="1">
      <alignment wrapText="1"/>
    </xf>
    <xf numFmtId="169" fontId="3" fillId="15" borderId="10" xfId="2" applyNumberFormat="1" applyFill="1" applyBorder="1" applyAlignment="1">
      <alignment wrapText="1"/>
    </xf>
    <xf numFmtId="169" fontId="3" fillId="15"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5" borderId="83" xfId="2" applyFont="1" applyFill="1" applyBorder="1" applyAlignment="1">
      <alignment wrapText="1"/>
    </xf>
    <xf numFmtId="169" fontId="9" fillId="15" borderId="84" xfId="2" applyNumberFormat="1" applyFont="1" applyFill="1" applyBorder="1" applyAlignment="1">
      <alignment wrapText="1"/>
    </xf>
    <xf numFmtId="169" fontId="9" fillId="15" borderId="85" xfId="2" applyNumberFormat="1" applyFont="1" applyFill="1" applyBorder="1" applyAlignment="1">
      <alignment wrapText="1"/>
    </xf>
    <xf numFmtId="169" fontId="9" fillId="15" borderId="86" xfId="2" applyNumberFormat="1" applyFont="1" applyFill="1" applyBorder="1" applyAlignment="1">
      <alignment wrapText="1"/>
    </xf>
    <xf numFmtId="169" fontId="9" fillId="15" borderId="87" xfId="2" applyNumberFormat="1" applyFont="1" applyFill="1" applyBorder="1" applyAlignment="1">
      <alignment wrapText="1"/>
    </xf>
    <xf numFmtId="169" fontId="9" fillId="15"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8" borderId="78" xfId="2" applyNumberFormat="1" applyFont="1" applyFill="1" applyBorder="1" applyAlignment="1">
      <alignment horizontal="center" wrapText="1"/>
    </xf>
    <xf numFmtId="0" fontId="3" fillId="8" borderId="79" xfId="2" applyFill="1" applyBorder="1" applyAlignment="1">
      <alignment wrapText="1"/>
    </xf>
    <xf numFmtId="169" fontId="3" fillId="8" borderId="89" xfId="2" applyNumberFormat="1" applyFill="1" applyBorder="1" applyAlignment="1">
      <alignment wrapText="1"/>
    </xf>
    <xf numFmtId="169" fontId="3" fillId="8" borderId="90" xfId="2" applyNumberFormat="1" applyFill="1" applyBorder="1" applyAlignment="1">
      <alignment wrapText="1"/>
    </xf>
    <xf numFmtId="169" fontId="3" fillId="8" borderId="91" xfId="2" applyNumberFormat="1" applyFill="1" applyBorder="1" applyAlignment="1">
      <alignment wrapText="1"/>
    </xf>
    <xf numFmtId="169" fontId="3" fillId="8" borderId="92" xfId="2" applyNumberFormat="1" applyFill="1" applyBorder="1" applyAlignment="1">
      <alignment wrapText="1"/>
    </xf>
    <xf numFmtId="169" fontId="3" fillId="8" borderId="78" xfId="2" applyNumberFormat="1" applyFont="1" applyFill="1" applyBorder="1" applyAlignment="1">
      <alignment wrapText="1"/>
    </xf>
    <xf numFmtId="6" fontId="3" fillId="8" borderId="61" xfId="2" applyNumberFormat="1" applyFont="1" applyFill="1" applyBorder="1" applyAlignment="1">
      <alignment horizontal="right" wrapText="1"/>
    </xf>
    <xf numFmtId="6" fontId="3" fillId="8" borderId="61" xfId="2" applyNumberFormat="1" applyFont="1" applyFill="1" applyBorder="1" applyAlignment="1">
      <alignment horizontal="center" wrapText="1"/>
    </xf>
    <xf numFmtId="1" fontId="3" fillId="8" borderId="61" xfId="2" applyNumberFormat="1" applyFont="1" applyFill="1" applyBorder="1" applyAlignment="1">
      <alignment horizontal="center" wrapText="1"/>
    </xf>
    <xf numFmtId="0" fontId="3" fillId="8" borderId="62" xfId="2" applyFill="1" applyBorder="1" applyAlignment="1">
      <alignment wrapText="1"/>
    </xf>
    <xf numFmtId="169" fontId="3" fillId="8" borderId="6" xfId="2" applyNumberFormat="1" applyFill="1" applyBorder="1" applyAlignment="1">
      <alignment wrapText="1"/>
    </xf>
    <xf numFmtId="169" fontId="3" fillId="8" borderId="57" xfId="2" applyNumberFormat="1" applyFill="1" applyBorder="1" applyAlignment="1">
      <alignment wrapText="1"/>
    </xf>
    <xf numFmtId="169" fontId="3" fillId="8" borderId="2" xfId="2" applyNumberFormat="1" applyFill="1" applyBorder="1" applyAlignment="1">
      <alignment wrapText="1"/>
    </xf>
    <xf numFmtId="169" fontId="3" fillId="8" borderId="7" xfId="2" applyNumberFormat="1" applyFill="1" applyBorder="1" applyAlignment="1">
      <alignment wrapText="1"/>
    </xf>
    <xf numFmtId="169" fontId="3" fillId="8" borderId="42" xfId="2" applyNumberFormat="1" applyFont="1" applyFill="1" applyBorder="1" applyAlignment="1">
      <alignment wrapText="1"/>
    </xf>
    <xf numFmtId="0" fontId="3" fillId="8" borderId="61" xfId="2" applyFont="1" applyFill="1" applyBorder="1" applyAlignment="1">
      <alignment horizontal="right" wrapText="1"/>
    </xf>
    <xf numFmtId="0" fontId="3" fillId="8" borderId="61" xfId="2" applyFont="1" applyFill="1" applyBorder="1" applyAlignment="1">
      <alignment horizontal="center" wrapText="1"/>
    </xf>
    <xf numFmtId="0" fontId="3" fillId="8" borderId="61" xfId="2" applyFill="1" applyBorder="1" applyAlignment="1">
      <alignment horizontal="right" wrapText="1"/>
    </xf>
    <xf numFmtId="1" fontId="3" fillId="8" borderId="61" xfId="2" applyNumberFormat="1" applyFill="1" applyBorder="1" applyAlignment="1">
      <alignment horizontal="center" wrapText="1"/>
    </xf>
    <xf numFmtId="0" fontId="3" fillId="8" borderId="80" xfId="2" applyFill="1" applyBorder="1" applyAlignment="1">
      <alignment horizontal="right" wrapText="1"/>
    </xf>
    <xf numFmtId="1" fontId="3" fillId="8" borderId="80" xfId="2" applyNumberFormat="1" applyFill="1" applyBorder="1" applyAlignment="1">
      <alignment horizontal="center" wrapText="1"/>
    </xf>
    <xf numFmtId="0" fontId="3" fillId="8" borderId="93" xfId="2" applyFill="1" applyBorder="1" applyAlignment="1">
      <alignment wrapText="1"/>
    </xf>
    <xf numFmtId="169" fontId="3" fillId="8" borderId="45" xfId="2" applyNumberFormat="1" applyFill="1" applyBorder="1" applyAlignment="1">
      <alignment wrapText="1"/>
    </xf>
    <xf numFmtId="169" fontId="3" fillId="8" borderId="30" xfId="2" applyNumberFormat="1" applyFill="1" applyBorder="1" applyAlignment="1">
      <alignment wrapText="1"/>
    </xf>
    <xf numFmtId="169" fontId="3" fillId="8" borderId="94" xfId="2" applyNumberFormat="1" applyFill="1" applyBorder="1" applyAlignment="1">
      <alignment wrapText="1"/>
    </xf>
    <xf numFmtId="169" fontId="3" fillId="8" borderId="21" xfId="2" applyNumberFormat="1" applyFill="1" applyBorder="1" applyAlignment="1">
      <alignment wrapText="1"/>
    </xf>
    <xf numFmtId="169" fontId="3" fillId="8" borderId="95" xfId="2" applyNumberFormat="1" applyFont="1" applyFill="1" applyBorder="1" applyAlignment="1">
      <alignment wrapText="1"/>
    </xf>
    <xf numFmtId="0" fontId="3" fillId="8" borderId="69" xfId="2" applyFill="1" applyBorder="1" applyAlignment="1">
      <alignment wrapText="1"/>
    </xf>
    <xf numFmtId="169" fontId="9" fillId="8" borderId="73" xfId="2" applyNumberFormat="1" applyFont="1" applyFill="1" applyBorder="1" applyAlignment="1">
      <alignment wrapText="1"/>
    </xf>
    <xf numFmtId="169" fontId="9" fillId="8" borderId="74" xfId="2" applyNumberFormat="1" applyFont="1" applyFill="1" applyBorder="1" applyAlignment="1">
      <alignment wrapText="1"/>
    </xf>
    <xf numFmtId="169" fontId="9" fillId="8" borderId="76" xfId="2" applyNumberFormat="1" applyFont="1" applyFill="1" applyBorder="1" applyAlignment="1">
      <alignment wrapText="1"/>
    </xf>
    <xf numFmtId="169" fontId="9" fillId="8" borderId="96" xfId="2" applyNumberFormat="1" applyFont="1" applyFill="1" applyBorder="1" applyAlignment="1">
      <alignment wrapText="1"/>
    </xf>
    <xf numFmtId="1" fontId="3" fillId="16" borderId="101" xfId="2" applyNumberFormat="1" applyFont="1" applyFill="1" applyBorder="1" applyAlignment="1">
      <alignment horizontal="center" wrapText="1"/>
    </xf>
    <xf numFmtId="0" fontId="3" fillId="16" borderId="102" xfId="2" applyFont="1" applyFill="1" applyBorder="1" applyAlignment="1">
      <alignment wrapText="1"/>
    </xf>
    <xf numFmtId="169" fontId="3" fillId="16" borderId="13" xfId="2" applyNumberFormat="1" applyFill="1" applyBorder="1" applyAlignment="1">
      <alignment wrapText="1"/>
    </xf>
    <xf numFmtId="169" fontId="3" fillId="16" borderId="11" xfId="2" applyNumberFormat="1" applyFill="1" applyBorder="1" applyAlignment="1">
      <alignment wrapText="1"/>
    </xf>
    <xf numFmtId="169" fontId="3" fillId="16" borderId="23" xfId="2" applyNumberFormat="1" applyFill="1" applyBorder="1" applyAlignment="1">
      <alignment wrapText="1"/>
    </xf>
    <xf numFmtId="169" fontId="3" fillId="16" borderId="14" xfId="2" applyNumberFormat="1" applyFill="1" applyBorder="1" applyAlignment="1">
      <alignment wrapText="1"/>
    </xf>
    <xf numFmtId="169" fontId="3" fillId="16" borderId="41" xfId="2" applyNumberFormat="1" applyFont="1" applyFill="1" applyBorder="1" applyAlignment="1">
      <alignment wrapText="1"/>
    </xf>
    <xf numFmtId="6" fontId="3" fillId="16" borderId="61" xfId="2" applyNumberFormat="1" applyFont="1" applyFill="1" applyBorder="1" applyAlignment="1">
      <alignment horizontal="right" wrapText="1"/>
    </xf>
    <xf numFmtId="6" fontId="3" fillId="16" borderId="61" xfId="2" applyNumberFormat="1" applyFont="1" applyFill="1" applyBorder="1" applyAlignment="1">
      <alignment horizontal="center" wrapText="1"/>
    </xf>
    <xf numFmtId="1" fontId="3" fillId="16" borderId="102" xfId="2" applyNumberFormat="1" applyFont="1" applyFill="1" applyBorder="1" applyAlignment="1">
      <alignment horizontal="center" wrapText="1"/>
    </xf>
    <xf numFmtId="169" fontId="3" fillId="16" borderId="57" xfId="2" applyNumberFormat="1" applyFill="1" applyBorder="1" applyAlignment="1">
      <alignment wrapText="1"/>
    </xf>
    <xf numFmtId="169" fontId="3" fillId="16" borderId="2" xfId="2" applyNumberFormat="1" applyFill="1" applyBorder="1" applyAlignment="1">
      <alignment wrapText="1"/>
    </xf>
    <xf numFmtId="169" fontId="3" fillId="16" borderId="7" xfId="2" applyNumberFormat="1" applyFill="1" applyBorder="1" applyAlignment="1">
      <alignment wrapText="1"/>
    </xf>
    <xf numFmtId="0" fontId="3" fillId="16" borderId="61" xfId="2" applyFont="1" applyFill="1" applyBorder="1" applyAlignment="1">
      <alignment horizontal="right" wrapText="1"/>
    </xf>
    <xf numFmtId="1" fontId="3" fillId="16" borderId="62" xfId="2" applyNumberFormat="1" applyFont="1" applyFill="1" applyBorder="1" applyAlignment="1">
      <alignment horizontal="center" wrapText="1"/>
    </xf>
    <xf numFmtId="0" fontId="3" fillId="16" borderId="62" xfId="2" applyFill="1" applyBorder="1" applyAlignment="1">
      <alignment wrapText="1"/>
    </xf>
    <xf numFmtId="169" fontId="3" fillId="16" borderId="61" xfId="2" applyNumberFormat="1" applyFill="1" applyBorder="1" applyAlignment="1">
      <alignment wrapText="1"/>
    </xf>
    <xf numFmtId="169" fontId="3" fillId="16" borderId="3" xfId="2" applyNumberFormat="1" applyFill="1" applyBorder="1" applyAlignment="1">
      <alignment wrapText="1"/>
    </xf>
    <xf numFmtId="0" fontId="3" fillId="16" borderId="61" xfId="2" applyFill="1" applyBorder="1" applyAlignment="1">
      <alignment horizontal="right" wrapText="1"/>
    </xf>
    <xf numFmtId="0" fontId="3" fillId="16" borderId="62" xfId="2" applyFont="1" applyFill="1" applyBorder="1" applyAlignment="1">
      <alignment wrapText="1"/>
    </xf>
    <xf numFmtId="0" fontId="3" fillId="16" borderId="63" xfId="2" applyFill="1" applyBorder="1" applyAlignment="1">
      <alignment horizontal="right" wrapText="1"/>
    </xf>
    <xf numFmtId="1" fontId="3" fillId="16" borderId="62" xfId="2" applyNumberFormat="1" applyFill="1" applyBorder="1" applyAlignment="1">
      <alignment horizontal="center" wrapText="1"/>
    </xf>
    <xf numFmtId="169" fontId="3" fillId="16" borderId="30" xfId="2" applyNumberFormat="1" applyFill="1" applyBorder="1" applyAlignment="1">
      <alignment wrapText="1"/>
    </xf>
    <xf numFmtId="169" fontId="3" fillId="16" borderId="94" xfId="2" applyNumberFormat="1" applyFill="1" applyBorder="1" applyAlignment="1">
      <alignment wrapText="1"/>
    </xf>
    <xf numFmtId="169" fontId="3" fillId="16" borderId="21" xfId="2" applyNumberFormat="1" applyFill="1" applyBorder="1" applyAlignment="1">
      <alignment wrapText="1"/>
    </xf>
    <xf numFmtId="0" fontId="3" fillId="16" borderId="80" xfId="2" applyFill="1" applyBorder="1" applyAlignment="1">
      <alignment horizontal="right" wrapText="1"/>
    </xf>
    <xf numFmtId="1" fontId="3" fillId="16" borderId="64" xfId="2" applyNumberFormat="1" applyFill="1" applyBorder="1" applyAlignment="1">
      <alignment horizontal="center" wrapText="1"/>
    </xf>
    <xf numFmtId="0" fontId="3" fillId="16" borderId="64" xfId="2" applyFont="1" applyFill="1" applyBorder="1" applyAlignment="1">
      <alignment wrapText="1"/>
    </xf>
    <xf numFmtId="169" fontId="3" fillId="16" borderId="80" xfId="2" applyNumberFormat="1" applyFill="1" applyBorder="1" applyAlignment="1">
      <alignment wrapText="1"/>
    </xf>
    <xf numFmtId="169" fontId="3" fillId="16" borderId="9" xfId="2" applyNumberFormat="1" applyFill="1" applyBorder="1" applyAlignment="1">
      <alignment wrapText="1"/>
    </xf>
    <xf numFmtId="169" fontId="3" fillId="16" borderId="25" xfId="2" applyNumberFormat="1" applyFill="1" applyBorder="1" applyAlignment="1">
      <alignment wrapText="1"/>
    </xf>
    <xf numFmtId="169" fontId="3" fillId="16" borderId="81" xfId="2" applyNumberFormat="1" applyFill="1" applyBorder="1" applyAlignment="1">
      <alignment wrapText="1"/>
    </xf>
    <xf numFmtId="169" fontId="3" fillId="16" borderId="10" xfId="2" applyNumberFormat="1" applyFill="1" applyBorder="1" applyAlignment="1">
      <alignment wrapText="1"/>
    </xf>
    <xf numFmtId="169" fontId="3" fillId="16" borderId="82" xfId="2" applyNumberFormat="1" applyFont="1" applyFill="1" applyBorder="1" applyAlignment="1">
      <alignment wrapText="1"/>
    </xf>
    <xf numFmtId="169" fontId="3" fillId="0" borderId="0" xfId="2" applyNumberFormat="1" applyAlignment="1">
      <alignment wrapText="1"/>
    </xf>
    <xf numFmtId="169" fontId="3" fillId="16" borderId="42" xfId="2" applyNumberFormat="1" applyFont="1" applyFill="1" applyBorder="1" applyAlignment="1">
      <alignment wrapText="1"/>
    </xf>
    <xf numFmtId="169" fontId="3" fillId="16" borderId="103" xfId="2" applyNumberFormat="1" applyFill="1" applyBorder="1" applyAlignment="1">
      <alignment wrapText="1"/>
    </xf>
    <xf numFmtId="169" fontId="3" fillId="16" borderId="63" xfId="2" applyNumberFormat="1" applyFill="1" applyBorder="1" applyAlignment="1">
      <alignment wrapText="1"/>
    </xf>
    <xf numFmtId="169" fontId="3" fillId="16" borderId="24" xfId="2" applyNumberFormat="1" applyFill="1" applyBorder="1" applyAlignment="1">
      <alignment wrapText="1"/>
    </xf>
    <xf numFmtId="3" fontId="9" fillId="16" borderId="69" xfId="2" applyNumberFormat="1" applyFont="1" applyFill="1" applyBorder="1" applyAlignment="1">
      <alignment horizontal="center" wrapText="1"/>
    </xf>
    <xf numFmtId="169" fontId="9" fillId="16" borderId="73" xfId="2" applyNumberFormat="1" applyFont="1" applyFill="1" applyBorder="1" applyAlignment="1">
      <alignment horizontal="center" wrapText="1"/>
    </xf>
    <xf numFmtId="169" fontId="9" fillId="16" borderId="74" xfId="2" applyNumberFormat="1" applyFont="1" applyFill="1" applyBorder="1" applyAlignment="1">
      <alignment horizontal="center" wrapText="1"/>
    </xf>
    <xf numFmtId="169" fontId="9" fillId="16" borderId="71" xfId="2" applyNumberFormat="1" applyFont="1" applyFill="1" applyBorder="1" applyAlignment="1">
      <alignment horizontal="center" wrapText="1"/>
    </xf>
    <xf numFmtId="3" fontId="9" fillId="16" borderId="0" xfId="2" applyNumberFormat="1" applyFont="1" applyFill="1" applyBorder="1" applyAlignment="1">
      <alignment horizontal="center" wrapText="1"/>
    </xf>
    <xf numFmtId="169" fontId="9" fillId="16" borderId="0" xfId="2" applyNumberFormat="1" applyFont="1" applyFill="1" applyBorder="1" applyAlignment="1">
      <alignment horizontal="center" wrapText="1"/>
    </xf>
    <xf numFmtId="0" fontId="9" fillId="16" borderId="0" xfId="2" applyFont="1" applyFill="1" applyBorder="1" applyAlignment="1">
      <alignment horizontal="center" wrapText="1"/>
    </xf>
    <xf numFmtId="0" fontId="9" fillId="16" borderId="0" xfId="2" applyFont="1" applyFill="1" applyAlignment="1"/>
    <xf numFmtId="169" fontId="3" fillId="16" borderId="0" xfId="2" applyNumberFormat="1" applyFill="1" applyAlignment="1"/>
    <xf numFmtId="0" fontId="3" fillId="0" borderId="0" xfId="2" applyAlignment="1"/>
    <xf numFmtId="0" fontId="3" fillId="16" borderId="0" xfId="2" applyFill="1" applyAlignment="1"/>
    <xf numFmtId="1" fontId="3" fillId="8" borderId="44" xfId="2" applyNumberFormat="1" applyFont="1" applyFill="1" applyBorder="1" applyAlignment="1">
      <alignment horizontal="center" wrapText="1"/>
    </xf>
    <xf numFmtId="0" fontId="3" fillId="8" borderId="101" xfId="2" applyFill="1" applyBorder="1" applyAlignment="1">
      <alignment wrapText="1"/>
    </xf>
    <xf numFmtId="169" fontId="3" fillId="8" borderId="4" xfId="2" applyNumberFormat="1" applyFill="1" applyBorder="1" applyAlignment="1">
      <alignment wrapText="1"/>
    </xf>
    <xf numFmtId="169" fontId="3" fillId="8" borderId="33" xfId="2" applyNumberFormat="1" applyFill="1" applyBorder="1" applyAlignment="1">
      <alignment wrapText="1"/>
    </xf>
    <xf numFmtId="169" fontId="3" fillId="8" borderId="54" xfId="2" applyNumberFormat="1" applyFill="1" applyBorder="1" applyAlignment="1">
      <alignment wrapText="1"/>
    </xf>
    <xf numFmtId="169" fontId="3" fillId="8" borderId="5" xfId="2" applyNumberFormat="1" applyFill="1" applyBorder="1" applyAlignment="1">
      <alignment wrapText="1"/>
    </xf>
    <xf numFmtId="169" fontId="3" fillId="8" borderId="44" xfId="2" applyNumberFormat="1" applyFont="1" applyFill="1" applyBorder="1" applyAlignment="1">
      <alignment wrapText="1"/>
    </xf>
    <xf numFmtId="169" fontId="3" fillId="8" borderId="11" xfId="2" applyNumberFormat="1" applyFill="1" applyBorder="1" applyAlignment="1">
      <alignment wrapText="1"/>
    </xf>
    <xf numFmtId="0" fontId="3" fillId="8" borderId="62" xfId="2" applyFont="1" applyFill="1" applyBorder="1" applyAlignment="1">
      <alignment wrapText="1"/>
    </xf>
    <xf numFmtId="0" fontId="3" fillId="8" borderId="64" xfId="2" applyFill="1" applyBorder="1" applyAlignment="1">
      <alignment wrapText="1"/>
    </xf>
    <xf numFmtId="169" fontId="3" fillId="8" borderId="8" xfId="2" applyNumberFormat="1" applyFill="1" applyBorder="1" applyAlignment="1">
      <alignment wrapText="1"/>
    </xf>
    <xf numFmtId="169" fontId="3" fillId="8" borderId="9" xfId="2" applyNumberFormat="1" applyFill="1" applyBorder="1" applyAlignment="1">
      <alignment wrapText="1"/>
    </xf>
    <xf numFmtId="169" fontId="3" fillId="8" borderId="81" xfId="2" applyNumberFormat="1" applyFill="1" applyBorder="1" applyAlignment="1">
      <alignment wrapText="1"/>
    </xf>
    <xf numFmtId="169" fontId="3" fillId="8" borderId="10" xfId="2" applyNumberFormat="1" applyFill="1" applyBorder="1" applyAlignment="1">
      <alignment wrapText="1"/>
    </xf>
    <xf numFmtId="169" fontId="3" fillId="8" borderId="82" xfId="2" applyNumberFormat="1" applyFont="1" applyFill="1" applyBorder="1" applyAlignment="1">
      <alignment wrapText="1"/>
    </xf>
    <xf numFmtId="169" fontId="3" fillId="8" borderId="13" xfId="2" applyNumberFormat="1" applyFill="1" applyBorder="1" applyAlignment="1">
      <alignment wrapText="1"/>
    </xf>
    <xf numFmtId="169" fontId="3" fillId="8" borderId="14" xfId="2" applyNumberFormat="1" applyFill="1" applyBorder="1" applyAlignment="1">
      <alignment wrapText="1"/>
    </xf>
    <xf numFmtId="169" fontId="3" fillId="8" borderId="41" xfId="2" applyNumberFormat="1" applyFont="1" applyFill="1" applyBorder="1" applyAlignment="1">
      <alignment wrapText="1"/>
    </xf>
    <xf numFmtId="169" fontId="3" fillId="8" borderId="23" xfId="2" applyNumberFormat="1" applyFill="1" applyBorder="1" applyAlignment="1">
      <alignment wrapText="1"/>
    </xf>
    <xf numFmtId="0" fontId="3" fillId="8" borderId="47" xfId="2" applyFill="1" applyBorder="1" applyAlignment="1">
      <alignment wrapText="1"/>
    </xf>
    <xf numFmtId="0" fontId="3" fillId="8" borderId="28" xfId="2" applyFill="1" applyBorder="1" applyAlignment="1">
      <alignment wrapText="1"/>
    </xf>
    <xf numFmtId="1" fontId="3" fillId="8" borderId="41" xfId="2" applyNumberFormat="1" applyFont="1" applyFill="1" applyBorder="1" applyAlignment="1">
      <alignment horizontal="center" wrapText="1"/>
    </xf>
    <xf numFmtId="0" fontId="3" fillId="8" borderId="102" xfId="2" applyFont="1" applyFill="1" applyBorder="1" applyAlignment="1">
      <alignment wrapText="1"/>
    </xf>
    <xf numFmtId="0" fontId="9" fillId="8" borderId="61" xfId="2" applyFont="1" applyFill="1" applyBorder="1" applyAlignment="1">
      <alignment horizontal="center" wrapText="1"/>
    </xf>
    <xf numFmtId="0" fontId="3" fillId="8" borderId="64" xfId="2" applyFont="1" applyFill="1" applyBorder="1" applyAlignment="1">
      <alignment wrapText="1"/>
    </xf>
    <xf numFmtId="0" fontId="3" fillId="8" borderId="102" xfId="2" applyFill="1" applyBorder="1" applyAlignment="1">
      <alignment wrapText="1"/>
    </xf>
    <xf numFmtId="6" fontId="3" fillId="8" borderId="63" xfId="2" applyNumberFormat="1" applyFont="1" applyFill="1" applyBorder="1" applyAlignment="1">
      <alignment horizontal="right" wrapText="1"/>
    </xf>
    <xf numFmtId="6" fontId="3" fillId="8" borderId="63" xfId="2" applyNumberFormat="1" applyFont="1" applyFill="1" applyBorder="1" applyAlignment="1">
      <alignment horizontal="center" wrapText="1"/>
    </xf>
    <xf numFmtId="1" fontId="3" fillId="8" borderId="63" xfId="2" applyNumberFormat="1" applyFont="1" applyFill="1" applyBorder="1" applyAlignment="1">
      <alignment horizontal="center" wrapText="1"/>
    </xf>
    <xf numFmtId="0" fontId="3" fillId="8" borderId="93" xfId="2" applyFont="1" applyFill="1" applyBorder="1" applyAlignment="1">
      <alignment wrapText="1"/>
    </xf>
    <xf numFmtId="0" fontId="3" fillId="8" borderId="101" xfId="2" applyFont="1" applyFill="1" applyBorder="1" applyAlignment="1">
      <alignment wrapText="1"/>
    </xf>
    <xf numFmtId="6" fontId="3" fillId="8" borderId="80" xfId="2" applyNumberFormat="1" applyFont="1" applyFill="1" applyBorder="1" applyAlignment="1">
      <alignment horizontal="right" wrapText="1"/>
    </xf>
    <xf numFmtId="6" fontId="3" fillId="8" borderId="80" xfId="2" applyNumberFormat="1" applyFont="1" applyFill="1" applyBorder="1" applyAlignment="1">
      <alignment horizontal="center" wrapText="1"/>
    </xf>
    <xf numFmtId="1" fontId="3" fillId="8" borderId="80" xfId="2" applyNumberFormat="1" applyFont="1" applyFill="1" applyBorder="1" applyAlignment="1">
      <alignment horizontal="center" wrapText="1"/>
    </xf>
    <xf numFmtId="169" fontId="3" fillId="8" borderId="25" xfId="2" applyNumberFormat="1" applyFill="1" applyBorder="1" applyAlignment="1">
      <alignment wrapText="1"/>
    </xf>
    <xf numFmtId="0" fontId="3" fillId="8" borderId="63" xfId="2" applyFill="1" applyBorder="1" applyAlignment="1">
      <alignment wrapText="1"/>
    </xf>
    <xf numFmtId="1" fontId="3" fillId="8" borderId="63" xfId="2" applyNumberFormat="1" applyFill="1" applyBorder="1" applyAlignment="1">
      <alignment horizontal="center" wrapText="1"/>
    </xf>
    <xf numFmtId="169" fontId="9" fillId="8" borderId="15" xfId="2" applyNumberFormat="1" applyFont="1" applyFill="1" applyBorder="1" applyAlignment="1">
      <alignment horizontal="center" wrapText="1"/>
    </xf>
    <xf numFmtId="169" fontId="9" fillId="8" borderId="16" xfId="2" applyNumberFormat="1" applyFont="1" applyFill="1" applyBorder="1" applyAlignment="1">
      <alignment horizontal="center" wrapText="1"/>
    </xf>
    <xf numFmtId="169" fontId="9" fillId="8" borderId="18" xfId="2" applyNumberFormat="1" applyFont="1" applyFill="1" applyBorder="1" applyAlignment="1">
      <alignment horizontal="center" wrapText="1"/>
    </xf>
    <xf numFmtId="169" fontId="9" fillId="8" borderId="17" xfId="2" applyNumberFormat="1" applyFont="1" applyFill="1" applyBorder="1" applyAlignment="1">
      <alignment horizontal="center" wrapText="1"/>
    </xf>
    <xf numFmtId="0" fontId="9" fillId="8" borderId="0" xfId="2" applyFont="1" applyFill="1" applyBorder="1" applyAlignment="1">
      <alignment horizontal="center" wrapText="1"/>
    </xf>
    <xf numFmtId="0" fontId="3" fillId="8" borderId="0" xfId="2" applyFill="1" applyBorder="1" applyAlignment="1">
      <alignment horizontal="center" wrapText="1"/>
    </xf>
    <xf numFmtId="169" fontId="9" fillId="8" borderId="0" xfId="2" applyNumberFormat="1" applyFont="1" applyFill="1" applyBorder="1" applyAlignment="1">
      <alignment horizontal="center" wrapText="1"/>
    </xf>
    <xf numFmtId="0" fontId="9" fillId="8" borderId="0" xfId="2" applyFont="1" applyFill="1" applyAlignment="1"/>
    <xf numFmtId="169" fontId="3" fillId="8"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8" borderId="30" xfId="2" applyFont="1" applyFill="1" applyBorder="1" applyAlignment="1">
      <alignment horizontal="center" vertical="center" wrapText="1"/>
    </xf>
    <xf numFmtId="0" fontId="29" fillId="18" borderId="57" xfId="2" applyFont="1" applyFill="1" applyBorder="1" applyAlignment="1">
      <alignment horizontal="center" vertical="center"/>
    </xf>
    <xf numFmtId="0" fontId="29" fillId="18"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9" borderId="57" xfId="6" applyNumberFormat="1" applyFill="1" applyBorder="1" applyAlignment="1">
      <alignment horizontal="center" wrapText="1"/>
    </xf>
    <xf numFmtId="0" fontId="3" fillId="9" borderId="0" xfId="2" applyFill="1" applyAlignment="1">
      <alignment vertical="center"/>
    </xf>
    <xf numFmtId="0" fontId="3" fillId="0" borderId="57" xfId="2" applyBorder="1"/>
    <xf numFmtId="2" fontId="3" fillId="9" borderId="57" xfId="2" applyNumberFormat="1" applyFill="1" applyBorder="1" applyAlignment="1">
      <alignment horizontal="right"/>
    </xf>
    <xf numFmtId="39" fontId="2" fillId="19" borderId="57" xfId="6" applyNumberFormat="1" applyFont="1" applyFill="1" applyBorder="1" applyAlignment="1">
      <alignment horizontal="center" wrapText="1"/>
    </xf>
    <xf numFmtId="0" fontId="2" fillId="4" borderId="0" xfId="0" applyFont="1" applyFill="1"/>
    <xf numFmtId="0" fontId="0" fillId="4" borderId="0" xfId="0" applyFill="1"/>
    <xf numFmtId="39" fontId="2" fillId="8" borderId="57" xfId="6" applyNumberFormat="1" applyFont="1" applyFill="1" applyBorder="1" applyAlignment="1">
      <alignment horizontal="center" wrapText="1"/>
    </xf>
    <xf numFmtId="0" fontId="2" fillId="8" borderId="0" xfId="0" applyFont="1" applyFill="1"/>
    <xf numFmtId="0" fontId="0" fillId="8"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8" borderId="3" xfId="2" applyFont="1" applyFill="1" applyBorder="1" applyAlignment="1">
      <alignment horizontal="center" vertical="center" wrapText="1"/>
    </xf>
    <xf numFmtId="9" fontId="0" fillId="8" borderId="57" xfId="7" applyNumberFormat="1" applyFont="1" applyFill="1" applyBorder="1"/>
    <xf numFmtId="0" fontId="30" fillId="18" borderId="30" xfId="2" applyFont="1" applyFill="1" applyBorder="1" applyAlignment="1">
      <alignment horizontal="center" vertical="center"/>
    </xf>
    <xf numFmtId="172" fontId="3" fillId="9"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8" borderId="30" xfId="2" applyFont="1" applyFill="1" applyBorder="1" applyAlignment="1">
      <alignment horizontal="center"/>
    </xf>
    <xf numFmtId="0" fontId="30" fillId="18" borderId="30" xfId="2" applyFont="1" applyFill="1" applyBorder="1" applyAlignment="1">
      <alignment horizontal="center" wrapText="1"/>
    </xf>
    <xf numFmtId="0" fontId="30" fillId="18" borderId="57" xfId="2" applyFont="1" applyFill="1" applyBorder="1" applyAlignment="1">
      <alignment horizontal="center" wrapText="1"/>
    </xf>
    <xf numFmtId="1" fontId="30" fillId="18" borderId="57" xfId="2" applyNumberFormat="1" applyFont="1" applyFill="1" applyBorder="1" applyAlignment="1">
      <alignment horizontal="center" wrapText="1"/>
    </xf>
    <xf numFmtId="0" fontId="30" fillId="18"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9" borderId="57" xfId="2" applyFill="1" applyBorder="1"/>
    <xf numFmtId="173" fontId="3" fillId="0" borderId="0" xfId="2" applyNumberFormat="1"/>
    <xf numFmtId="0" fontId="3" fillId="5" borderId="57" xfId="2" applyFill="1" applyBorder="1"/>
    <xf numFmtId="39" fontId="3" fillId="16" borderId="61" xfId="2" applyNumberFormat="1" applyFont="1" applyFill="1" applyBorder="1" applyAlignment="1">
      <alignment horizontal="center" wrapText="1"/>
    </xf>
    <xf numFmtId="169" fontId="9" fillId="8" borderId="75" xfId="2" applyNumberFormat="1" applyFont="1" applyFill="1" applyBorder="1" applyAlignment="1">
      <alignment wrapText="1"/>
    </xf>
    <xf numFmtId="169" fontId="9" fillId="8"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4"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7" borderId="57" xfId="2" applyFill="1" applyBorder="1"/>
    <xf numFmtId="0" fontId="0" fillId="4" borderId="57" xfId="0" applyFill="1" applyBorder="1" applyAlignment="1">
      <alignment horizontal="center"/>
    </xf>
    <xf numFmtId="0" fontId="17" fillId="2" borderId="33"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18" fillId="2" borderId="15" xfId="0" applyFont="1" applyFill="1" applyBorder="1" applyAlignment="1">
      <alignment horizontal="center" vertical="center" wrapText="1"/>
    </xf>
    <xf numFmtId="0" fontId="3" fillId="0" borderId="0" xfId="2"/>
    <xf numFmtId="0" fontId="3" fillId="11" borderId="0" xfId="2" applyFill="1"/>
    <xf numFmtId="171" fontId="2" fillId="11"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7" borderId="57" xfId="2" applyFont="1" applyFill="1" applyBorder="1" applyAlignment="1">
      <alignment wrapText="1"/>
    </xf>
    <xf numFmtId="0" fontId="3" fillId="16" borderId="57" xfId="2" applyFont="1" applyFill="1" applyBorder="1" applyAlignment="1">
      <alignment wrapText="1"/>
    </xf>
    <xf numFmtId="0" fontId="3" fillId="0" borderId="57" xfId="2" applyFont="1" applyBorder="1"/>
    <xf numFmtId="0" fontId="3" fillId="17"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2" xfId="0"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0" fillId="0" borderId="0" xfId="0" applyFill="1" applyAlignment="1">
      <alignment horizontal="left"/>
    </xf>
    <xf numFmtId="0" fontId="39" fillId="0" borderId="32" xfId="86" applyFont="1" applyFill="1" applyBorder="1"/>
    <xf numFmtId="0" fontId="9" fillId="8" borderId="100" xfId="2" applyFont="1" applyFill="1" applyBorder="1" applyAlignment="1">
      <alignment horizontal="center" wrapText="1"/>
    </xf>
    <xf numFmtId="0" fontId="9" fillId="8" borderId="41" xfId="2" applyFont="1" applyFill="1" applyBorder="1" applyAlignment="1">
      <alignment horizontal="center" wrapText="1"/>
    </xf>
    <xf numFmtId="0" fontId="9" fillId="8" borderId="49" xfId="2" applyFont="1" applyFill="1" applyBorder="1" applyAlignment="1">
      <alignment horizontal="center" wrapText="1"/>
    </xf>
    <xf numFmtId="0" fontId="9" fillId="8" borderId="44" xfId="2" applyFont="1" applyFill="1" applyBorder="1" applyAlignment="1">
      <alignment horizontal="center" wrapText="1"/>
    </xf>
    <xf numFmtId="0" fontId="9" fillId="8" borderId="15" xfId="2" applyFont="1" applyFill="1" applyBorder="1" applyAlignment="1">
      <alignment horizontal="center" wrapText="1"/>
    </xf>
    <xf numFmtId="0" fontId="9" fillId="8" borderId="16" xfId="2" applyFont="1" applyFill="1" applyBorder="1" applyAlignment="1">
      <alignment horizontal="center" wrapText="1"/>
    </xf>
    <xf numFmtId="0" fontId="3" fillId="8" borderId="22" xfId="2" applyFill="1" applyBorder="1" applyAlignment="1">
      <alignment horizontal="center" wrapText="1"/>
    </xf>
    <xf numFmtId="0" fontId="9" fillId="16" borderId="100" xfId="2" applyFont="1" applyFill="1" applyBorder="1" applyAlignment="1">
      <alignment horizontal="center" wrapText="1"/>
    </xf>
    <xf numFmtId="0" fontId="9" fillId="16" borderId="40" xfId="2" applyFont="1" applyFill="1" applyBorder="1" applyAlignment="1">
      <alignment horizontal="center" wrapText="1"/>
    </xf>
    <xf numFmtId="0" fontId="9" fillId="16" borderId="69" xfId="2" applyFont="1" applyFill="1" applyBorder="1" applyAlignment="1">
      <alignment horizontal="center" wrapText="1"/>
    </xf>
    <xf numFmtId="0" fontId="9" fillId="16" borderId="70" xfId="2" applyFont="1" applyFill="1" applyBorder="1" applyAlignment="1">
      <alignment horizontal="center" wrapText="1"/>
    </xf>
    <xf numFmtId="0" fontId="9" fillId="16" borderId="71" xfId="2" applyFont="1" applyFill="1" applyBorder="1" applyAlignment="1">
      <alignment horizontal="center" wrapText="1"/>
    </xf>
    <xf numFmtId="0" fontId="9" fillId="8" borderId="39" xfId="2" applyFont="1" applyFill="1" applyBorder="1" applyAlignment="1">
      <alignment horizontal="center" wrapText="1"/>
    </xf>
    <xf numFmtId="0" fontId="9" fillId="8" borderId="53" xfId="2" applyFont="1" applyFill="1" applyBorder="1" applyAlignment="1">
      <alignment horizontal="center" wrapText="1"/>
    </xf>
    <xf numFmtId="0" fontId="9" fillId="8" borderId="27"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5" borderId="77" xfId="2" applyFont="1" applyFill="1" applyBorder="1" applyAlignment="1">
      <alignment horizontal="center" wrapText="1"/>
    </xf>
    <xf numFmtId="0" fontId="9" fillId="15" borderId="78" xfId="2" applyFont="1" applyFill="1" applyBorder="1" applyAlignment="1">
      <alignment horizontal="center" wrapText="1"/>
    </xf>
    <xf numFmtId="0" fontId="9" fillId="15" borderId="69" xfId="2" applyFont="1" applyFill="1" applyBorder="1" applyAlignment="1">
      <alignment horizontal="center" wrapText="1"/>
    </xf>
    <xf numFmtId="0" fontId="9" fillId="15" borderId="70" xfId="2" applyFont="1" applyFill="1" applyBorder="1" applyAlignment="1">
      <alignment horizontal="center" wrapText="1"/>
    </xf>
    <xf numFmtId="0" fontId="9" fillId="15" borderId="71" xfId="2" applyFont="1" applyFill="1" applyBorder="1" applyAlignment="1">
      <alignment horizontal="center" wrapText="1"/>
    </xf>
    <xf numFmtId="0" fontId="9" fillId="8" borderId="77" xfId="2" applyFont="1" applyFill="1" applyBorder="1" applyAlignment="1">
      <alignment horizontal="center" wrapText="1"/>
    </xf>
    <xf numFmtId="0" fontId="9" fillId="8" borderId="78" xfId="2" applyFont="1" applyFill="1" applyBorder="1" applyAlignment="1">
      <alignment horizontal="center" wrapText="1"/>
    </xf>
    <xf numFmtId="0" fontId="9" fillId="8" borderId="69" xfId="2" applyFont="1" applyFill="1" applyBorder="1" applyAlignment="1">
      <alignment horizontal="center" wrapText="1"/>
    </xf>
    <xf numFmtId="0" fontId="3" fillId="8" borderId="70" xfId="2" applyFill="1" applyBorder="1" applyAlignment="1">
      <alignment horizontal="center" wrapText="1"/>
    </xf>
    <xf numFmtId="0" fontId="9" fillId="16" borderId="97" xfId="2" applyFont="1" applyFill="1" applyBorder="1" applyAlignment="1">
      <alignment horizontal="center" wrapText="1"/>
    </xf>
    <xf numFmtId="0" fontId="9" fillId="16" borderId="98" xfId="2" applyFont="1" applyFill="1" applyBorder="1" applyAlignment="1">
      <alignment horizontal="center" wrapText="1"/>
    </xf>
    <xf numFmtId="0" fontId="9" fillId="16" borderId="53" xfId="2" applyFont="1" applyFill="1" applyBorder="1" applyAlignment="1">
      <alignment horizontal="center" wrapText="1"/>
    </xf>
    <xf numFmtId="0" fontId="9" fillId="16" borderId="99" xfId="2" applyFont="1" applyFill="1" applyBorder="1" applyAlignment="1">
      <alignment horizontal="center" wrapText="1"/>
    </xf>
    <xf numFmtId="0" fontId="30" fillId="18" borderId="23" xfId="2" applyFont="1" applyFill="1" applyBorder="1" applyAlignment="1">
      <alignment horizontal="center" vertical="center" wrapText="1"/>
    </xf>
    <xf numFmtId="0" fontId="3" fillId="0" borderId="0" xfId="2"/>
    <xf numFmtId="0" fontId="32" fillId="18" borderId="0" xfId="0" applyFont="1" applyFill="1" applyAlignment="1">
      <alignment horizontal="center" vertical="center" wrapText="1"/>
    </xf>
    <xf numFmtId="165" fontId="2" fillId="4" borderId="19" xfId="0" applyNumberFormat="1" applyFont="1" applyFill="1" applyBorder="1" applyAlignment="1">
      <alignment horizontal="center" vertical="center" wrapText="1"/>
    </xf>
    <xf numFmtId="165" fontId="2" fillId="4" borderId="17" xfId="0" applyNumberFormat="1" applyFont="1" applyFill="1" applyBorder="1" applyAlignment="1">
      <alignment horizontal="center" vertical="center" wrapText="1"/>
    </xf>
    <xf numFmtId="165" fontId="2" fillId="4" borderId="26" xfId="0" applyNumberFormat="1" applyFont="1" applyFill="1" applyBorder="1" applyAlignment="1">
      <alignment horizontal="center" vertical="center" wrapText="1"/>
    </xf>
    <xf numFmtId="0" fontId="1" fillId="3" borderId="19" xfId="0" applyFont="1" applyFill="1" applyBorder="1" applyAlignment="1">
      <alignment horizontal="center" vertical="center"/>
    </xf>
    <xf numFmtId="0" fontId="6" fillId="3" borderId="49" xfId="0" applyFont="1" applyFill="1" applyBorder="1" applyAlignment="1">
      <alignment horizontal="center" vertical="center" wrapText="1"/>
    </xf>
    <xf numFmtId="0" fontId="6" fillId="3" borderId="50" xfId="0" applyFont="1" applyFill="1" applyBorder="1" applyAlignment="1">
      <alignment horizontal="center" vertical="center" wrapText="1"/>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1" fillId="3" borderId="19" xfId="0" applyFont="1" applyFill="1" applyBorder="1" applyAlignment="1" applyProtection="1">
      <alignment horizontal="center" vertical="center"/>
      <protection locked="0"/>
    </xf>
    <xf numFmtId="0" fontId="0" fillId="0" borderId="26" xfId="0" applyBorder="1" applyAlignment="1">
      <alignment horizontal="center" vertical="center"/>
    </xf>
    <xf numFmtId="0" fontId="6" fillId="12" borderId="19" xfId="0" applyFont="1" applyFill="1" applyBorder="1" applyAlignment="1" applyProtection="1">
      <alignment horizontal="center" vertical="center"/>
      <protection locked="0"/>
    </xf>
    <xf numFmtId="0" fontId="6" fillId="12" borderId="26" xfId="0" applyFont="1" applyFill="1" applyBorder="1" applyAlignment="1" applyProtection="1">
      <alignment horizontal="center" vertical="center"/>
      <protection locked="0"/>
    </xf>
    <xf numFmtId="0" fontId="6" fillId="12" borderId="17" xfId="0" applyFont="1" applyFill="1" applyBorder="1" applyAlignment="1" applyProtection="1">
      <alignment horizontal="center" vertical="center"/>
      <protection locked="0"/>
    </xf>
    <xf numFmtId="0" fontId="6" fillId="11" borderId="19" xfId="0" applyFont="1" applyFill="1" applyBorder="1" applyAlignment="1" applyProtection="1">
      <alignment horizontal="center" vertical="center"/>
      <protection locked="0"/>
    </xf>
    <xf numFmtId="0" fontId="6" fillId="11" borderId="26" xfId="0" applyFont="1" applyFill="1" applyBorder="1" applyAlignment="1" applyProtection="1">
      <alignment horizontal="center" vertical="center"/>
      <protection locked="0"/>
    </xf>
    <xf numFmtId="0" fontId="6" fillId="11" borderId="17" xfId="0" applyFont="1" applyFill="1" applyBorder="1" applyAlignment="1" applyProtection="1">
      <alignment horizontal="center" vertical="center"/>
      <protection locked="0"/>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6" fillId="2" borderId="26" xfId="0" applyFont="1" applyFill="1" applyBorder="1" applyAlignment="1">
      <alignment horizontal="center"/>
    </xf>
    <xf numFmtId="0" fontId="6" fillId="2" borderId="17" xfId="0" applyFont="1" applyFill="1" applyBorder="1" applyAlignment="1">
      <alignment horizontal="center"/>
    </xf>
    <xf numFmtId="0" fontId="2" fillId="0" borderId="0" xfId="0" applyFont="1" applyAlignment="1">
      <alignment horizontal="left"/>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0" fillId="0" borderId="17" xfId="0" applyBorder="1" applyAlignment="1">
      <alignment horizontal="center" vertical="center"/>
    </xf>
    <xf numFmtId="0" fontId="3" fillId="0" borderId="0" xfId="2" applyAlignment="1">
      <alignment wrapText="1"/>
    </xf>
    <xf numFmtId="0" fontId="20" fillId="0" borderId="0" xfId="54" applyFont="1" applyBorder="1" applyAlignment="1">
      <alignment vertical="top"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171" fontId="0" fillId="13" borderId="57" xfId="6" applyNumberFormat="1" applyFont="1" applyFill="1" applyBorder="1"/>
    <xf numFmtId="3" fontId="2" fillId="8" borderId="57" xfId="2" applyNumberFormat="1" applyFont="1" applyFill="1" applyBorder="1" applyAlignment="1">
      <alignment horizontal="right" vertical="center"/>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7" fillId="4" borderId="33"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6" xfId="0" applyFont="1" applyFill="1" applyBorder="1" applyAlignment="1">
      <alignment horizontal="center" vertical="center" wrapText="1"/>
    </xf>
    <xf numFmtId="0" fontId="18" fillId="4" borderId="18" xfId="0" applyFont="1" applyFill="1" applyBorder="1" applyAlignment="1">
      <alignment horizontal="center" vertical="center" wrapText="1"/>
    </xf>
    <xf numFmtId="0" fontId="17" fillId="4" borderId="33" xfId="0" applyFont="1" applyFill="1" applyBorder="1"/>
    <xf numFmtId="0" fontId="17" fillId="4" borderId="1" xfId="0" applyFont="1" applyFill="1" applyBorder="1"/>
    <xf numFmtId="0" fontId="18" fillId="4" borderId="1" xfId="0" applyFont="1" applyFill="1" applyBorder="1"/>
    <xf numFmtId="4" fontId="0" fillId="8" borderId="57" xfId="0" applyNumberFormat="1" applyFill="1" applyBorder="1" applyAlignment="1">
      <alignment horizontal="center"/>
    </xf>
    <xf numFmtId="170" fontId="18" fillId="8" borderId="9" xfId="0" applyNumberFormat="1" applyFont="1" applyFill="1" applyBorder="1" applyAlignment="1">
      <alignment horizontal="center"/>
    </xf>
    <xf numFmtId="170" fontId="18" fillId="8" borderId="10" xfId="0" applyNumberFormat="1" applyFont="1" applyFill="1" applyBorder="1" applyAlignment="1">
      <alignment horizontal="center"/>
    </xf>
    <xf numFmtId="4" fontId="17" fillId="8"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0" borderId="50" xfId="0" applyBorder="1" applyAlignment="1">
      <alignment horizontal="center" vertical="center" wrapText="1"/>
    </xf>
    <xf numFmtId="0" fontId="0" fillId="0" borderId="50" xfId="0" applyBorder="1" applyAlignment="1">
      <alignment horizontal="center" vertical="center"/>
    </xf>
    <xf numFmtId="0" fontId="0" fillId="9" borderId="1" xfId="0" applyFill="1" applyBorder="1"/>
    <xf numFmtId="0" fontId="2" fillId="9" borderId="32" xfId="0" applyFont="1" applyFill="1" applyBorder="1" applyAlignment="1" applyProtection="1">
      <alignment horizontal="center" vertical="center"/>
      <protection locked="0"/>
    </xf>
    <xf numFmtId="0" fontId="0" fillId="9" borderId="57" xfId="0" applyFill="1" applyBorder="1"/>
    <xf numFmtId="0" fontId="2" fillId="8" borderId="32" xfId="0" applyFont="1" applyFill="1" applyBorder="1" applyAlignment="1" applyProtection="1">
      <alignment horizontal="center" vertical="center"/>
      <protection locked="0"/>
    </xf>
    <xf numFmtId="168" fontId="0" fillId="8" borderId="1" xfId="0" applyNumberFormat="1" applyFill="1" applyBorder="1"/>
    <xf numFmtId="0" fontId="3" fillId="9" borderId="11" xfId="0" applyFont="1" applyFill="1" applyBorder="1"/>
    <xf numFmtId="0" fontId="3" fillId="9" borderId="14" xfId="0" applyFont="1" applyFill="1" applyBorder="1"/>
    <xf numFmtId="41" fontId="3" fillId="9" borderId="1" xfId="0" applyNumberFormat="1" applyFont="1" applyFill="1" applyBorder="1"/>
    <xf numFmtId="41" fontId="3" fillId="9" borderId="7" xfId="0" applyNumberFormat="1" applyFont="1" applyFill="1" applyBorder="1"/>
    <xf numFmtId="41" fontId="3" fillId="9" borderId="1" xfId="0" applyNumberFormat="1" applyFont="1" applyFill="1" applyBorder="1" applyAlignment="1">
      <alignment horizontal="center"/>
    </xf>
    <xf numFmtId="41" fontId="3" fillId="9" borderId="7" xfId="0" applyNumberFormat="1" applyFont="1" applyFill="1" applyBorder="1" applyAlignment="1">
      <alignment horizontal="center"/>
    </xf>
    <xf numFmtId="164" fontId="3" fillId="8" borderId="1" xfId="0" applyNumberFormat="1" applyFont="1" applyFill="1" applyBorder="1" applyAlignment="1">
      <alignment horizontal="center"/>
    </xf>
    <xf numFmtId="41" fontId="2" fillId="8" borderId="1" xfId="0" applyNumberFormat="1" applyFont="1" applyFill="1" applyBorder="1" applyAlignment="1">
      <alignment horizontal="center"/>
    </xf>
    <xf numFmtId="41" fontId="2" fillId="8" borderId="7" xfId="0" applyNumberFormat="1" applyFont="1" applyFill="1" applyBorder="1" applyAlignment="1">
      <alignment horizontal="center"/>
    </xf>
    <xf numFmtId="0" fontId="8" fillId="8" borderId="11" xfId="0" applyFont="1" applyFill="1" applyBorder="1"/>
    <xf numFmtId="41" fontId="8" fillId="8" borderId="1" xfId="0" applyNumberFormat="1" applyFont="1" applyFill="1" applyBorder="1"/>
    <xf numFmtId="41" fontId="11" fillId="8" borderId="1" xfId="0" applyNumberFormat="1" applyFont="1" applyFill="1" applyBorder="1" applyAlignment="1">
      <alignment horizontal="center"/>
    </xf>
    <xf numFmtId="41" fontId="5" fillId="8" borderId="1" xfId="0" applyNumberFormat="1" applyFont="1" applyFill="1" applyBorder="1"/>
    <xf numFmtId="41" fontId="5" fillId="8" borderId="6" xfId="0" applyNumberFormat="1" applyFont="1" applyFill="1" applyBorder="1"/>
    <xf numFmtId="167" fontId="5" fillId="8" borderId="6" xfId="0" applyNumberFormat="1" applyFont="1" applyFill="1" applyBorder="1" applyProtection="1">
      <protection locked="0"/>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5348968.75</c:v>
                </c:pt>
                <c:pt idx="2">
                  <c:v>51720093.75</c:v>
                </c:pt>
                <c:pt idx="3">
                  <c:v>137315437.5</c:v>
                </c:pt>
                <c:pt idx="4">
                  <c:v>185975878.125</c:v>
                </c:pt>
                <c:pt idx="5">
                  <c:v>230676715.625</c:v>
                </c:pt>
                <c:pt idx="6">
                  <c:v>313110443.75</c:v>
                </c:pt>
                <c:pt idx="7">
                  <c:v>360021453.125</c:v>
                </c:pt>
                <c:pt idx="8">
                  <c:v>402506265.625</c:v>
                </c:pt>
                <c:pt idx="9">
                  <c:v>480745375</c:v>
                </c:pt>
                <c:pt idx="10">
                  <c:v>525363971.875</c:v>
                </c:pt>
                <c:pt idx="11">
                  <c:v>567209934.375</c:v>
                </c:pt>
                <c:pt idx="12">
                  <c:v>643654581.25</c:v>
                </c:pt>
                <c:pt idx="13">
                  <c:v>726214643.75</c:v>
                </c:pt>
                <c:pt idx="14">
                  <c:v>805280618.75</c:v>
                </c:pt>
                <c:pt idx="15">
                  <c:v>847494718.75</c:v>
                </c:pt>
              </c:numCache>
            </c:numRef>
          </c:val>
          <c:smooth val="0"/>
        </c:ser>
        <c:dLbls>
          <c:showLegendKey val="0"/>
          <c:showVal val="0"/>
          <c:showCatName val="0"/>
          <c:showSerName val="0"/>
          <c:showPercent val="0"/>
          <c:showBubbleSize val="0"/>
        </c:dLbls>
        <c:marker val="1"/>
        <c:smooth val="0"/>
        <c:axId val="257978368"/>
        <c:axId val="256339904"/>
      </c:lineChart>
      <c:catAx>
        <c:axId val="257978368"/>
        <c:scaling>
          <c:orientation val="minMax"/>
        </c:scaling>
        <c:delete val="0"/>
        <c:axPos val="b"/>
        <c:majorGridlines/>
        <c:majorTickMark val="out"/>
        <c:minorTickMark val="none"/>
        <c:tickLblPos val="nextTo"/>
        <c:crossAx val="256339904"/>
        <c:crosses val="autoZero"/>
        <c:auto val="1"/>
        <c:lblAlgn val="ctr"/>
        <c:lblOffset val="100"/>
        <c:noMultiLvlLbl val="0"/>
      </c:catAx>
      <c:valAx>
        <c:axId val="256339904"/>
        <c:scaling>
          <c:orientation val="minMax"/>
          <c:max val="1000000000"/>
          <c:min val="1"/>
        </c:scaling>
        <c:delete val="0"/>
        <c:axPos val="l"/>
        <c:majorGridlines/>
        <c:numFmt formatCode="&quot;$&quot;#,##0" sourceLinked="0"/>
        <c:majorTickMark val="out"/>
        <c:minorTickMark val="none"/>
        <c:tickLblPos val="nextTo"/>
        <c:crossAx val="257978368"/>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7941.1598883072002</c:v>
                </c:pt>
                <c:pt idx="1">
                  <c:v>19029.346981187198</c:v>
                </c:pt>
                <c:pt idx="2">
                  <c:v>22134.568481187191</c:v>
                </c:pt>
                <c:pt idx="3">
                  <c:v>23646.160858637188</c:v>
                </c:pt>
                <c:pt idx="4">
                  <c:v>24806.042858637193</c:v>
                </c:pt>
                <c:pt idx="5">
                  <c:v>23745.661108637192</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7941.1598883072002</c:v>
                </c:pt>
                <c:pt idx="1">
                  <c:v>24029.346981187198</c:v>
                </c:pt>
                <c:pt idx="2">
                  <c:v>31134.568481187191</c:v>
                </c:pt>
                <c:pt idx="3">
                  <c:v>32646.160858637188</c:v>
                </c:pt>
                <c:pt idx="4">
                  <c:v>33806.042858637193</c:v>
                </c:pt>
                <c:pt idx="5">
                  <c:v>32745.661108637192</c:v>
                </c:pt>
              </c:numCache>
            </c:numRef>
          </c:val>
          <c:smooth val="0"/>
        </c:ser>
        <c:dLbls>
          <c:showLegendKey val="0"/>
          <c:showVal val="0"/>
          <c:showCatName val="0"/>
          <c:showSerName val="0"/>
          <c:showPercent val="0"/>
          <c:showBubbleSize val="0"/>
        </c:dLbls>
        <c:marker val="1"/>
        <c:smooth val="0"/>
        <c:axId val="173305344"/>
        <c:axId val="256341632"/>
      </c:lineChart>
      <c:catAx>
        <c:axId val="17330534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56341632"/>
        <c:crossesAt val="0"/>
        <c:auto val="1"/>
        <c:lblAlgn val="ctr"/>
        <c:lblOffset val="100"/>
        <c:noMultiLvlLbl val="1"/>
      </c:catAx>
      <c:valAx>
        <c:axId val="256341632"/>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73305344"/>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1.8557923192726486</c:v>
                </c:pt>
                <c:pt idx="1">
                  <c:v>1.7770622474163511</c:v>
                </c:pt>
                <c:pt idx="2">
                  <c:v>1.6583232935998089</c:v>
                </c:pt>
                <c:pt idx="3">
                  <c:v>1.6055977201236045</c:v>
                </c:pt>
                <c:pt idx="4">
                  <c:v>1.6055977201236045</c:v>
                </c:pt>
                <c:pt idx="5">
                  <c:v>1.6055977201236045</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1.0844740218254723</c:v>
                </c:pt>
                <c:pt idx="1">
                  <c:v>0.93980662374577428</c:v>
                </c:pt>
                <c:pt idx="2">
                  <c:v>0.9496456408790741</c:v>
                </c:pt>
                <c:pt idx="3">
                  <c:v>0.93292567312316743</c:v>
                </c:pt>
                <c:pt idx="4">
                  <c:v>0.92939799549001945</c:v>
                </c:pt>
                <c:pt idx="5">
                  <c:v>0.94178782884547585</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1.0655779489325994</c:v>
                </c:pt>
                <c:pt idx="1">
                  <c:v>1.0006275698744247</c:v>
                </c:pt>
                <c:pt idx="2">
                  <c:v>0.94321307883756511</c:v>
                </c:pt>
                <c:pt idx="3">
                  <c:v>0.90605475484665665</c:v>
                </c:pt>
                <c:pt idx="4">
                  <c:v>0.93853430626074585</c:v>
                </c:pt>
                <c:pt idx="5">
                  <c:v>0.92805316521151826</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0.98718853126561401</c:v>
                </c:pt>
                <c:pt idx="1">
                  <c:v>0.91884699545648252</c:v>
                </c:pt>
                <c:pt idx="2">
                  <c:v>0.91943277126282708</c:v>
                </c:pt>
                <c:pt idx="3">
                  <c:v>0.91732002977334159</c:v>
                </c:pt>
                <c:pt idx="4">
                  <c:v>0.91935029361098564</c:v>
                </c:pt>
                <c:pt idx="5">
                  <c:v>0.91067996555150532</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1.2755762021468069</c:v>
                </c:pt>
                <c:pt idx="1">
                  <c:v>1.2200444569796711</c:v>
                </c:pt>
                <c:pt idx="2">
                  <c:v>0.98378132919616368</c:v>
                </c:pt>
                <c:pt idx="3">
                  <c:v>0.90281942147743643</c:v>
                </c:pt>
                <c:pt idx="4">
                  <c:v>0.90235889990562312</c:v>
                </c:pt>
                <c:pt idx="5">
                  <c:v>0.90190409353971113</c:v>
                </c:pt>
              </c:numCache>
            </c:numRef>
          </c:val>
          <c:smooth val="0"/>
        </c:ser>
        <c:dLbls>
          <c:showLegendKey val="0"/>
          <c:showVal val="0"/>
          <c:showCatName val="0"/>
          <c:showSerName val="0"/>
          <c:showPercent val="0"/>
          <c:showBubbleSize val="0"/>
        </c:dLbls>
        <c:marker val="1"/>
        <c:smooth val="0"/>
        <c:axId val="181623296"/>
        <c:axId val="258555904"/>
      </c:lineChart>
      <c:catAx>
        <c:axId val="18162329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58555904"/>
        <c:crosses val="autoZero"/>
        <c:auto val="1"/>
        <c:lblAlgn val="ctr"/>
        <c:lblOffset val="100"/>
        <c:noMultiLvlLbl val="1"/>
      </c:catAx>
      <c:valAx>
        <c:axId val="258555904"/>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81623296"/>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65409.8401116928</c:v>
                </c:pt>
                <c:pt idx="2">
                  <c:v>54321.653018812802</c:v>
                </c:pt>
                <c:pt idx="3">
                  <c:v>51216.431518812809</c:v>
                </c:pt>
                <c:pt idx="4">
                  <c:v>49704.839141362812</c:v>
                </c:pt>
                <c:pt idx="5">
                  <c:v>48544.957141362807</c:v>
                </c:pt>
                <c:pt idx="6">
                  <c:v>49605.338891362808</c:v>
                </c:pt>
              </c:numCache>
            </c:numRef>
          </c:val>
          <c:smooth val="0"/>
        </c:ser>
        <c:dLbls>
          <c:showLegendKey val="0"/>
          <c:showVal val="0"/>
          <c:showCatName val="0"/>
          <c:showSerName val="0"/>
          <c:showPercent val="0"/>
          <c:showBubbleSize val="0"/>
        </c:dLbls>
        <c:marker val="1"/>
        <c:smooth val="0"/>
        <c:axId val="269950464"/>
        <c:axId val="335777152"/>
      </c:lineChart>
      <c:catAx>
        <c:axId val="26995046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335777152"/>
        <c:crossesAt val="0"/>
        <c:auto val="1"/>
        <c:lblAlgn val="ctr"/>
        <c:lblOffset val="100"/>
        <c:noMultiLvlLbl val="0"/>
      </c:catAx>
      <c:valAx>
        <c:axId val="335777152"/>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269950464"/>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5.8132460625000002</c:v>
                </c:pt>
                <c:pt idx="2">
                  <c:v>59.242686235744245</c:v>
                </c:pt>
                <c:pt idx="3">
                  <c:v>155.76187468179606</c:v>
                </c:pt>
                <c:pt idx="4">
                  <c:v>161.41141596962882</c:v>
                </c:pt>
                <c:pt idx="5">
                  <c:v>167.23812946683577</c:v>
                </c:pt>
                <c:pt idx="6">
                  <c:v>173.24763777852769</c:v>
                </c:pt>
                <c:pt idx="7">
                  <c:v>179.44574448552189</c:v>
                </c:pt>
                <c:pt idx="8">
                  <c:v>185.8384400655155</c:v>
                </c:pt>
                <c:pt idx="9">
                  <c:v>192.43190801157007</c:v>
                </c:pt>
                <c:pt idx="10">
                  <c:v>199.23253115461389</c:v>
                </c:pt>
                <c:pt idx="11">
                  <c:v>206.24689819690096</c:v>
                </c:pt>
                <c:pt idx="12">
                  <c:v>213.48181046360662</c:v>
                </c:pt>
                <c:pt idx="13">
                  <c:v>220.94428887998944</c:v>
                </c:pt>
                <c:pt idx="14">
                  <c:v>228.64158118180677</c:v>
                </c:pt>
                <c:pt idx="15">
                  <c:v>236.58116936693938</c:v>
                </c:pt>
                <c:pt idx="16">
                  <c:v>244.77077739645713</c:v>
                </c:pt>
                <c:pt idx="17">
                  <c:v>253.21837915364486</c:v>
                </c:pt>
                <c:pt idx="18">
                  <c:v>261.93220666980403</c:v>
                </c:pt>
                <c:pt idx="19">
                  <c:v>270.92075862595402</c:v>
                </c:pt>
                <c:pt idx="20">
                  <c:v>280.19280913987478</c:v>
                </c:pt>
                <c:pt idx="21">
                  <c:v>289.75741684826289</c:v>
                </c:pt>
                <c:pt idx="22">
                  <c:v>299.62393429411435</c:v>
                </c:pt>
                <c:pt idx="23">
                  <c:v>309.80201762980153</c:v>
                </c:pt>
                <c:pt idx="24">
                  <c:v>320.30163664667793</c:v>
                </c:pt>
                <c:pt idx="25">
                  <c:v>331.13308514242397</c:v>
                </c:pt>
                <c:pt idx="26">
                  <c:v>342.30699163774023</c:v>
                </c:pt>
                <c:pt idx="27">
                  <c:v>353.83433045440177</c:v>
                </c:pt>
                <c:pt idx="28">
                  <c:v>365.72643316710838</c:v>
                </c:pt>
                <c:pt idx="29">
                  <c:v>377.99500044200323</c:v>
                </c:pt>
                <c:pt idx="30">
                  <c:v>390.65211427518426</c:v>
                </c:pt>
                <c:pt idx="31">
                  <c:v>403.71025064500157</c:v>
                </c:pt>
                <c:pt idx="32">
                  <c:v>417.18229259241991</c:v>
                </c:pt>
                <c:pt idx="33">
                  <c:v>431.08154374422759</c:v>
                </c:pt>
                <c:pt idx="34">
                  <c:v>445.42174229439496</c:v>
                </c:pt>
                <c:pt idx="35">
                  <c:v>460.21707545942502</c:v>
                </c:pt>
                <c:pt idx="36">
                  <c:v>475.48219442409794</c:v>
                </c:pt>
                <c:pt idx="37">
                  <c:v>491.23222979459069</c:v>
                </c:pt>
                <c:pt idx="38">
                  <c:v>507.48280757655306</c:v>
                </c:pt>
                <c:pt idx="39">
                  <c:v>524.25006569634331</c:v>
                </c:pt>
                <c:pt idx="40">
                  <c:v>541.55067108427113</c:v>
                </c:pt>
                <c:pt idx="41">
                  <c:v>559.40183733936226</c:v>
                </c:pt>
                <c:pt idx="42">
                  <c:v>577.82134299585266</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39.72264977611232</c:v>
                </c:pt>
                <c:pt idx="5">
                  <c:v>63.928915223032718</c:v>
                </c:pt>
                <c:pt idx="6">
                  <c:v>89.019060902039826</c:v>
                </c:pt>
                <c:pt idx="7">
                  <c:v>119.07771843841229</c:v>
                </c:pt>
                <c:pt idx="8">
                  <c:v>150.249659587243</c:v>
                </c:pt>
                <c:pt idx="9">
                  <c:v>182.54379061743163</c:v>
                </c:pt>
                <c:pt idx="10">
                  <c:v>218.18099721906216</c:v>
                </c:pt>
                <c:pt idx="11">
                  <c:v>255.10114325835139</c:v>
                </c:pt>
                <c:pt idx="12">
                  <c:v>293.35041455505507</c:v>
                </c:pt>
                <c:pt idx="13">
                  <c:v>334.83708328050784</c:v>
                </c:pt>
                <c:pt idx="14">
                  <c:v>377.81727208007692</c:v>
                </c:pt>
                <c:pt idx="15">
                  <c:v>422.34474767643047</c:v>
                </c:pt>
                <c:pt idx="16">
                  <c:v>468.47521239425276</c:v>
                </c:pt>
                <c:pt idx="17">
                  <c:v>516.26637384191667</c:v>
                </c:pt>
                <c:pt idx="18">
                  <c:v>565.77801710169649</c:v>
                </c:pt>
                <c:pt idx="19">
                  <c:v>617.07207951882833</c:v>
                </c:pt>
                <c:pt idx="20">
                  <c:v>670.21272818297689</c:v>
                </c:pt>
                <c:pt idx="21">
                  <c:v>725.26644019903483</c:v>
                </c:pt>
                <c:pt idx="22">
                  <c:v>782.30208584767092</c:v>
                </c:pt>
                <c:pt idx="23">
                  <c:v>841.39101473965786</c:v>
                </c:pt>
                <c:pt idx="24">
                  <c:v>902.60714507175635</c:v>
                </c:pt>
                <c:pt idx="25">
                  <c:v>966.02705609581039</c:v>
                </c:pt>
                <c:pt idx="26">
                  <c:v>1031.7300839167303</c:v>
                </c:pt>
                <c:pt idx="27">
                  <c:v>1099.7984207392035</c:v>
                </c:pt>
                <c:pt idx="28">
                  <c:v>1170.3172176872856</c:v>
                </c:pt>
                <c:pt idx="29">
                  <c:v>1243.3746913254986</c:v>
                </c:pt>
                <c:pt idx="30">
                  <c:v>1319.0622340146874</c:v>
                </c:pt>
                <c:pt idx="31">
                  <c:v>1397.4745282406871</c:v>
                </c:pt>
                <c:pt idx="32">
                  <c:v>1478.7096650588226</c:v>
                </c:pt>
                <c:pt idx="33">
                  <c:v>1562.8692668024109</c:v>
                </c:pt>
                <c:pt idx="34">
                  <c:v>1650.0586142087686</c:v>
                </c:pt>
                <c:pt idx="35">
                  <c:v>1740.386778121755</c:v>
                </c:pt>
                <c:pt idx="36">
                  <c:v>1833.9667559356089</c:v>
                </c:pt>
                <c:pt idx="37">
                  <c:v>1930.9156129507617</c:v>
                </c:pt>
                <c:pt idx="38">
                  <c:v>2031.35462881846</c:v>
                </c:pt>
                <c:pt idx="39">
                  <c:v>2135.4094492573954</c:v>
                </c:pt>
                <c:pt idx="40">
                  <c:v>2243.2102432321326</c:v>
                </c:pt>
                <c:pt idx="41">
                  <c:v>2354.8918657899603</c:v>
                </c:pt>
                <c:pt idx="42">
                  <c:v>2470.5940267598698</c:v>
                </c:pt>
              </c:numCache>
            </c:numRef>
          </c:val>
          <c:smooth val="0"/>
        </c:ser>
        <c:dLbls>
          <c:showLegendKey val="0"/>
          <c:showVal val="0"/>
          <c:showCatName val="0"/>
          <c:showSerName val="0"/>
          <c:showPercent val="0"/>
          <c:showBubbleSize val="0"/>
        </c:dLbls>
        <c:marker val="1"/>
        <c:smooth val="0"/>
        <c:axId val="258622464"/>
        <c:axId val="335780608"/>
      </c:lineChart>
      <c:catAx>
        <c:axId val="25862246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335780608"/>
        <c:crosses val="autoZero"/>
        <c:auto val="1"/>
        <c:lblAlgn val="ctr"/>
        <c:lblOffset val="100"/>
        <c:noMultiLvlLbl val="0"/>
      </c:catAx>
      <c:valAx>
        <c:axId val="33578060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862246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5.8132460625000002</c:v>
                </c:pt>
                <c:pt idx="2">
                  <c:v>59.242686235744245</c:v>
                </c:pt>
                <c:pt idx="3">
                  <c:v>155.76187468179606</c:v>
                </c:pt>
                <c:pt idx="4">
                  <c:v>214.4973692336911</c:v>
                </c:pt>
                <c:pt idx="5">
                  <c:v>270.16317674214366</c:v>
                </c:pt>
                <c:pt idx="6">
                  <c:v>370.10398146154068</c:v>
                </c:pt>
                <c:pt idx="7">
                  <c:v>382.79598156801131</c:v>
                </c:pt>
                <c:pt idx="8">
                  <c:v>395.87738734946566</c:v>
                </c:pt>
                <c:pt idx="9">
                  <c:v>409.36022680302477</c:v>
                </c:pt>
                <c:pt idx="10">
                  <c:v>423.25690259879826</c:v>
                </c:pt>
                <c:pt idx="11">
                  <c:v>437.5802038733969</c:v>
                </c:pt>
                <c:pt idx="12">
                  <c:v>452.34331839938346</c:v>
                </c:pt>
                <c:pt idx="13">
                  <c:v>467.55984514282562</c:v>
                </c:pt>
                <c:pt idx="14">
                  <c:v>483.24380722151409</c:v>
                </c:pt>
                <c:pt idx="15">
                  <c:v>499.40966527682394</c:v>
                </c:pt>
                <c:pt idx="16">
                  <c:v>516.0723312726243</c:v>
                </c:pt>
                <c:pt idx="17">
                  <c:v>533.24718273508302</c:v>
                </c:pt>
                <c:pt idx="18">
                  <c:v>550.95007744767133</c:v>
                </c:pt>
                <c:pt idx="19">
                  <c:v>569.19736861614331</c:v>
                </c:pt>
                <c:pt idx="20">
                  <c:v>588.00592051875572</c:v>
                </c:pt>
                <c:pt idx="21">
                  <c:v>607.39312465749629</c:v>
                </c:pt>
                <c:pt idx="22">
                  <c:v>627.37691642661082</c:v>
                </c:pt>
                <c:pt idx="23">
                  <c:v>647.9757923152589</c:v>
                </c:pt>
                <c:pt idx="24">
                  <c:v>669.20882766168506</c:v>
                </c:pt>
                <c:pt idx="25">
                  <c:v>691.09569497686732</c:v>
                </c:pt>
                <c:pt idx="26">
                  <c:v>713.65668285620291</c:v>
                </c:pt>
                <c:pt idx="27">
                  <c:v>736.9127154984044</c:v>
                </c:pt>
                <c:pt idx="28">
                  <c:v>760.88537285141717</c:v>
                </c:pt>
                <c:pt idx="29">
                  <c:v>785.59691140582731</c:v>
                </c:pt>
                <c:pt idx="30">
                  <c:v>811.07028565690905</c:v>
                </c:pt>
                <c:pt idx="31">
                  <c:v>837.32917025716415</c:v>
                </c:pt>
                <c:pt idx="32">
                  <c:v>864.39798288193344</c:v>
                </c:pt>
                <c:pt idx="33">
                  <c:v>892.30190783141256</c:v>
                </c:pt>
                <c:pt idx="34">
                  <c:v>921.06692039318148</c:v>
                </c:pt>
                <c:pt idx="35">
                  <c:v>950.71981199016113</c:v>
                </c:pt>
                <c:pt idx="36">
                  <c:v>981.28821613974219</c:v>
                </c:pt>
                <c:pt idx="37">
                  <c:v>1012.8006352506903</c:v>
                </c:pt>
                <c:pt idx="38">
                  <c:v>1045.2864682853217</c:v>
                </c:pt>
                <c:pt idx="39">
                  <c:v>1078.776039315361</c:v>
                </c:pt>
                <c:pt idx="40">
                  <c:v>1113.3006270008455</c:v>
                </c:pt>
                <c:pt idx="41">
                  <c:v>1148.8924950224198</c:v>
                </c:pt>
                <c:pt idx="42">
                  <c:v>1185.584923498388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39.72264977611232</c:v>
                </c:pt>
                <c:pt idx="5">
                  <c:v>63.928915223032718</c:v>
                </c:pt>
                <c:pt idx="6">
                  <c:v>89.019060902039826</c:v>
                </c:pt>
                <c:pt idx="7">
                  <c:v>119.07771843841229</c:v>
                </c:pt>
                <c:pt idx="8">
                  <c:v>150.249659587243</c:v>
                </c:pt>
                <c:pt idx="9">
                  <c:v>182.54379061743163</c:v>
                </c:pt>
                <c:pt idx="10">
                  <c:v>218.18099721906216</c:v>
                </c:pt>
                <c:pt idx="11">
                  <c:v>255.10114325835139</c:v>
                </c:pt>
                <c:pt idx="12">
                  <c:v>293.35041455505507</c:v>
                </c:pt>
                <c:pt idx="13">
                  <c:v>334.83708328050784</c:v>
                </c:pt>
                <c:pt idx="14">
                  <c:v>377.81727208007692</c:v>
                </c:pt>
                <c:pt idx="15">
                  <c:v>422.34474767643047</c:v>
                </c:pt>
                <c:pt idx="16">
                  <c:v>468.47521239425276</c:v>
                </c:pt>
                <c:pt idx="17">
                  <c:v>516.26637384191667</c:v>
                </c:pt>
                <c:pt idx="18">
                  <c:v>565.77801710169649</c:v>
                </c:pt>
                <c:pt idx="19">
                  <c:v>617.07207951882833</c:v>
                </c:pt>
                <c:pt idx="20">
                  <c:v>670.21272818297689</c:v>
                </c:pt>
                <c:pt idx="21">
                  <c:v>725.26644019903483</c:v>
                </c:pt>
                <c:pt idx="22">
                  <c:v>782.30208584767092</c:v>
                </c:pt>
                <c:pt idx="23">
                  <c:v>841.39101473965786</c:v>
                </c:pt>
                <c:pt idx="24">
                  <c:v>902.60714507175635</c:v>
                </c:pt>
                <c:pt idx="25">
                  <c:v>966.02705609581039</c:v>
                </c:pt>
                <c:pt idx="26">
                  <c:v>1031.7300839167303</c:v>
                </c:pt>
                <c:pt idx="27">
                  <c:v>1099.7984207392035</c:v>
                </c:pt>
                <c:pt idx="28">
                  <c:v>1170.3172176872856</c:v>
                </c:pt>
                <c:pt idx="29">
                  <c:v>1243.3746913254986</c:v>
                </c:pt>
                <c:pt idx="30">
                  <c:v>1319.0622340146874</c:v>
                </c:pt>
                <c:pt idx="31">
                  <c:v>1397.4745282406871</c:v>
                </c:pt>
                <c:pt idx="32">
                  <c:v>1478.7096650588226</c:v>
                </c:pt>
                <c:pt idx="33">
                  <c:v>1562.8692668024109</c:v>
                </c:pt>
                <c:pt idx="34">
                  <c:v>1650.0586142087686</c:v>
                </c:pt>
                <c:pt idx="35">
                  <c:v>1740.386778121755</c:v>
                </c:pt>
                <c:pt idx="36">
                  <c:v>1833.9667559356089</c:v>
                </c:pt>
                <c:pt idx="37">
                  <c:v>1930.9156129507617</c:v>
                </c:pt>
                <c:pt idx="38">
                  <c:v>2031.35462881846</c:v>
                </c:pt>
                <c:pt idx="39">
                  <c:v>2135.4094492573954</c:v>
                </c:pt>
                <c:pt idx="40">
                  <c:v>2243.2102432321326</c:v>
                </c:pt>
                <c:pt idx="41">
                  <c:v>2354.8918657899603</c:v>
                </c:pt>
                <c:pt idx="42">
                  <c:v>2470.5940267598698</c:v>
                </c:pt>
              </c:numCache>
            </c:numRef>
          </c:val>
          <c:smooth val="0"/>
        </c:ser>
        <c:dLbls>
          <c:showLegendKey val="0"/>
          <c:showVal val="0"/>
          <c:showCatName val="0"/>
          <c:showSerName val="0"/>
          <c:showPercent val="0"/>
          <c:showBubbleSize val="0"/>
        </c:dLbls>
        <c:marker val="1"/>
        <c:smooth val="0"/>
        <c:axId val="258621440"/>
        <c:axId val="335774848"/>
      </c:lineChart>
      <c:catAx>
        <c:axId val="25862144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335774848"/>
        <c:crosses val="autoZero"/>
        <c:auto val="1"/>
        <c:lblAlgn val="ctr"/>
        <c:lblOffset val="100"/>
        <c:noMultiLvlLbl val="0"/>
      </c:catAx>
      <c:valAx>
        <c:axId val="33577484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862144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5.8132460625000002</c:v>
                </c:pt>
                <c:pt idx="2">
                  <c:v>59.242686235744245</c:v>
                </c:pt>
                <c:pt idx="3">
                  <c:v>155.76187468179606</c:v>
                </c:pt>
                <c:pt idx="4">
                  <c:v>214.4973692336911</c:v>
                </c:pt>
                <c:pt idx="5">
                  <c:v>270.16317674214366</c:v>
                </c:pt>
                <c:pt idx="6">
                  <c:v>370.10398146154068</c:v>
                </c:pt>
                <c:pt idx="7">
                  <c:v>437.42596241686414</c:v>
                </c:pt>
                <c:pt idx="8">
                  <c:v>501.07130412073604</c:v>
                </c:pt>
                <c:pt idx="9">
                  <c:v>609.72017529332277</c:v>
                </c:pt>
                <c:pt idx="10">
                  <c:v>625.79116115076772</c:v>
                </c:pt>
                <c:pt idx="11">
                  <c:v>642.3540017888879</c:v>
                </c:pt>
                <c:pt idx="12">
                  <c:v>659.42384185930166</c:v>
                </c:pt>
                <c:pt idx="13">
                  <c:v>677.01629591350388</c:v>
                </c:pt>
                <c:pt idx="14">
                  <c:v>695.14746312227521</c:v>
                </c:pt>
                <c:pt idx="15">
                  <c:v>713.83394246157036</c:v>
                </c:pt>
                <c:pt idx="16">
                  <c:v>733.09284837987559</c:v>
                </c:pt>
                <c:pt idx="17">
                  <c:v>752.94182696251437</c:v>
                </c:pt>
                <c:pt idx="18">
                  <c:v>773.3990726088881</c:v>
                </c:pt>
                <c:pt idx="19">
                  <c:v>794.48334523915912</c:v>
                </c:pt>
                <c:pt idx="20">
                  <c:v>816.21398804742455</c:v>
                </c:pt>
                <c:pt idx="21">
                  <c:v>838.61094581898772</c:v>
                </c:pt>
                <c:pt idx="22">
                  <c:v>861.6947838299094</c:v>
                </c:pt>
                <c:pt idx="23">
                  <c:v>885.48670734761902</c:v>
                </c:pt>
                <c:pt idx="24">
                  <c:v>910.00858175197845</c:v>
                </c:pt>
                <c:pt idx="25">
                  <c:v>935.28295329683203</c:v>
                </c:pt>
                <c:pt idx="26">
                  <c:v>961.33307053272904</c:v>
                </c:pt>
                <c:pt idx="27">
                  <c:v>988.1829064121888</c:v>
                </c:pt>
                <c:pt idx="28">
                  <c:v>1015.8571810995776</c:v>
                </c:pt>
                <c:pt idx="29">
                  <c:v>1044.3813855083949</c:v>
                </c:pt>
                <c:pt idx="30">
                  <c:v>1073.7818055895161</c:v>
                </c:pt>
                <c:pt idx="31">
                  <c:v>1104.085547394712</c:v>
                </c:pt>
                <c:pt idx="32">
                  <c:v>1135.3205629405702</c:v>
                </c:pt>
                <c:pt idx="33">
                  <c:v>1167.5156768987708</c:v>
                </c:pt>
                <c:pt idx="34">
                  <c:v>1200.7006141395229</c:v>
                </c:pt>
                <c:pt idx="35">
                  <c:v>1234.9060281558554</c:v>
                </c:pt>
                <c:pt idx="36">
                  <c:v>1270.1635303973699</c:v>
                </c:pt>
                <c:pt idx="37">
                  <c:v>1306.5057205430094</c:v>
                </c:pt>
                <c:pt idx="38">
                  <c:v>1343.9662177433729</c:v>
                </c:pt>
                <c:pt idx="39">
                  <c:v>1382.5796928641164</c:v>
                </c:pt>
                <c:pt idx="40">
                  <c:v>1422.3819017630258</c:v>
                </c:pt>
                <c:pt idx="41">
                  <c:v>1463.409719634428</c:v>
                </c:pt>
                <c:pt idx="42">
                  <c:v>1505.701176455719</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39.72264977611232</c:v>
                </c:pt>
                <c:pt idx="5">
                  <c:v>63.928915223032718</c:v>
                </c:pt>
                <c:pt idx="6">
                  <c:v>89.019060902039826</c:v>
                </c:pt>
                <c:pt idx="7">
                  <c:v>119.07771843841229</c:v>
                </c:pt>
                <c:pt idx="8">
                  <c:v>150.249659587243</c:v>
                </c:pt>
                <c:pt idx="9">
                  <c:v>182.54379061743163</c:v>
                </c:pt>
                <c:pt idx="10">
                  <c:v>218.18099721906216</c:v>
                </c:pt>
                <c:pt idx="11">
                  <c:v>255.10114325835139</c:v>
                </c:pt>
                <c:pt idx="12">
                  <c:v>293.35041455505507</c:v>
                </c:pt>
                <c:pt idx="13">
                  <c:v>334.83708328050784</c:v>
                </c:pt>
                <c:pt idx="14">
                  <c:v>377.81727208007692</c:v>
                </c:pt>
                <c:pt idx="15">
                  <c:v>422.34474767643047</c:v>
                </c:pt>
                <c:pt idx="16">
                  <c:v>468.47521239425276</c:v>
                </c:pt>
                <c:pt idx="17">
                  <c:v>516.26637384191667</c:v>
                </c:pt>
                <c:pt idx="18">
                  <c:v>565.77801710169649</c:v>
                </c:pt>
                <c:pt idx="19">
                  <c:v>617.07207951882833</c:v>
                </c:pt>
                <c:pt idx="20">
                  <c:v>670.21272818297689</c:v>
                </c:pt>
                <c:pt idx="21">
                  <c:v>725.26644019903483</c:v>
                </c:pt>
                <c:pt idx="22">
                  <c:v>782.30208584767092</c:v>
                </c:pt>
                <c:pt idx="23">
                  <c:v>841.39101473965786</c:v>
                </c:pt>
                <c:pt idx="24">
                  <c:v>902.60714507175635</c:v>
                </c:pt>
                <c:pt idx="25">
                  <c:v>966.02705609581039</c:v>
                </c:pt>
                <c:pt idx="26">
                  <c:v>1031.7300839167303</c:v>
                </c:pt>
                <c:pt idx="27">
                  <c:v>1099.7984207392035</c:v>
                </c:pt>
                <c:pt idx="28">
                  <c:v>1170.3172176872856</c:v>
                </c:pt>
                <c:pt idx="29">
                  <c:v>1243.3746913254986</c:v>
                </c:pt>
                <c:pt idx="30">
                  <c:v>1319.0622340146874</c:v>
                </c:pt>
                <c:pt idx="31">
                  <c:v>1397.4745282406871</c:v>
                </c:pt>
                <c:pt idx="32">
                  <c:v>1478.7096650588226</c:v>
                </c:pt>
                <c:pt idx="33">
                  <c:v>1562.8692668024109</c:v>
                </c:pt>
                <c:pt idx="34">
                  <c:v>1650.0586142087686</c:v>
                </c:pt>
                <c:pt idx="35">
                  <c:v>1740.386778121755</c:v>
                </c:pt>
                <c:pt idx="36">
                  <c:v>1833.9667559356089</c:v>
                </c:pt>
                <c:pt idx="37">
                  <c:v>1930.9156129507617</c:v>
                </c:pt>
                <c:pt idx="38">
                  <c:v>2031.35462881846</c:v>
                </c:pt>
                <c:pt idx="39">
                  <c:v>2135.4094492573954</c:v>
                </c:pt>
                <c:pt idx="40">
                  <c:v>2243.2102432321326</c:v>
                </c:pt>
                <c:pt idx="41">
                  <c:v>2354.8918657899603</c:v>
                </c:pt>
                <c:pt idx="42">
                  <c:v>2470.5940267598698</c:v>
                </c:pt>
              </c:numCache>
            </c:numRef>
          </c:val>
          <c:smooth val="0"/>
        </c:ser>
        <c:dLbls>
          <c:showLegendKey val="0"/>
          <c:showVal val="0"/>
          <c:showCatName val="0"/>
          <c:showSerName val="0"/>
          <c:showPercent val="0"/>
          <c:showBubbleSize val="0"/>
        </c:dLbls>
        <c:marker val="1"/>
        <c:smooth val="0"/>
        <c:axId val="272669696"/>
        <c:axId val="258558784"/>
      </c:lineChart>
      <c:catAx>
        <c:axId val="27266969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8558784"/>
        <c:crosses val="autoZero"/>
        <c:auto val="1"/>
        <c:lblAlgn val="ctr"/>
        <c:lblOffset val="100"/>
        <c:noMultiLvlLbl val="0"/>
      </c:catAx>
      <c:valAx>
        <c:axId val="25855878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7266969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5.8132460625000002</c:v>
                </c:pt>
                <c:pt idx="2">
                  <c:v>59.242686235744245</c:v>
                </c:pt>
                <c:pt idx="3">
                  <c:v>155.76187468179606</c:v>
                </c:pt>
                <c:pt idx="4">
                  <c:v>214.4973692336911</c:v>
                </c:pt>
                <c:pt idx="5">
                  <c:v>270.16317674214366</c:v>
                </c:pt>
                <c:pt idx="6">
                  <c:v>370.10398146154068</c:v>
                </c:pt>
                <c:pt idx="7">
                  <c:v>437.42596241686414</c:v>
                </c:pt>
                <c:pt idx="8">
                  <c:v>501.07130412073604</c:v>
                </c:pt>
                <c:pt idx="9">
                  <c:v>609.72017529332277</c:v>
                </c:pt>
                <c:pt idx="10">
                  <c:v>679.08259815410088</c:v>
                </c:pt>
                <c:pt idx="11">
                  <c:v>748.80892048887483</c:v>
                </c:pt>
                <c:pt idx="12">
                  <c:v>865.13500263557103</c:v>
                </c:pt>
                <c:pt idx="13">
                  <c:v>887.88782642147271</c:v>
                </c:pt>
                <c:pt idx="14">
                  <c:v>911.33417445389443</c:v>
                </c:pt>
                <c:pt idx="15">
                  <c:v>935.49529004154965</c:v>
                </c:pt>
                <c:pt idx="16">
                  <c:v>960.39307129566566</c:v>
                </c:pt>
                <c:pt idx="17">
                  <c:v>986.05009147418957</c:v>
                </c:pt>
                <c:pt idx="18">
                  <c:v>1012.489619964325</c:v>
                </c:pt>
                <c:pt idx="19">
                  <c:v>1039.7356439236705</c:v>
                </c:pt>
                <c:pt idx="20">
                  <c:v>1067.8128906008826</c:v>
                </c:pt>
                <c:pt idx="21">
                  <c:v>1096.746850357461</c:v>
                </c:pt>
                <c:pt idx="22">
                  <c:v>1126.5638004129482</c:v>
                </c:pt>
                <c:pt idx="23">
                  <c:v>1157.2908293365604</c:v>
                </c:pt>
                <c:pt idx="24">
                  <c:v>1188.9558623089995</c:v>
                </c:pt>
                <c:pt idx="25">
                  <c:v>1221.5876871789751</c:v>
                </c:pt>
                <c:pt idx="26">
                  <c:v>1255.2159813397479</c:v>
                </c:pt>
                <c:pt idx="27">
                  <c:v>1289.8713394518297</c:v>
                </c:pt>
                <c:pt idx="28">
                  <c:v>1325.5853020388192</c:v>
                </c:pt>
                <c:pt idx="29">
                  <c:v>1362.3903849842254</c:v>
                </c:pt>
                <c:pt idx="30">
                  <c:v>1400.3201099580331</c:v>
                </c:pt>
                <c:pt idx="31">
                  <c:v>1439.4090358026958</c:v>
                </c:pt>
                <c:pt idx="32">
                  <c:v>1479.6927909092049</c:v>
                </c:pt>
                <c:pt idx="33">
                  <c:v>1521.208106614876</c:v>
                </c:pt>
                <c:pt idx="34">
                  <c:v>1563.9928516555228</c:v>
                </c:pt>
                <c:pt idx="35">
                  <c:v>1608.0860677057467</c:v>
                </c:pt>
                <c:pt idx="36">
                  <c:v>1653.5280060421692</c:v>
                </c:pt>
                <c:pt idx="37">
                  <c:v>1700.3601653655639</c:v>
                </c:pt>
                <c:pt idx="38">
                  <c:v>1748.6253308190155</c:v>
                </c:pt>
                <c:pt idx="39">
                  <c:v>1798.3676142404397</c:v>
                </c:pt>
                <c:pt idx="40">
                  <c:v>1849.6324956890503</c:v>
                </c:pt>
                <c:pt idx="41">
                  <c:v>1902.4668662866447</c:v>
                </c:pt>
                <c:pt idx="42">
                  <c:v>1956.9190724159137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39.72264977611232</c:v>
                </c:pt>
                <c:pt idx="5">
                  <c:v>63.928915223032718</c:v>
                </c:pt>
                <c:pt idx="6">
                  <c:v>89.019060902039826</c:v>
                </c:pt>
                <c:pt idx="7">
                  <c:v>119.07771843841229</c:v>
                </c:pt>
                <c:pt idx="8">
                  <c:v>150.249659587243</c:v>
                </c:pt>
                <c:pt idx="9">
                  <c:v>182.54379061743163</c:v>
                </c:pt>
                <c:pt idx="10">
                  <c:v>218.18099721906216</c:v>
                </c:pt>
                <c:pt idx="11">
                  <c:v>255.10114325835139</c:v>
                </c:pt>
                <c:pt idx="12">
                  <c:v>293.35041455505507</c:v>
                </c:pt>
                <c:pt idx="13">
                  <c:v>334.83708328050784</c:v>
                </c:pt>
                <c:pt idx="14">
                  <c:v>377.81727208007692</c:v>
                </c:pt>
                <c:pt idx="15">
                  <c:v>422.34474767643047</c:v>
                </c:pt>
                <c:pt idx="16">
                  <c:v>468.47521239425276</c:v>
                </c:pt>
                <c:pt idx="17">
                  <c:v>516.26637384191667</c:v>
                </c:pt>
                <c:pt idx="18">
                  <c:v>565.77801710169649</c:v>
                </c:pt>
                <c:pt idx="19">
                  <c:v>617.07207951882833</c:v>
                </c:pt>
                <c:pt idx="20">
                  <c:v>670.21272818297689</c:v>
                </c:pt>
                <c:pt idx="21">
                  <c:v>725.26644019903483</c:v>
                </c:pt>
                <c:pt idx="22">
                  <c:v>782.30208584767092</c:v>
                </c:pt>
                <c:pt idx="23">
                  <c:v>841.39101473965786</c:v>
                </c:pt>
                <c:pt idx="24">
                  <c:v>902.60714507175635</c:v>
                </c:pt>
                <c:pt idx="25">
                  <c:v>966.02705609581039</c:v>
                </c:pt>
                <c:pt idx="26">
                  <c:v>1031.7300839167303</c:v>
                </c:pt>
                <c:pt idx="27">
                  <c:v>1099.7984207392035</c:v>
                </c:pt>
                <c:pt idx="28">
                  <c:v>1170.3172176872856</c:v>
                </c:pt>
                <c:pt idx="29">
                  <c:v>1243.3746913254986</c:v>
                </c:pt>
                <c:pt idx="30">
                  <c:v>1319.0622340146874</c:v>
                </c:pt>
                <c:pt idx="31">
                  <c:v>1397.4745282406871</c:v>
                </c:pt>
                <c:pt idx="32">
                  <c:v>1478.7096650588226</c:v>
                </c:pt>
                <c:pt idx="33">
                  <c:v>1562.8692668024109</c:v>
                </c:pt>
                <c:pt idx="34">
                  <c:v>1650.0586142087686</c:v>
                </c:pt>
                <c:pt idx="35">
                  <c:v>1740.386778121755</c:v>
                </c:pt>
                <c:pt idx="36">
                  <c:v>1833.9667559356089</c:v>
                </c:pt>
                <c:pt idx="37">
                  <c:v>1930.9156129507617</c:v>
                </c:pt>
                <c:pt idx="38">
                  <c:v>2031.35462881846</c:v>
                </c:pt>
                <c:pt idx="39">
                  <c:v>2135.4094492573954</c:v>
                </c:pt>
                <c:pt idx="40">
                  <c:v>2243.2102432321326</c:v>
                </c:pt>
                <c:pt idx="41">
                  <c:v>2354.8918657899603</c:v>
                </c:pt>
                <c:pt idx="42">
                  <c:v>2470.5940267598698</c:v>
                </c:pt>
              </c:numCache>
            </c:numRef>
          </c:val>
          <c:smooth val="0"/>
        </c:ser>
        <c:dLbls>
          <c:showLegendKey val="0"/>
          <c:showVal val="0"/>
          <c:showCatName val="0"/>
          <c:showSerName val="0"/>
          <c:showPercent val="0"/>
          <c:showBubbleSize val="0"/>
        </c:dLbls>
        <c:marker val="1"/>
        <c:smooth val="0"/>
        <c:axId val="261048320"/>
        <c:axId val="266666560"/>
      </c:lineChart>
      <c:catAx>
        <c:axId val="26104832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66666560"/>
        <c:crosses val="autoZero"/>
        <c:auto val="1"/>
        <c:lblAlgn val="ctr"/>
        <c:lblOffset val="100"/>
        <c:noMultiLvlLbl val="0"/>
      </c:catAx>
      <c:valAx>
        <c:axId val="26666656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6104832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5.8132460625000002</c:v>
                </c:pt>
                <c:pt idx="2">
                  <c:v>59.242686235744245</c:v>
                </c:pt>
                <c:pt idx="3">
                  <c:v>155.76187468179606</c:v>
                </c:pt>
                <c:pt idx="4">
                  <c:v>214.4973692336911</c:v>
                </c:pt>
                <c:pt idx="5">
                  <c:v>270.16317674214366</c:v>
                </c:pt>
                <c:pt idx="6">
                  <c:v>370.10398146154068</c:v>
                </c:pt>
                <c:pt idx="7">
                  <c:v>437.42596241686414</c:v>
                </c:pt>
                <c:pt idx="8">
                  <c:v>501.07130412073604</c:v>
                </c:pt>
                <c:pt idx="9">
                  <c:v>609.72017529332277</c:v>
                </c:pt>
                <c:pt idx="10">
                  <c:v>679.08259815410088</c:v>
                </c:pt>
                <c:pt idx="11">
                  <c:v>748.80892048887483</c:v>
                </c:pt>
                <c:pt idx="12">
                  <c:v>865.13500263557103</c:v>
                </c:pt>
                <c:pt idx="13">
                  <c:v>997.44268900214092</c:v>
                </c:pt>
                <c:pt idx="14">
                  <c:v>1078.1383231867485</c:v>
                </c:pt>
                <c:pt idx="15">
                  <c:v>1102.2994387744036</c:v>
                </c:pt>
                <c:pt idx="16">
                  <c:v>1133.6032479422877</c:v>
                </c:pt>
                <c:pt idx="17">
                  <c:v>1165.8584768719927</c:v>
                </c:pt>
                <c:pt idx="18">
                  <c:v>1199.0941603758447</c:v>
                </c:pt>
                <c:pt idx="19">
                  <c:v>1233.3402239993184</c:v>
                </c:pt>
                <c:pt idx="20">
                  <c:v>1268.6275115305825</c:v>
                </c:pt>
                <c:pt idx="21">
                  <c:v>1304.9878133668342</c:v>
                </c:pt>
                <c:pt idx="22">
                  <c:v>1342.4538957643852</c:v>
                </c:pt>
                <c:pt idx="23">
                  <c:v>1381.059531000323</c:v>
                </c:pt>
                <c:pt idx="24">
                  <c:v>1420.8395284744574</c:v>
                </c:pt>
                <c:pt idx="25">
                  <c:v>1461.8297667811794</c:v>
                </c:pt>
                <c:pt idx="26">
                  <c:v>1504.0672267818009</c:v>
                </c:pt>
                <c:pt idx="27">
                  <c:v>1547.5900257089265</c:v>
                </c:pt>
                <c:pt idx="28">
                  <c:v>1592.4374523354113</c:v>
                </c:pt>
                <c:pt idx="29">
                  <c:v>1638.6500032414976</c:v>
                </c:pt>
                <c:pt idx="30">
                  <c:v>1686.2694202148059</c:v>
                </c:pt>
                <c:pt idx="31">
                  <c:v>1735.3387288189542</c:v>
                </c:pt>
                <c:pt idx="32">
                  <c:v>1785.9022781677336</c:v>
                </c:pt>
                <c:pt idx="33">
                  <c:v>1838.005781942943</c:v>
                </c:pt>
                <c:pt idx="34">
                  <c:v>1891.6963606952143</c:v>
                </c:pt>
                <c:pt idx="35">
                  <c:v>1947.0225854684113</c:v>
                </c:pt>
                <c:pt idx="36">
                  <c:v>2004.0345227894961</c:v>
                </c:pt>
                <c:pt idx="37">
                  <c:v>2062.7837810670931</c:v>
                </c:pt>
                <c:pt idx="38">
                  <c:v>2123.3235584433728</c:v>
                </c:pt>
                <c:pt idx="39">
                  <c:v>2185.7086921453101</c:v>
                </c:pt>
                <c:pt idx="40">
                  <c:v>2249.9957093828493</c:v>
                </c:pt>
                <c:pt idx="41">
                  <c:v>2316.2428798430401</c:v>
                </c:pt>
                <c:pt idx="42">
                  <c:v>2384.5102698307833</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39.72264977611232</c:v>
                </c:pt>
                <c:pt idx="5">
                  <c:v>63.928915223032718</c:v>
                </c:pt>
                <c:pt idx="6">
                  <c:v>89.019060902039826</c:v>
                </c:pt>
                <c:pt idx="7">
                  <c:v>119.07771843841229</c:v>
                </c:pt>
                <c:pt idx="8">
                  <c:v>150.249659587243</c:v>
                </c:pt>
                <c:pt idx="9">
                  <c:v>182.54379061743163</c:v>
                </c:pt>
                <c:pt idx="10">
                  <c:v>218.18099721906216</c:v>
                </c:pt>
                <c:pt idx="11">
                  <c:v>255.10114325835139</c:v>
                </c:pt>
                <c:pt idx="12">
                  <c:v>293.35041455505507</c:v>
                </c:pt>
                <c:pt idx="13">
                  <c:v>334.83708328050784</c:v>
                </c:pt>
                <c:pt idx="14">
                  <c:v>377.81727208007692</c:v>
                </c:pt>
                <c:pt idx="15">
                  <c:v>422.34474767643047</c:v>
                </c:pt>
                <c:pt idx="16">
                  <c:v>468.47521239425276</c:v>
                </c:pt>
                <c:pt idx="17">
                  <c:v>516.26637384191667</c:v>
                </c:pt>
                <c:pt idx="18">
                  <c:v>565.77801710169649</c:v>
                </c:pt>
                <c:pt idx="19">
                  <c:v>617.07207951882833</c:v>
                </c:pt>
                <c:pt idx="20">
                  <c:v>670.21272818297689</c:v>
                </c:pt>
                <c:pt idx="21">
                  <c:v>725.26644019903483</c:v>
                </c:pt>
                <c:pt idx="22">
                  <c:v>782.30208584767092</c:v>
                </c:pt>
                <c:pt idx="23">
                  <c:v>841.39101473965786</c:v>
                </c:pt>
                <c:pt idx="24">
                  <c:v>902.60714507175635</c:v>
                </c:pt>
                <c:pt idx="25">
                  <c:v>966.02705609581039</c:v>
                </c:pt>
                <c:pt idx="26">
                  <c:v>1031.7300839167303</c:v>
                </c:pt>
                <c:pt idx="27">
                  <c:v>1099.7984207392035</c:v>
                </c:pt>
                <c:pt idx="28">
                  <c:v>1170.3172176872856</c:v>
                </c:pt>
                <c:pt idx="29">
                  <c:v>1243.3746913254986</c:v>
                </c:pt>
                <c:pt idx="30">
                  <c:v>1319.0622340146874</c:v>
                </c:pt>
                <c:pt idx="31">
                  <c:v>1397.4745282406871</c:v>
                </c:pt>
                <c:pt idx="32">
                  <c:v>1478.7096650588226</c:v>
                </c:pt>
                <c:pt idx="33">
                  <c:v>1562.8692668024109</c:v>
                </c:pt>
                <c:pt idx="34">
                  <c:v>1650.0586142087686</c:v>
                </c:pt>
                <c:pt idx="35">
                  <c:v>1740.386778121755</c:v>
                </c:pt>
                <c:pt idx="36">
                  <c:v>1833.9667559356089</c:v>
                </c:pt>
                <c:pt idx="37">
                  <c:v>1930.9156129507617</c:v>
                </c:pt>
                <c:pt idx="38">
                  <c:v>2031.35462881846</c:v>
                </c:pt>
                <c:pt idx="39">
                  <c:v>2135.4094492573954</c:v>
                </c:pt>
                <c:pt idx="40">
                  <c:v>2243.2102432321326</c:v>
                </c:pt>
                <c:pt idx="41">
                  <c:v>2354.8918657899603</c:v>
                </c:pt>
                <c:pt idx="42">
                  <c:v>2470.5940267598698</c:v>
                </c:pt>
              </c:numCache>
            </c:numRef>
          </c:val>
          <c:smooth val="0"/>
        </c:ser>
        <c:dLbls>
          <c:showLegendKey val="0"/>
          <c:showVal val="0"/>
          <c:showCatName val="0"/>
          <c:showSerName val="0"/>
          <c:showPercent val="0"/>
          <c:showBubbleSize val="0"/>
        </c:dLbls>
        <c:marker val="1"/>
        <c:smooth val="0"/>
        <c:axId val="259635200"/>
        <c:axId val="258561088"/>
      </c:lineChart>
      <c:catAx>
        <c:axId val="25963520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8561088"/>
        <c:crosses val="autoZero"/>
        <c:auto val="1"/>
        <c:lblAlgn val="ctr"/>
        <c:lblOffset val="100"/>
        <c:noMultiLvlLbl val="0"/>
      </c:catAx>
      <c:valAx>
        <c:axId val="25856108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963520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P%20Workbook%20LAUNCHPA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_new"/>
      <sheetName val="Custom HV &amp; WD"/>
      <sheetName val="Generic HV &amp; WD"/>
      <sheetName val="Constraints"/>
    </sheetNames>
    <sheetDataSet>
      <sheetData sheetId="0"/>
      <sheetData sheetId="1">
        <row r="1">
          <cell r="B1" t="str">
            <v>DCM</v>
          </cell>
          <cell r="C1" t="str">
            <v>Step</v>
          </cell>
          <cell r="D1" t="str">
            <v>BW</v>
          </cell>
          <cell r="E1" t="str">
            <v>MW</v>
          </cell>
          <cell r="F1" t="str">
            <v>Pl</v>
          </cell>
          <cell r="G1" t="str">
            <v>MS</v>
          </cell>
          <cell r="H1" t="str">
            <v>Md</v>
          </cell>
        </row>
        <row r="2">
          <cell r="B2" t="str">
            <v>ENV</v>
          </cell>
          <cell r="C2" t="str">
            <v>base</v>
          </cell>
          <cell r="D2">
            <v>0.1619548872180451</v>
          </cell>
          <cell r="E2">
            <v>6.4285714285714293E-2</v>
          </cell>
          <cell r="F2">
            <v>0</v>
          </cell>
          <cell r="G2">
            <v>6.7593984962406012E-2</v>
          </cell>
          <cell r="H2">
            <v>9.0225563909774437E-4</v>
          </cell>
        </row>
        <row r="3">
          <cell r="B3" t="str">
            <v>ENV</v>
          </cell>
          <cell r="C3" t="str">
            <v>base</v>
          </cell>
          <cell r="D3">
            <v>0.24035532994923858</v>
          </cell>
          <cell r="E3">
            <v>5.5076142131979693E-2</v>
          </cell>
          <cell r="F3">
            <v>0</v>
          </cell>
          <cell r="G3">
            <v>5.5025380710659898E-2</v>
          </cell>
          <cell r="H3">
            <v>3.1472081218274113E-3</v>
          </cell>
        </row>
        <row r="4">
          <cell r="B4" t="str">
            <v>Gravel</v>
          </cell>
          <cell r="C4" t="str">
            <v>base</v>
          </cell>
          <cell r="D4">
            <v>0</v>
          </cell>
          <cell r="E4">
            <v>2.0819112627986348E-2</v>
          </cell>
          <cell r="F4">
            <v>0</v>
          </cell>
          <cell r="G4">
            <v>5.3014789533560862E-2</v>
          </cell>
          <cell r="H4">
            <v>0</v>
          </cell>
        </row>
        <row r="5">
          <cell r="B5" t="str">
            <v>Gravel</v>
          </cell>
          <cell r="C5" t="str">
            <v>base</v>
          </cell>
          <cell r="D5">
            <v>0</v>
          </cell>
          <cell r="E5">
            <v>2.083301076101262E-2</v>
          </cell>
          <cell r="F5">
            <v>0</v>
          </cell>
          <cell r="G5">
            <v>5.3030889525431599E-2</v>
          </cell>
          <cell r="H5">
            <v>0</v>
          </cell>
        </row>
        <row r="6">
          <cell r="B6" t="str">
            <v>SFP</v>
          </cell>
          <cell r="C6" t="str">
            <v>base</v>
          </cell>
          <cell r="D6">
            <v>0</v>
          </cell>
          <cell r="E6">
            <v>0.36048225050234434</v>
          </cell>
          <cell r="F6">
            <v>0.28613529805760213</v>
          </cell>
          <cell r="G6">
            <v>0.57885688769814692</v>
          </cell>
          <cell r="H6">
            <v>0</v>
          </cell>
        </row>
        <row r="7">
          <cell r="B7" t="str">
            <v>None</v>
          </cell>
          <cell r="C7" t="str">
            <v>base</v>
          </cell>
          <cell r="D7">
            <v>0</v>
          </cell>
          <cell r="E7">
            <v>4.4066834146605831E-2</v>
          </cell>
          <cell r="F7">
            <v>3.8467181188749838E-2</v>
          </cell>
          <cell r="G7">
            <v>0.28558230085065545</v>
          </cell>
          <cell r="H7">
            <v>6.0865793020173798E-3</v>
          </cell>
        </row>
        <row r="8">
          <cell r="B8" t="str">
            <v>SFP</v>
          </cell>
          <cell r="C8" t="str">
            <v>base</v>
          </cell>
          <cell r="D8">
            <v>0</v>
          </cell>
          <cell r="E8">
            <v>0.29089552238805971</v>
          </cell>
          <cell r="F8">
            <v>0.35</v>
          </cell>
          <cell r="G8">
            <v>0.61412935323383089</v>
          </cell>
          <cell r="H8">
            <v>0</v>
          </cell>
        </row>
        <row r="9">
          <cell r="B9" t="str">
            <v>SFL</v>
          </cell>
          <cell r="C9" t="str">
            <v>base</v>
          </cell>
          <cell r="D9">
            <v>0</v>
          </cell>
          <cell r="E9">
            <v>0.44058739255014323</v>
          </cell>
          <cell r="F9">
            <v>0.2229083094555874</v>
          </cell>
          <cell r="G9">
            <v>0.64273638968481372</v>
          </cell>
          <cell r="H9">
            <v>2.865329512893983E-5</v>
          </cell>
        </row>
        <row r="10">
          <cell r="B10" t="str">
            <v>None</v>
          </cell>
          <cell r="C10" t="str">
            <v>base</v>
          </cell>
          <cell r="D10">
            <v>0</v>
          </cell>
          <cell r="E10">
            <v>2.0950183244904303E-3</v>
          </cell>
          <cell r="F10">
            <v>0</v>
          </cell>
          <cell r="G10">
            <v>3.8884809810617829E-2</v>
          </cell>
          <cell r="H10">
            <v>0</v>
          </cell>
        </row>
        <row r="11">
          <cell r="B11" t="str">
            <v>SFP</v>
          </cell>
          <cell r="C11" t="str">
            <v>base</v>
          </cell>
          <cell r="D11">
            <v>0</v>
          </cell>
          <cell r="E11">
            <v>7.7840269966254219E-2</v>
          </cell>
          <cell r="F11">
            <v>0.24808773903262091</v>
          </cell>
          <cell r="G11">
            <v>0.48498312710911134</v>
          </cell>
          <cell r="H11">
            <v>0</v>
          </cell>
        </row>
        <row r="12">
          <cell r="B12" t="str">
            <v>Brine</v>
          </cell>
          <cell r="C12" t="str">
            <v>base</v>
          </cell>
          <cell r="D12">
            <v>0</v>
          </cell>
          <cell r="E12">
            <v>0</v>
          </cell>
          <cell r="F12">
            <v>0</v>
          </cell>
          <cell r="G12">
            <v>4.8735408560311284E-2</v>
          </cell>
          <cell r="H12">
            <v>0</v>
          </cell>
        </row>
        <row r="13">
          <cell r="B13" t="str">
            <v>SFP</v>
          </cell>
          <cell r="C13" t="str">
            <v>base</v>
          </cell>
          <cell r="D13">
            <v>0</v>
          </cell>
          <cell r="E13">
            <v>0.14385150812064965</v>
          </cell>
          <cell r="F13">
            <v>0.2077494199535963</v>
          </cell>
          <cell r="G13">
            <v>0.64846867749419956</v>
          </cell>
          <cell r="H13">
            <v>0</v>
          </cell>
        </row>
        <row r="14">
          <cell r="B14" t="str">
            <v>SFP</v>
          </cell>
          <cell r="C14" t="str">
            <v>base</v>
          </cell>
          <cell r="D14">
            <v>0</v>
          </cell>
          <cell r="E14">
            <v>0.27020997375328082</v>
          </cell>
          <cell r="F14">
            <v>0.10984251968503936</v>
          </cell>
          <cell r="G14">
            <v>0.62145669291338579</v>
          </cell>
          <cell r="H14">
            <v>0</v>
          </cell>
        </row>
        <row r="15">
          <cell r="B15" t="str">
            <v>None</v>
          </cell>
          <cell r="C15" t="str">
            <v>base</v>
          </cell>
          <cell r="D15">
            <v>0</v>
          </cell>
          <cell r="E15">
            <v>2.0398701900788134E-3</v>
          </cell>
          <cell r="F15">
            <v>0</v>
          </cell>
          <cell r="G15">
            <v>2.5915623551228558E-2</v>
          </cell>
          <cell r="H15">
            <v>0</v>
          </cell>
        </row>
        <row r="16">
          <cell r="B16" t="str">
            <v>SFL</v>
          </cell>
          <cell r="C16" t="str">
            <v>base</v>
          </cell>
          <cell r="D16">
            <v>0</v>
          </cell>
          <cell r="E16">
            <v>4.3914680050188204E-3</v>
          </cell>
          <cell r="F16">
            <v>4.6800501882057713E-2</v>
          </cell>
          <cell r="G16">
            <v>0.16461731493099119</v>
          </cell>
          <cell r="H16">
            <v>4.0150564617314928E-3</v>
          </cell>
        </row>
        <row r="17">
          <cell r="B17" t="str">
            <v>SFL</v>
          </cell>
          <cell r="C17" t="str">
            <v>base</v>
          </cell>
          <cell r="D17">
            <v>0</v>
          </cell>
          <cell r="E17">
            <v>0.4997652030993191</v>
          </cell>
          <cell r="F17">
            <v>0.19420051655318149</v>
          </cell>
          <cell r="G17">
            <v>0.47774125381544968</v>
          </cell>
          <cell r="H17">
            <v>1.3101667057994835E-2</v>
          </cell>
        </row>
        <row r="18">
          <cell r="B18" t="str">
            <v>SFL</v>
          </cell>
          <cell r="C18" t="str">
            <v>base</v>
          </cell>
          <cell r="D18">
            <v>0</v>
          </cell>
          <cell r="E18">
            <v>0.48439849624060155</v>
          </cell>
          <cell r="F18">
            <v>0.19429824561403511</v>
          </cell>
          <cell r="G18">
            <v>0.44918546365914785</v>
          </cell>
          <cell r="H18">
            <v>1.7481203007518799E-2</v>
          </cell>
        </row>
        <row r="19">
          <cell r="B19" t="str">
            <v>SFP</v>
          </cell>
          <cell r="C19" t="str">
            <v>base</v>
          </cell>
          <cell r="D19">
            <v>0</v>
          </cell>
          <cell r="E19">
            <v>0.5209459459459459</v>
          </cell>
          <cell r="F19">
            <v>0.24451510333863277</v>
          </cell>
          <cell r="G19">
            <v>0.54181240063593006</v>
          </cell>
          <cell r="H19">
            <v>0</v>
          </cell>
        </row>
        <row r="20">
          <cell r="B20" t="str">
            <v>SFL</v>
          </cell>
          <cell r="C20" t="str">
            <v>base</v>
          </cell>
          <cell r="D20">
            <v>0</v>
          </cell>
          <cell r="E20">
            <v>0.40781592403214023</v>
          </cell>
          <cell r="F20">
            <v>0.29853907962016069</v>
          </cell>
          <cell r="G20">
            <v>0.58802045288531768</v>
          </cell>
          <cell r="H20">
            <v>0</v>
          </cell>
        </row>
        <row r="21">
          <cell r="B21" t="str">
            <v>SFP</v>
          </cell>
          <cell r="C21" t="str">
            <v>base</v>
          </cell>
          <cell r="D21">
            <v>0</v>
          </cell>
          <cell r="E21">
            <v>0.16472743930371048</v>
          </cell>
          <cell r="F21">
            <v>0.11765918460833714</v>
          </cell>
          <cell r="G21">
            <v>0.54647274393037104</v>
          </cell>
          <cell r="H21">
            <v>0</v>
          </cell>
        </row>
        <row r="22">
          <cell r="B22" t="str">
            <v>None</v>
          </cell>
          <cell r="C22" t="str">
            <v>base</v>
          </cell>
          <cell r="D22">
            <v>0</v>
          </cell>
          <cell r="E22">
            <v>2.1020784537194976E-3</v>
          </cell>
          <cell r="F22">
            <v>0</v>
          </cell>
          <cell r="G22">
            <v>3.8888451393810704E-2</v>
          </cell>
          <cell r="H22">
            <v>0</v>
          </cell>
        </row>
        <row r="23">
          <cell r="B23" t="str">
            <v>SFP</v>
          </cell>
          <cell r="C23" t="str">
            <v>base</v>
          </cell>
          <cell r="D23">
            <v>0</v>
          </cell>
          <cell r="E23">
            <v>0.17453117782909933</v>
          </cell>
          <cell r="F23">
            <v>8.5533487297921484E-2</v>
          </cell>
          <cell r="G23">
            <v>0.4999168591224018</v>
          </cell>
          <cell r="H23">
            <v>0</v>
          </cell>
        </row>
        <row r="24">
          <cell r="B24" t="str">
            <v>SFP</v>
          </cell>
          <cell r="C24" t="str">
            <v>base</v>
          </cell>
          <cell r="D24">
            <v>0</v>
          </cell>
          <cell r="E24">
            <v>0.41572819240313041</v>
          </cell>
          <cell r="F24">
            <v>0.1913914869249857</v>
          </cell>
          <cell r="G24">
            <v>0.53254437869822491</v>
          </cell>
          <cell r="H24">
            <v>1.3361328497804925E-4</v>
          </cell>
        </row>
        <row r="25">
          <cell r="B25" t="str">
            <v>SFP</v>
          </cell>
          <cell r="C25" t="str">
            <v>base</v>
          </cell>
          <cell r="D25">
            <v>0</v>
          </cell>
          <cell r="E25">
            <v>0.54503994673768308</v>
          </cell>
          <cell r="F25">
            <v>0.15908788282290282</v>
          </cell>
          <cell r="G25">
            <v>0.43034287616511324</v>
          </cell>
          <cell r="H25">
            <v>4.3275632490013318E-4</v>
          </cell>
        </row>
        <row r="26">
          <cell r="B26" t="str">
            <v>SFP</v>
          </cell>
          <cell r="C26" t="str">
            <v>base</v>
          </cell>
          <cell r="D26">
            <v>0</v>
          </cell>
          <cell r="E26">
            <v>0.6426647144948755</v>
          </cell>
          <cell r="F26">
            <v>0.10120058565153735</v>
          </cell>
          <cell r="G26">
            <v>0.72368960468521226</v>
          </cell>
          <cell r="H26">
            <v>0</v>
          </cell>
        </row>
        <row r="27">
          <cell r="B27" t="str">
            <v>SFP</v>
          </cell>
          <cell r="C27" t="str">
            <v>base</v>
          </cell>
          <cell r="D27">
            <v>0</v>
          </cell>
          <cell r="E27">
            <v>0.40857352671195152</v>
          </cell>
          <cell r="F27">
            <v>4.8338534973379838E-2</v>
          </cell>
          <cell r="G27">
            <v>0.47853864512575728</v>
          </cell>
          <cell r="H27">
            <v>0</v>
          </cell>
        </row>
        <row r="28">
          <cell r="B28" t="str">
            <v>SFP</v>
          </cell>
          <cell r="C28" t="str">
            <v>base</v>
          </cell>
          <cell r="D28">
            <v>0</v>
          </cell>
          <cell r="E28">
            <v>0.18169014084507043</v>
          </cell>
          <cell r="F28">
            <v>7.7934272300469482E-2</v>
          </cell>
          <cell r="G28">
            <v>0.5826291079812207</v>
          </cell>
          <cell r="H28">
            <v>0</v>
          </cell>
        </row>
        <row r="29">
          <cell r="B29" t="str">
            <v>SFP</v>
          </cell>
          <cell r="C29" t="str">
            <v>base</v>
          </cell>
          <cell r="D29">
            <v>0</v>
          </cell>
          <cell r="E29">
            <v>0.3912800206593785</v>
          </cell>
          <cell r="F29">
            <v>0.16361366962210552</v>
          </cell>
          <cell r="G29">
            <v>0.54432297495050352</v>
          </cell>
          <cell r="H29">
            <v>8.6080743737625887E-6</v>
          </cell>
        </row>
        <row r="30">
          <cell r="B30" t="str">
            <v>Sand Fences</v>
          </cell>
          <cell r="C30" t="str">
            <v>base</v>
          </cell>
          <cell r="D30">
            <v>0</v>
          </cell>
          <cell r="E30">
            <v>4.9154589371980681E-2</v>
          </cell>
          <cell r="F30">
            <v>0.15378421900161032</v>
          </cell>
          <cell r="G30">
            <v>0.33055555555555555</v>
          </cell>
          <cell r="H30">
            <v>1.7230273752012883E-2</v>
          </cell>
        </row>
        <row r="31">
          <cell r="B31" t="str">
            <v>SFL</v>
          </cell>
          <cell r="C31" t="str">
            <v>base</v>
          </cell>
          <cell r="D31">
            <v>0</v>
          </cell>
          <cell r="E31">
            <v>0.46690442225392298</v>
          </cell>
          <cell r="F31">
            <v>0.13644793152639087</v>
          </cell>
          <cell r="G31">
            <v>0.47135520684736093</v>
          </cell>
          <cell r="H31">
            <v>1.6690442225392296E-3</v>
          </cell>
        </row>
        <row r="32">
          <cell r="B32" t="str">
            <v>None</v>
          </cell>
          <cell r="C32" t="str">
            <v>base</v>
          </cell>
          <cell r="D32">
            <v>0</v>
          </cell>
          <cell r="E32">
            <v>2.0940339786645595E-3</v>
          </cell>
          <cell r="F32">
            <v>0</v>
          </cell>
          <cell r="G32">
            <v>3.9075464243382069E-2</v>
          </cell>
          <cell r="H32">
            <v>0</v>
          </cell>
        </row>
        <row r="33">
          <cell r="B33" t="str">
            <v>None</v>
          </cell>
          <cell r="C33" t="str">
            <v>base</v>
          </cell>
          <cell r="D33">
            <v>0</v>
          </cell>
          <cell r="E33">
            <v>2.0972199642334578E-3</v>
          </cell>
          <cell r="F33">
            <v>0</v>
          </cell>
          <cell r="G33">
            <v>3.8936758250690942E-2</v>
          </cell>
          <cell r="H33">
            <v>0</v>
          </cell>
        </row>
        <row r="34">
          <cell r="B34" t="str">
            <v>None</v>
          </cell>
          <cell r="C34" t="str">
            <v>base</v>
          </cell>
          <cell r="D34">
            <v>0</v>
          </cell>
          <cell r="E34">
            <v>2.0945808866070538E-3</v>
          </cell>
          <cell r="F34">
            <v>0</v>
          </cell>
          <cell r="G34">
            <v>3.8858086792917072E-2</v>
          </cell>
          <cell r="H34">
            <v>7.9449619836819297E-4</v>
          </cell>
        </row>
        <row r="35">
          <cell r="B35" t="str">
            <v>SFL</v>
          </cell>
          <cell r="C35" t="str">
            <v>base</v>
          </cell>
          <cell r="D35">
            <v>0</v>
          </cell>
          <cell r="E35">
            <v>0.4315694527961515</v>
          </cell>
          <cell r="F35">
            <v>0.28854479855682497</v>
          </cell>
          <cell r="G35">
            <v>0.5662056524353577</v>
          </cell>
          <cell r="H35">
            <v>2.886349969933854E-3</v>
          </cell>
        </row>
        <row r="36">
          <cell r="B36" t="str">
            <v>SFL</v>
          </cell>
          <cell r="C36" t="str">
            <v>base</v>
          </cell>
          <cell r="D36">
            <v>0</v>
          </cell>
          <cell r="E36">
            <v>0.2452017448200654</v>
          </cell>
          <cell r="F36">
            <v>0.33233369683751363</v>
          </cell>
          <cell r="G36">
            <v>0.57181025081788439</v>
          </cell>
          <cell r="H36">
            <v>5.5616139585605235E-3</v>
          </cell>
        </row>
        <row r="37">
          <cell r="B37" t="str">
            <v>None</v>
          </cell>
          <cell r="C37" t="str">
            <v>base</v>
          </cell>
          <cell r="D37">
            <v>0</v>
          </cell>
          <cell r="E37">
            <v>5.3936734368055647E-3</v>
          </cell>
          <cell r="F37">
            <v>4.1126759955642425E-2</v>
          </cell>
          <cell r="G37">
            <v>0.24001846793784765</v>
          </cell>
          <cell r="H37">
            <v>0</v>
          </cell>
        </row>
        <row r="38">
          <cell r="B38" t="str">
            <v>None</v>
          </cell>
          <cell r="C38" t="str">
            <v>base</v>
          </cell>
          <cell r="D38">
            <v>0</v>
          </cell>
          <cell r="E38">
            <v>2.1590845136208723E-3</v>
          </cell>
          <cell r="F38">
            <v>0</v>
          </cell>
          <cell r="G38">
            <v>3.8863521245175704E-2</v>
          </cell>
          <cell r="H38">
            <v>0</v>
          </cell>
        </row>
        <row r="39">
          <cell r="B39" t="str">
            <v>None</v>
          </cell>
          <cell r="C39" t="str">
            <v>base</v>
          </cell>
          <cell r="D39">
            <v>0.17260904187551165</v>
          </cell>
          <cell r="E39">
            <v>4.683963607476356E-2</v>
          </cell>
          <cell r="F39">
            <v>9.4476542550799694E-2</v>
          </cell>
          <cell r="G39">
            <v>0.24217088438654349</v>
          </cell>
          <cell r="H39">
            <v>0.10205061136288911</v>
          </cell>
        </row>
        <row r="40">
          <cell r="B40" t="str">
            <v>None</v>
          </cell>
          <cell r="C40" t="str">
            <v>base</v>
          </cell>
          <cell r="D40">
            <v>0.14497210174440919</v>
          </cell>
          <cell r="E40">
            <v>2.9972370816614267E-2</v>
          </cell>
          <cell r="F40">
            <v>1.9377907416179618E-2</v>
          </cell>
          <cell r="G40">
            <v>0.20256251817754115</v>
          </cell>
          <cell r="H40">
            <v>1.9106254508476164E-2</v>
          </cell>
        </row>
        <row r="41">
          <cell r="B41" t="str">
            <v>SFP</v>
          </cell>
          <cell r="C41" t="str">
            <v>base</v>
          </cell>
          <cell r="D41">
            <v>0</v>
          </cell>
          <cell r="E41">
            <v>0.58696441539578803</v>
          </cell>
          <cell r="F41">
            <v>6.4923747276688454E-2</v>
          </cell>
          <cell r="G41">
            <v>0.54360929557007998</v>
          </cell>
          <cell r="H41">
            <v>1.1619462599854757E-3</v>
          </cell>
        </row>
        <row r="42">
          <cell r="B42" t="str">
            <v>SFL</v>
          </cell>
          <cell r="C42" t="str">
            <v>base</v>
          </cell>
          <cell r="D42">
            <v>0</v>
          </cell>
          <cell r="E42">
            <v>5.0694444444444438E-2</v>
          </cell>
          <cell r="F42">
            <v>0.28287037037037038</v>
          </cell>
          <cell r="G42">
            <v>0.40833333333333333</v>
          </cell>
          <cell r="H42">
            <v>0</v>
          </cell>
        </row>
        <row r="43">
          <cell r="B43" t="str">
            <v>None</v>
          </cell>
          <cell r="C43" t="str">
            <v>base</v>
          </cell>
          <cell r="D43">
            <v>0</v>
          </cell>
          <cell r="E43">
            <v>8.9332359124344868E-3</v>
          </cell>
          <cell r="F43">
            <v>6.5073296463054889E-2</v>
          </cell>
          <cell r="G43">
            <v>0.28455224851350952</v>
          </cell>
          <cell r="H43">
            <v>0</v>
          </cell>
        </row>
        <row r="44">
          <cell r="B44" t="str">
            <v>SFP</v>
          </cell>
          <cell r="C44" t="str">
            <v>base</v>
          </cell>
          <cell r="D44">
            <v>0</v>
          </cell>
          <cell r="E44">
            <v>0.43735933983495867</v>
          </cell>
          <cell r="F44">
            <v>0.20997749437359337</v>
          </cell>
          <cell r="G44">
            <v>0.63968492123030751</v>
          </cell>
          <cell r="H44">
            <v>0</v>
          </cell>
        </row>
        <row r="45">
          <cell r="B45" t="str">
            <v>SFL</v>
          </cell>
          <cell r="C45" t="str">
            <v>base</v>
          </cell>
          <cell r="D45">
            <v>0</v>
          </cell>
          <cell r="E45">
            <v>0.27550200803212849</v>
          </cell>
          <cell r="F45">
            <v>0.24926372155287818</v>
          </cell>
          <cell r="G45">
            <v>0.55903614457831319</v>
          </cell>
          <cell r="H45">
            <v>0</v>
          </cell>
        </row>
        <row r="46">
          <cell r="B46" t="str">
            <v>SFP</v>
          </cell>
          <cell r="C46" t="str">
            <v>base</v>
          </cell>
          <cell r="D46">
            <v>0</v>
          </cell>
          <cell r="E46">
            <v>6.1546184738955824E-2</v>
          </cell>
          <cell r="F46">
            <v>9.9497991967871499E-2</v>
          </cell>
          <cell r="G46">
            <v>0.32545180722891565</v>
          </cell>
          <cell r="H46">
            <v>0</v>
          </cell>
        </row>
        <row r="47">
          <cell r="B47" t="str">
            <v>SFL</v>
          </cell>
          <cell r="C47" t="str">
            <v>base</v>
          </cell>
          <cell r="D47">
            <v>0</v>
          </cell>
          <cell r="E47">
            <v>3.6316626889419251E-2</v>
          </cell>
          <cell r="F47">
            <v>7.8281622911694507E-2</v>
          </cell>
          <cell r="G47">
            <v>0.30369928400954649</v>
          </cell>
          <cell r="H47">
            <v>1.988862370723946E-4</v>
          </cell>
        </row>
        <row r="48">
          <cell r="B48" t="str">
            <v>SFL</v>
          </cell>
          <cell r="C48" t="str">
            <v>base</v>
          </cell>
          <cell r="D48">
            <v>0</v>
          </cell>
          <cell r="E48">
            <v>5.8019082235347567E-2</v>
          </cell>
          <cell r="F48">
            <v>9.5592912312585182E-2</v>
          </cell>
          <cell r="G48">
            <v>0.33616537937301227</v>
          </cell>
          <cell r="H48">
            <v>9.0867787369377565E-5</v>
          </cell>
        </row>
        <row r="49">
          <cell r="B49" t="str">
            <v>SFL</v>
          </cell>
          <cell r="C49" t="str">
            <v>base</v>
          </cell>
          <cell r="D49">
            <v>0</v>
          </cell>
          <cell r="E49">
            <v>0.20544346364018495</v>
          </cell>
          <cell r="F49">
            <v>0.36786464901219001</v>
          </cell>
          <cell r="G49">
            <v>0.52267759562841531</v>
          </cell>
          <cell r="H49">
            <v>3.1525851197982345E-4</v>
          </cell>
        </row>
        <row r="50">
          <cell r="B50" t="str">
            <v>SFL</v>
          </cell>
          <cell r="C50" t="str">
            <v>base</v>
          </cell>
          <cell r="D50">
            <v>0</v>
          </cell>
          <cell r="E50">
            <v>0.32497781721384206</v>
          </cell>
          <cell r="F50">
            <v>0.26228926353149956</v>
          </cell>
          <cell r="G50">
            <v>0.53402839396628221</v>
          </cell>
          <cell r="H50">
            <v>0</v>
          </cell>
        </row>
        <row r="51">
          <cell r="B51" t="str">
            <v>SFL</v>
          </cell>
          <cell r="C51" t="str">
            <v>base</v>
          </cell>
          <cell r="D51">
            <v>0</v>
          </cell>
          <cell r="E51">
            <v>0.16624533963808311</v>
          </cell>
          <cell r="F51">
            <v>0.4505683368191325</v>
          </cell>
          <cell r="G51">
            <v>0.53616440847503866</v>
          </cell>
          <cell r="H51">
            <v>1.8368645994362098E-3</v>
          </cell>
        </row>
        <row r="52">
          <cell r="B52" t="str">
            <v>SFL</v>
          </cell>
          <cell r="C52" t="str">
            <v>base</v>
          </cell>
          <cell r="D52">
            <v>0</v>
          </cell>
          <cell r="E52">
            <v>7.3044925124792007E-2</v>
          </cell>
          <cell r="F52">
            <v>0.11541874653355517</v>
          </cell>
          <cell r="G52">
            <v>0.3983361064891846</v>
          </cell>
          <cell r="H52">
            <v>6.1009428729894618E-4</v>
          </cell>
        </row>
        <row r="53">
          <cell r="B53" t="str">
            <v>SFL</v>
          </cell>
          <cell r="C53" t="str">
            <v>base</v>
          </cell>
          <cell r="D53">
            <v>0</v>
          </cell>
          <cell r="E53">
            <v>0</v>
          </cell>
          <cell r="F53">
            <v>7.6595744680851077E-2</v>
          </cell>
          <cell r="G53">
            <v>0.15059101654846338</v>
          </cell>
          <cell r="H53">
            <v>9.4562647754137122E-4</v>
          </cell>
        </row>
        <row r="54">
          <cell r="B54" t="str">
            <v>Brine</v>
          </cell>
          <cell r="C54" t="str">
            <v>base</v>
          </cell>
          <cell r="D54">
            <v>0</v>
          </cell>
          <cell r="E54">
            <v>0</v>
          </cell>
          <cell r="F54">
            <v>1.2116564417177914E-2</v>
          </cell>
          <cell r="G54">
            <v>9.1717791411042943E-2</v>
          </cell>
          <cell r="H54">
            <v>0</v>
          </cell>
        </row>
        <row r="55">
          <cell r="B55" t="str">
            <v>SFL</v>
          </cell>
          <cell r="C55" t="str">
            <v>base</v>
          </cell>
          <cell r="D55">
            <v>0</v>
          </cell>
          <cell r="E55">
            <v>1.2808460634547592E-2</v>
          </cell>
          <cell r="F55">
            <v>9.1774383078730912E-2</v>
          </cell>
          <cell r="G55">
            <v>0.25105757931844891</v>
          </cell>
          <cell r="H55">
            <v>0</v>
          </cell>
        </row>
        <row r="56">
          <cell r="B56" t="str">
            <v>SFL</v>
          </cell>
          <cell r="C56" t="str">
            <v>base</v>
          </cell>
          <cell r="D56">
            <v>0</v>
          </cell>
          <cell r="E56">
            <v>0.30314807617567041</v>
          </cell>
          <cell r="F56">
            <v>0.2201321414691022</v>
          </cell>
          <cell r="G56">
            <v>0.56424407306645941</v>
          </cell>
          <cell r="H56">
            <v>1.5934706568208315E-3</v>
          </cell>
        </row>
        <row r="57">
          <cell r="B57" t="str">
            <v>SFL</v>
          </cell>
          <cell r="C57" t="str">
            <v>base</v>
          </cell>
          <cell r="D57">
            <v>0</v>
          </cell>
          <cell r="E57">
            <v>0.2673958206036906</v>
          </cell>
          <cell r="F57">
            <v>0.34967615788830503</v>
          </cell>
          <cell r="G57">
            <v>0.58754735427104976</v>
          </cell>
          <cell r="H57">
            <v>4.6437736771355251E-4</v>
          </cell>
        </row>
        <row r="58">
          <cell r="B58" t="str">
            <v>SFL</v>
          </cell>
          <cell r="C58" t="str">
            <v>base</v>
          </cell>
          <cell r="D58">
            <v>0</v>
          </cell>
          <cell r="E58">
            <v>0.10496945488721804</v>
          </cell>
          <cell r="F58">
            <v>0.35856437969924809</v>
          </cell>
          <cell r="G58">
            <v>0.43735902255639092</v>
          </cell>
          <cell r="H58">
            <v>2.737312030075188E-3</v>
          </cell>
        </row>
        <row r="59">
          <cell r="B59" t="str">
            <v>SFL</v>
          </cell>
          <cell r="C59" t="str">
            <v>base</v>
          </cell>
          <cell r="D59">
            <v>0</v>
          </cell>
          <cell r="E59">
            <v>0</v>
          </cell>
          <cell r="F59">
            <v>8.0952380952380956E-2</v>
          </cell>
          <cell r="G59">
            <v>0.15912698412698412</v>
          </cell>
          <cell r="H59">
            <v>0</v>
          </cell>
        </row>
        <row r="60">
          <cell r="B60" t="str">
            <v>SFL</v>
          </cell>
          <cell r="C60" t="str">
            <v>base</v>
          </cell>
          <cell r="D60">
            <v>0</v>
          </cell>
          <cell r="E60">
            <v>0.18734477720964207</v>
          </cell>
          <cell r="F60">
            <v>0.39906866325785245</v>
          </cell>
          <cell r="G60">
            <v>0.49621986851716582</v>
          </cell>
          <cell r="H60">
            <v>5.6610664718772824E-4</v>
          </cell>
        </row>
        <row r="61">
          <cell r="B61" t="str">
            <v>SFL</v>
          </cell>
          <cell r="C61" t="str">
            <v>base</v>
          </cell>
          <cell r="D61">
            <v>0</v>
          </cell>
          <cell r="E61">
            <v>0.16262607738859347</v>
          </cell>
          <cell r="F61">
            <v>0.43533834586466169</v>
          </cell>
          <cell r="G61">
            <v>0.490427287731524</v>
          </cell>
          <cell r="H61">
            <v>0</v>
          </cell>
        </row>
        <row r="62">
          <cell r="B62" t="str">
            <v>SFL</v>
          </cell>
          <cell r="C62" t="str">
            <v>base</v>
          </cell>
          <cell r="D62">
            <v>0.16832229580573951</v>
          </cell>
          <cell r="E62">
            <v>0.20644591611479027</v>
          </cell>
          <cell r="F62">
            <v>0.24933774834437086</v>
          </cell>
          <cell r="G62">
            <v>0.44715231788079468</v>
          </cell>
          <cell r="H62">
            <v>7.3487858719646804E-2</v>
          </cell>
        </row>
        <row r="63">
          <cell r="B63" t="str">
            <v>SFL</v>
          </cell>
          <cell r="C63" t="str">
            <v>base</v>
          </cell>
          <cell r="D63">
            <v>0.16576666666666665</v>
          </cell>
          <cell r="E63">
            <v>0.19373333333333331</v>
          </cell>
          <cell r="F63">
            <v>0.23849999999999999</v>
          </cell>
          <cell r="G63">
            <v>0.43723333333333331</v>
          </cell>
          <cell r="H63">
            <v>9.6299999999999997E-2</v>
          </cell>
        </row>
        <row r="64">
          <cell r="B64" t="str">
            <v>SFP</v>
          </cell>
          <cell r="C64" t="str">
            <v>base</v>
          </cell>
          <cell r="D64">
            <v>0</v>
          </cell>
          <cell r="E64">
            <v>0.5521383075523203</v>
          </cell>
          <cell r="F64">
            <v>2.1337579617834397E-2</v>
          </cell>
          <cell r="G64">
            <v>0.28480436760691535</v>
          </cell>
          <cell r="H64">
            <v>0</v>
          </cell>
        </row>
        <row r="65">
          <cell r="B65" t="str">
            <v>SFP</v>
          </cell>
          <cell r="C65" t="str">
            <v>base</v>
          </cell>
          <cell r="D65">
            <v>0</v>
          </cell>
          <cell r="E65">
            <v>0.18252346193952032</v>
          </cell>
          <cell r="F65">
            <v>0.10761209593326382</v>
          </cell>
          <cell r="G65">
            <v>0.48586027111574559</v>
          </cell>
          <cell r="H65">
            <v>1.599582898852972E-2</v>
          </cell>
        </row>
        <row r="66">
          <cell r="B66" t="str">
            <v>SFP</v>
          </cell>
          <cell r="C66" t="str">
            <v>base</v>
          </cell>
          <cell r="D66">
            <v>0</v>
          </cell>
          <cell r="E66">
            <v>0.13568384347152265</v>
          </cell>
          <cell r="F66">
            <v>3.6691204959318095E-2</v>
          </cell>
          <cell r="G66">
            <v>0.36722200697404106</v>
          </cell>
          <cell r="H66">
            <v>0</v>
          </cell>
        </row>
        <row r="67">
          <cell r="B67" t="str">
            <v>SFL</v>
          </cell>
          <cell r="C67" t="str">
            <v>base</v>
          </cell>
          <cell r="D67">
            <v>0</v>
          </cell>
          <cell r="E67">
            <v>0.13257807715860379</v>
          </cell>
          <cell r="F67">
            <v>0.13337415799142682</v>
          </cell>
          <cell r="G67">
            <v>0.39412124923453762</v>
          </cell>
          <cell r="H67">
            <v>0</v>
          </cell>
        </row>
        <row r="68">
          <cell r="B68" t="str">
            <v>SFL</v>
          </cell>
          <cell r="C68" t="str">
            <v>base</v>
          </cell>
          <cell r="D68">
            <v>0.34571304221674165</v>
          </cell>
          <cell r="E68">
            <v>0.1741331785869723</v>
          </cell>
          <cell r="F68">
            <v>5.4301465254606128E-2</v>
          </cell>
          <cell r="G68">
            <v>0.23824169447265342</v>
          </cell>
          <cell r="H68">
            <v>0.38427390105904541</v>
          </cell>
        </row>
        <row r="69">
          <cell r="B69" t="str">
            <v>SFP</v>
          </cell>
          <cell r="C69" t="str">
            <v>base</v>
          </cell>
          <cell r="D69">
            <v>0</v>
          </cell>
          <cell r="E69">
            <v>0.48725149889555069</v>
          </cell>
          <cell r="F69">
            <v>4.2537077942568641E-2</v>
          </cell>
          <cell r="G69">
            <v>0.40893026191227522</v>
          </cell>
          <cell r="H69">
            <v>1.1360050489113286E-3</v>
          </cell>
        </row>
        <row r="70">
          <cell r="B70" t="str">
            <v>SFP</v>
          </cell>
          <cell r="C70" t="str">
            <v>base</v>
          </cell>
          <cell r="D70">
            <v>0</v>
          </cell>
          <cell r="E70">
            <v>0.37748842592592591</v>
          </cell>
          <cell r="F70">
            <v>7.7083333333333323E-2</v>
          </cell>
          <cell r="G70">
            <v>0.47256944444444438</v>
          </cell>
          <cell r="H70">
            <v>1.1574074074074073E-4</v>
          </cell>
        </row>
        <row r="71">
          <cell r="B71" t="str">
            <v>None</v>
          </cell>
          <cell r="C71" t="str">
            <v>base</v>
          </cell>
          <cell r="D71">
            <v>5.7664884135472369E-2</v>
          </cell>
          <cell r="E71">
            <v>2.0855614973262031E-2</v>
          </cell>
          <cell r="F71">
            <v>0</v>
          </cell>
          <cell r="G71">
            <v>3.7165775401069516E-2</v>
          </cell>
          <cell r="H71">
            <v>0</v>
          </cell>
        </row>
        <row r="72">
          <cell r="B72" t="str">
            <v>None</v>
          </cell>
          <cell r="C72" t="str">
            <v>base</v>
          </cell>
          <cell r="D72">
            <v>2.9393043531919214E-2</v>
          </cell>
          <cell r="E72">
            <v>2.0793041547764015E-3</v>
          </cell>
          <cell r="F72">
            <v>0</v>
          </cell>
          <cell r="G72">
            <v>3.0058420861447662E-2</v>
          </cell>
          <cell r="H72">
            <v>7.7549727756540662E-2</v>
          </cell>
        </row>
        <row r="73">
          <cell r="B73" t="str">
            <v>SFP</v>
          </cell>
          <cell r="C73" t="str">
            <v>base</v>
          </cell>
          <cell r="D73">
            <v>0</v>
          </cell>
          <cell r="E73">
            <v>0.28514115898959885</v>
          </cell>
          <cell r="F73">
            <v>6.0921248142644872E-2</v>
          </cell>
          <cell r="G73">
            <v>0.35542347696879645</v>
          </cell>
          <cell r="H73">
            <v>0</v>
          </cell>
        </row>
        <row r="74">
          <cell r="B74" t="str">
            <v>SFP</v>
          </cell>
          <cell r="C74" t="str">
            <v>base</v>
          </cell>
          <cell r="D74">
            <v>0</v>
          </cell>
          <cell r="E74">
            <v>1.9213973799126639E-2</v>
          </cell>
          <cell r="F74">
            <v>4.7161572052401755E-2</v>
          </cell>
          <cell r="G74">
            <v>0.3268558951965066</v>
          </cell>
          <cell r="H74">
            <v>0</v>
          </cell>
        </row>
        <row r="75">
          <cell r="B75" t="str">
            <v>None</v>
          </cell>
          <cell r="C75" t="str">
            <v>base</v>
          </cell>
          <cell r="D75">
            <v>0</v>
          </cell>
          <cell r="E75">
            <v>6.1326936740167329E-3</v>
          </cell>
          <cell r="F75">
            <v>6.229525679395944E-2</v>
          </cell>
          <cell r="G75">
            <v>0.24369388020434909</v>
          </cell>
          <cell r="H75">
            <v>0</v>
          </cell>
        </row>
        <row r="76">
          <cell r="B76" t="str">
            <v>SFL</v>
          </cell>
          <cell r="C76" t="str">
            <v>base</v>
          </cell>
          <cell r="D76">
            <v>0.34112343966712899</v>
          </cell>
          <cell r="E76">
            <v>0.4323162274618586</v>
          </cell>
          <cell r="F76">
            <v>0.1069001386962552</v>
          </cell>
          <cell r="G76">
            <v>0.34802357836338421</v>
          </cell>
          <cell r="H76">
            <v>7.9368932038834966E-2</v>
          </cell>
        </row>
        <row r="77">
          <cell r="B77" t="str">
            <v>SFL</v>
          </cell>
          <cell r="C77" t="str">
            <v>base</v>
          </cell>
          <cell r="D77">
            <v>0</v>
          </cell>
          <cell r="E77">
            <v>0.43216685330347149</v>
          </cell>
          <cell r="F77">
            <v>0.16651735722284433</v>
          </cell>
          <cell r="G77">
            <v>0.48653415453527438</v>
          </cell>
          <cell r="H77">
            <v>4.1349384098544231E-2</v>
          </cell>
        </row>
        <row r="78">
          <cell r="B78" t="str">
            <v>SFP</v>
          </cell>
          <cell r="C78" t="str">
            <v>base</v>
          </cell>
          <cell r="D78">
            <v>0</v>
          </cell>
          <cell r="E78">
            <v>0.35913705583756345</v>
          </cell>
          <cell r="F78">
            <v>7.0630891950688904E-2</v>
          </cell>
          <cell r="G78">
            <v>0.52907904278462647</v>
          </cell>
          <cell r="H78">
            <v>9.7897026831036981E-4</v>
          </cell>
        </row>
        <row r="79">
          <cell r="B79" t="str">
            <v>SFP</v>
          </cell>
          <cell r="C79" t="str">
            <v>base</v>
          </cell>
          <cell r="D79">
            <v>0</v>
          </cell>
          <cell r="E79">
            <v>2.0735444330949947E-2</v>
          </cell>
          <cell r="F79">
            <v>5.7099080694586309E-2</v>
          </cell>
          <cell r="G79">
            <v>0.27872829417773237</v>
          </cell>
          <cell r="H79">
            <v>7.9162410623084779E-4</v>
          </cell>
        </row>
        <row r="80">
          <cell r="B80" t="str">
            <v>Brine</v>
          </cell>
          <cell r="C80" t="str">
            <v>base</v>
          </cell>
          <cell r="D80">
            <v>0</v>
          </cell>
          <cell r="E80">
            <v>0</v>
          </cell>
          <cell r="F80">
            <v>3.5046728971962621E-2</v>
          </cell>
          <cell r="G80">
            <v>0.16915887850467293</v>
          </cell>
          <cell r="H80">
            <v>1.4485981308411215E-2</v>
          </cell>
        </row>
        <row r="81">
          <cell r="B81" t="str">
            <v>Brine</v>
          </cell>
          <cell r="C81" t="str">
            <v>base</v>
          </cell>
          <cell r="D81">
            <v>0</v>
          </cell>
          <cell r="E81">
            <v>0</v>
          </cell>
          <cell r="F81">
            <v>4.6890286512928023E-2</v>
          </cell>
          <cell r="G81">
            <v>0.19804332634521316</v>
          </cell>
          <cell r="H81">
            <v>0</v>
          </cell>
        </row>
        <row r="82">
          <cell r="B82" t="str">
            <v>Brine</v>
          </cell>
          <cell r="C82" t="str">
            <v>base</v>
          </cell>
          <cell r="D82">
            <v>0</v>
          </cell>
          <cell r="E82">
            <v>0</v>
          </cell>
          <cell r="F82">
            <v>9.4794188861985484E-2</v>
          </cell>
          <cell r="G82">
            <v>0.19782082324455208</v>
          </cell>
          <cell r="H82">
            <v>0</v>
          </cell>
        </row>
        <row r="83">
          <cell r="B83" t="str">
            <v>None</v>
          </cell>
          <cell r="C83" t="str">
            <v>base</v>
          </cell>
          <cell r="D83">
            <v>6.7301038062283741E-2</v>
          </cell>
          <cell r="E83">
            <v>2.0847750865051907E-2</v>
          </cell>
          <cell r="F83">
            <v>0</v>
          </cell>
          <cell r="G83">
            <v>3.7110726643598616E-2</v>
          </cell>
          <cell r="H83">
            <v>9.8442906574394473E-2</v>
          </cell>
        </row>
        <row r="84">
          <cell r="B84" t="str">
            <v>None</v>
          </cell>
          <cell r="C84" t="str">
            <v>base</v>
          </cell>
          <cell r="D84">
            <v>0</v>
          </cell>
          <cell r="E84">
            <v>2.0910534674430914E-3</v>
          </cell>
          <cell r="F84">
            <v>0</v>
          </cell>
          <cell r="G84">
            <v>3.8935944944415032E-2</v>
          </cell>
          <cell r="H84">
            <v>5.2938062466913714E-4</v>
          </cell>
        </row>
        <row r="85">
          <cell r="B85" t="str">
            <v>None</v>
          </cell>
          <cell r="C85" t="str">
            <v>base</v>
          </cell>
          <cell r="D85">
            <v>2.9418934495912277E-2</v>
          </cell>
          <cell r="E85">
            <v>2.3225474602036012E-3</v>
          </cell>
          <cell r="F85">
            <v>0</v>
          </cell>
          <cell r="G85">
            <v>9.5224445868347635E-2</v>
          </cell>
          <cell r="H85">
            <v>1.4623446971652302E-2</v>
          </cell>
        </row>
        <row r="86">
          <cell r="B86" t="str">
            <v>None</v>
          </cell>
          <cell r="C86" t="str">
            <v>base</v>
          </cell>
          <cell r="D86">
            <v>0</v>
          </cell>
          <cell r="E86">
            <v>2.8869327032891401E-3</v>
          </cell>
          <cell r="F86">
            <v>6.9767540329487548E-3</v>
          </cell>
          <cell r="G86">
            <v>0.14025681383479738</v>
          </cell>
          <cell r="H86">
            <v>0</v>
          </cell>
        </row>
        <row r="87">
          <cell r="B87" t="str">
            <v>None</v>
          </cell>
          <cell r="C87" t="str">
            <v>base</v>
          </cell>
          <cell r="D87">
            <v>0</v>
          </cell>
          <cell r="E87">
            <v>2.8783650886296582E-3</v>
          </cell>
          <cell r="F87">
            <v>1.4711643786329366E-2</v>
          </cell>
          <cell r="G87">
            <v>0.17813881715185775</v>
          </cell>
          <cell r="H87">
            <v>0</v>
          </cell>
        </row>
        <row r="88">
          <cell r="B88" t="str">
            <v>None</v>
          </cell>
          <cell r="C88" t="str">
            <v>base</v>
          </cell>
          <cell r="D88">
            <v>0</v>
          </cell>
          <cell r="E88">
            <v>3.3319043628497165E-3</v>
          </cell>
          <cell r="F88">
            <v>2.7571508602581403E-2</v>
          </cell>
          <cell r="G88">
            <v>0.18716972758308281</v>
          </cell>
          <cell r="H88">
            <v>0</v>
          </cell>
        </row>
        <row r="89">
          <cell r="B89" t="str">
            <v>SFL</v>
          </cell>
          <cell r="C89" t="str">
            <v>base</v>
          </cell>
          <cell r="D89">
            <v>0</v>
          </cell>
          <cell r="E89">
            <v>2.6742627345844507E-2</v>
          </cell>
          <cell r="F89">
            <v>0.14470509383378016</v>
          </cell>
          <cell r="G89">
            <v>0.32587131367292227</v>
          </cell>
          <cell r="H89">
            <v>0</v>
          </cell>
        </row>
        <row r="90">
          <cell r="B90" t="str">
            <v>SFL</v>
          </cell>
          <cell r="C90" t="str">
            <v>base</v>
          </cell>
          <cell r="D90">
            <v>0</v>
          </cell>
          <cell r="E90">
            <v>6.0244744273611544E-3</v>
          </cell>
          <cell r="F90">
            <v>0.12431754000627548</v>
          </cell>
          <cell r="G90">
            <v>0.23649199874490118</v>
          </cell>
          <cell r="H90">
            <v>0</v>
          </cell>
        </row>
        <row r="91">
          <cell r="B91" t="str">
            <v>SFL</v>
          </cell>
          <cell r="C91" t="str">
            <v>base</v>
          </cell>
          <cell r="D91">
            <v>0</v>
          </cell>
          <cell r="E91">
            <v>3.4838709677419357E-3</v>
          </cell>
          <cell r="F91">
            <v>0.16425806451612904</v>
          </cell>
          <cell r="G91">
            <v>0.22993548387096774</v>
          </cell>
          <cell r="H91">
            <v>0</v>
          </cell>
        </row>
        <row r="92">
          <cell r="B92" t="str">
            <v>SFL</v>
          </cell>
          <cell r="C92" t="str">
            <v>base</v>
          </cell>
          <cell r="D92">
            <v>0</v>
          </cell>
          <cell r="E92">
            <v>2.0517464424320828E-2</v>
          </cell>
          <cell r="F92">
            <v>0.15777490297542043</v>
          </cell>
          <cell r="G92">
            <v>0.27534282018111256</v>
          </cell>
          <cell r="H92">
            <v>0</v>
          </cell>
        </row>
        <row r="93">
          <cell r="B93" t="str">
            <v>SFL</v>
          </cell>
          <cell r="C93" t="str">
            <v>base</v>
          </cell>
          <cell r="D93">
            <v>0</v>
          </cell>
          <cell r="E93">
            <v>1.8340026773761713E-2</v>
          </cell>
          <cell r="F93">
            <v>0.31981258366800536</v>
          </cell>
          <cell r="G93">
            <v>0.38915662650602406</v>
          </cell>
          <cell r="H93">
            <v>9.3708165997322633E-4</v>
          </cell>
        </row>
        <row r="94">
          <cell r="B94" t="str">
            <v>SFL</v>
          </cell>
          <cell r="C94" t="str">
            <v>base</v>
          </cell>
          <cell r="D94">
            <v>0</v>
          </cell>
          <cell r="E94">
            <v>2.0938215102974826E-2</v>
          </cell>
          <cell r="F94">
            <v>0.37471395881006864</v>
          </cell>
          <cell r="G94">
            <v>0.4003432494279176</v>
          </cell>
          <cell r="H94">
            <v>1.3729977116704805E-3</v>
          </cell>
        </row>
        <row r="95">
          <cell r="B95" t="str">
            <v>SFP</v>
          </cell>
          <cell r="C95" t="str">
            <v>base</v>
          </cell>
          <cell r="D95">
            <v>0</v>
          </cell>
          <cell r="E95">
            <v>0.13839009287925697</v>
          </cell>
          <cell r="F95">
            <v>0.12687306501547987</v>
          </cell>
          <cell r="G95">
            <v>0.55999999999999994</v>
          </cell>
          <cell r="H95">
            <v>1.5479876160990713E-3</v>
          </cell>
        </row>
        <row r="96">
          <cell r="B96" t="str">
            <v>SFP</v>
          </cell>
          <cell r="C96" t="str">
            <v>base</v>
          </cell>
          <cell r="D96">
            <v>0</v>
          </cell>
          <cell r="E96">
            <v>0</v>
          </cell>
          <cell r="F96">
            <v>2.6041666666666664E-2</v>
          </cell>
          <cell r="G96">
            <v>0.16770833333333332</v>
          </cell>
          <cell r="H96">
            <v>0</v>
          </cell>
        </row>
        <row r="97">
          <cell r="B97" t="str">
            <v>SFL</v>
          </cell>
          <cell r="C97" t="str">
            <v>base</v>
          </cell>
          <cell r="D97">
            <v>0.33217592592592587</v>
          </cell>
          <cell r="E97">
            <v>0.16423611111111108</v>
          </cell>
          <cell r="F97">
            <v>0.19386574074074073</v>
          </cell>
          <cell r="G97">
            <v>0.390625</v>
          </cell>
          <cell r="H97">
            <v>0.17743055555555554</v>
          </cell>
        </row>
        <row r="98">
          <cell r="B98" t="str">
            <v>Veg 11</v>
          </cell>
          <cell r="C98" t="str">
            <v>base</v>
          </cell>
          <cell r="D98">
            <v>0</v>
          </cell>
          <cell r="E98">
            <v>4.3718592964824124E-2</v>
          </cell>
          <cell r="F98">
            <v>9.0954773869346736E-2</v>
          </cell>
          <cell r="G98">
            <v>0.29798994974874371</v>
          </cell>
          <cell r="H98">
            <v>0</v>
          </cell>
        </row>
        <row r="99">
          <cell r="B99" t="str">
            <v>SFL</v>
          </cell>
          <cell r="C99" t="str">
            <v>base</v>
          </cell>
          <cell r="D99">
            <v>0</v>
          </cell>
          <cell r="E99">
            <v>0.19696969696969696</v>
          </cell>
          <cell r="F99">
            <v>0.31767676767676767</v>
          </cell>
          <cell r="G99">
            <v>0.51464646464646457</v>
          </cell>
          <cell r="H99">
            <v>4.0404040404040404E-3</v>
          </cell>
        </row>
        <row r="100">
          <cell r="B100" t="str">
            <v>SFL</v>
          </cell>
          <cell r="C100" t="str">
            <v>base</v>
          </cell>
          <cell r="D100">
            <v>0.36257183908045981</v>
          </cell>
          <cell r="E100">
            <v>0.25474137931034485</v>
          </cell>
          <cell r="F100">
            <v>0.32090517241379313</v>
          </cell>
          <cell r="G100">
            <v>0.50093390804597704</v>
          </cell>
          <cell r="H100">
            <v>1.6810344827586206E-2</v>
          </cell>
        </row>
        <row r="101">
          <cell r="B101" t="str">
            <v>SFP</v>
          </cell>
          <cell r="C101" t="str">
            <v>base</v>
          </cell>
          <cell r="D101">
            <v>0.3681141439205956</v>
          </cell>
          <cell r="E101">
            <v>0.40446650124069483</v>
          </cell>
          <cell r="F101">
            <v>0.14416873449131515</v>
          </cell>
          <cell r="G101">
            <v>0.40880893300248144</v>
          </cell>
          <cell r="H101">
            <v>5.3598014888337479E-2</v>
          </cell>
        </row>
        <row r="102">
          <cell r="B102" t="str">
            <v>Veg 08</v>
          </cell>
          <cell r="C102" t="str">
            <v>base</v>
          </cell>
          <cell r="D102">
            <v>0.16350000000000001</v>
          </cell>
          <cell r="E102">
            <v>5.3249999999999999E-2</v>
          </cell>
          <cell r="F102">
            <v>2.1749999999999999E-2</v>
          </cell>
          <cell r="G102">
            <v>0.23475000000000001</v>
          </cell>
          <cell r="H102">
            <v>0.45450000000000002</v>
          </cell>
        </row>
        <row r="103">
          <cell r="B103" t="str">
            <v>Veg 08</v>
          </cell>
          <cell r="C103" t="str">
            <v>base</v>
          </cell>
          <cell r="D103">
            <v>0.20609137055837562</v>
          </cell>
          <cell r="E103">
            <v>5.3299492385786809E-2</v>
          </cell>
          <cell r="F103">
            <v>3.654822335025381E-2</v>
          </cell>
          <cell r="G103">
            <v>0.2517766497461929</v>
          </cell>
          <cell r="H103">
            <v>0.31827411167512687</v>
          </cell>
        </row>
        <row r="104">
          <cell r="B104" t="str">
            <v>SFP</v>
          </cell>
          <cell r="C104" t="str">
            <v>base</v>
          </cell>
          <cell r="D104">
            <v>0</v>
          </cell>
          <cell r="E104">
            <v>0.14838709677419357</v>
          </cell>
          <cell r="F104">
            <v>0.34055299539170508</v>
          </cell>
          <cell r="G104">
            <v>0.59331797235023043</v>
          </cell>
          <cell r="H104">
            <v>4.147465437788018E-3</v>
          </cell>
        </row>
        <row r="105">
          <cell r="B105" t="str">
            <v>Veg 08</v>
          </cell>
          <cell r="C105" t="str">
            <v>base</v>
          </cell>
          <cell r="D105">
            <v>0.16350000000000001</v>
          </cell>
          <cell r="E105">
            <v>5.3249999999999999E-2</v>
          </cell>
          <cell r="F105">
            <v>2.1749999999999999E-2</v>
          </cell>
          <cell r="G105">
            <v>0.23475000000000001</v>
          </cell>
          <cell r="H105">
            <v>0.42449999999999999</v>
          </cell>
        </row>
        <row r="106">
          <cell r="B106" t="str">
            <v>Veg 08</v>
          </cell>
          <cell r="C106" t="str">
            <v>base</v>
          </cell>
          <cell r="D106">
            <v>0.16350000000000001</v>
          </cell>
          <cell r="E106">
            <v>5.3249999999999999E-2</v>
          </cell>
          <cell r="F106">
            <v>2.7500000000000004E-2</v>
          </cell>
          <cell r="G106">
            <v>0.23475000000000001</v>
          </cell>
          <cell r="H106">
            <v>0.35350000000000004</v>
          </cell>
        </row>
        <row r="107">
          <cell r="B107" t="str">
            <v>Veg 08</v>
          </cell>
          <cell r="C107" t="str">
            <v>base</v>
          </cell>
          <cell r="D107">
            <v>0.16350000000000001</v>
          </cell>
          <cell r="E107">
            <v>5.3249999999999999E-2</v>
          </cell>
          <cell r="F107">
            <v>1.4999999999999999E-2</v>
          </cell>
          <cell r="G107">
            <v>0.23475000000000001</v>
          </cell>
          <cell r="H107">
            <v>0.51800000000000002</v>
          </cell>
        </row>
        <row r="108">
          <cell r="B108" t="str">
            <v>Veg 08</v>
          </cell>
          <cell r="C108" t="str">
            <v>base</v>
          </cell>
          <cell r="D108">
            <v>0.16350000000000001</v>
          </cell>
          <cell r="E108">
            <v>5.3249999999999999E-2</v>
          </cell>
          <cell r="F108">
            <v>2.7500000000000004E-2</v>
          </cell>
          <cell r="G108">
            <v>0.23475000000000001</v>
          </cell>
          <cell r="H108">
            <v>0.34675</v>
          </cell>
        </row>
        <row r="109">
          <cell r="B109" t="str">
            <v>Veg 08</v>
          </cell>
          <cell r="C109" t="str">
            <v>base</v>
          </cell>
          <cell r="D109">
            <v>0.22174999999999997</v>
          </cell>
          <cell r="E109">
            <v>5.3249999999999999E-2</v>
          </cell>
          <cell r="F109">
            <v>4.0999999999999995E-2</v>
          </cell>
          <cell r="G109">
            <v>0.2515</v>
          </cell>
          <cell r="H109">
            <v>0.20024999999999998</v>
          </cell>
        </row>
        <row r="110">
          <cell r="B110" t="str">
            <v>Veg 08</v>
          </cell>
          <cell r="C110" t="str">
            <v>base</v>
          </cell>
          <cell r="D110">
            <v>0.16350000000000001</v>
          </cell>
          <cell r="E110">
            <v>5.3249999999999999E-2</v>
          </cell>
          <cell r="F110">
            <v>3.2500000000000001E-2</v>
          </cell>
          <cell r="G110">
            <v>0.23475000000000001</v>
          </cell>
          <cell r="H110">
            <v>0.30599999999999999</v>
          </cell>
        </row>
        <row r="111">
          <cell r="B111" t="str">
            <v>Veg 08</v>
          </cell>
          <cell r="C111" t="str">
            <v>base</v>
          </cell>
          <cell r="D111">
            <v>0.16350000000000001</v>
          </cell>
          <cell r="E111">
            <v>5.3249999999999999E-2</v>
          </cell>
          <cell r="F111">
            <v>1.4999999999999999E-2</v>
          </cell>
          <cell r="G111">
            <v>0.23475000000000001</v>
          </cell>
          <cell r="H111">
            <v>0.44600000000000001</v>
          </cell>
        </row>
        <row r="112">
          <cell r="B112" t="str">
            <v>Veg 08</v>
          </cell>
          <cell r="C112" t="str">
            <v>base</v>
          </cell>
          <cell r="D112">
            <v>0.16350000000000001</v>
          </cell>
          <cell r="E112">
            <v>5.3249999999999999E-2</v>
          </cell>
          <cell r="F112">
            <v>1.4999999999999999E-2</v>
          </cell>
          <cell r="G112">
            <v>0.23475000000000001</v>
          </cell>
          <cell r="H112">
            <v>0.44299999999999995</v>
          </cell>
        </row>
        <row r="113">
          <cell r="B113" t="str">
            <v>Veg 08</v>
          </cell>
          <cell r="C113" t="str">
            <v>base</v>
          </cell>
          <cell r="D113">
            <v>0.16350000000000001</v>
          </cell>
          <cell r="E113">
            <v>5.3249999999999999E-2</v>
          </cell>
          <cell r="F113">
            <v>2.7500000000000004E-2</v>
          </cell>
          <cell r="G113">
            <v>0.23475000000000001</v>
          </cell>
          <cell r="H113">
            <v>0.36049999999999999</v>
          </cell>
        </row>
        <row r="114">
          <cell r="B114" t="str">
            <v>Veg 08</v>
          </cell>
          <cell r="C114" t="str">
            <v>base</v>
          </cell>
          <cell r="D114">
            <v>0.16350000000000001</v>
          </cell>
          <cell r="E114">
            <v>5.3249999999999999E-2</v>
          </cell>
          <cell r="F114">
            <v>1.4999999999999999E-2</v>
          </cell>
          <cell r="G114">
            <v>0.23475000000000001</v>
          </cell>
          <cell r="H114">
            <v>0.35299999999999998</v>
          </cell>
        </row>
        <row r="115">
          <cell r="B115" t="str">
            <v>Veg 08</v>
          </cell>
          <cell r="C115" t="str">
            <v>base</v>
          </cell>
          <cell r="D115">
            <v>0.16350000000000001</v>
          </cell>
          <cell r="E115">
            <v>5.3249999999999999E-2</v>
          </cell>
          <cell r="F115">
            <v>1.4999999999999999E-2</v>
          </cell>
          <cell r="G115">
            <v>0.23475000000000001</v>
          </cell>
          <cell r="H115">
            <v>0.44524999999999998</v>
          </cell>
        </row>
        <row r="116">
          <cell r="B116" t="str">
            <v>Veg 08</v>
          </cell>
          <cell r="C116" t="str">
            <v>base</v>
          </cell>
          <cell r="D116">
            <v>0.16350000000000001</v>
          </cell>
          <cell r="E116">
            <v>5.3249999999999999E-2</v>
          </cell>
          <cell r="F116">
            <v>1.4999999999999999E-2</v>
          </cell>
          <cell r="G116">
            <v>0.23475000000000001</v>
          </cell>
          <cell r="H116">
            <v>0.35175000000000001</v>
          </cell>
        </row>
        <row r="117">
          <cell r="B117" t="str">
            <v>Veg 08</v>
          </cell>
          <cell r="C117" t="str">
            <v>base</v>
          </cell>
          <cell r="D117">
            <v>0.16350000000000001</v>
          </cell>
          <cell r="E117">
            <v>5.3249999999999999E-2</v>
          </cell>
          <cell r="F117">
            <v>2.1749999999999999E-2</v>
          </cell>
          <cell r="G117">
            <v>0.23475000000000001</v>
          </cell>
          <cell r="H117">
            <v>0.48825000000000002</v>
          </cell>
        </row>
        <row r="118">
          <cell r="B118" t="str">
            <v>Veg 08</v>
          </cell>
          <cell r="C118" t="str">
            <v>base</v>
          </cell>
          <cell r="D118">
            <v>0.16350000000000001</v>
          </cell>
          <cell r="E118">
            <v>5.3249999999999999E-2</v>
          </cell>
          <cell r="F118">
            <v>2.7500000000000004E-2</v>
          </cell>
          <cell r="G118">
            <v>0.23475000000000001</v>
          </cell>
          <cell r="H118">
            <v>0.36375000000000002</v>
          </cell>
        </row>
        <row r="119">
          <cell r="B119" t="str">
            <v>Veg 08</v>
          </cell>
          <cell r="C119" t="str">
            <v>base</v>
          </cell>
          <cell r="D119">
            <v>0.16350000000000001</v>
          </cell>
          <cell r="E119">
            <v>5.3249999999999999E-2</v>
          </cell>
          <cell r="F119">
            <v>2.1749999999999999E-2</v>
          </cell>
          <cell r="G119">
            <v>0.23475000000000001</v>
          </cell>
          <cell r="H119">
            <v>0.38849999999999996</v>
          </cell>
        </row>
        <row r="120">
          <cell r="B120" t="str">
            <v>Veg 08</v>
          </cell>
          <cell r="C120" t="str">
            <v>base</v>
          </cell>
          <cell r="D120">
            <v>0.16350000000000001</v>
          </cell>
          <cell r="E120">
            <v>5.3249999999999999E-2</v>
          </cell>
          <cell r="F120">
            <v>2.1749999999999999E-2</v>
          </cell>
          <cell r="G120">
            <v>0.23475000000000001</v>
          </cell>
          <cell r="H120">
            <v>0.41325000000000001</v>
          </cell>
        </row>
        <row r="121">
          <cell r="B121" t="str">
            <v>Veg 08</v>
          </cell>
          <cell r="C121" t="str">
            <v>base</v>
          </cell>
          <cell r="D121">
            <v>0.16350000000000001</v>
          </cell>
          <cell r="E121">
            <v>5.3249999999999999E-2</v>
          </cell>
          <cell r="F121">
            <v>2.7500000000000004E-2</v>
          </cell>
          <cell r="G121">
            <v>0.23475000000000001</v>
          </cell>
          <cell r="H121">
            <v>0.28549999999999998</v>
          </cell>
        </row>
        <row r="122">
          <cell r="B122" t="str">
            <v>Veg 08</v>
          </cell>
          <cell r="C122" t="str">
            <v>base</v>
          </cell>
          <cell r="D122">
            <v>0.16350000000000001</v>
          </cell>
          <cell r="E122">
            <v>5.3249999999999999E-2</v>
          </cell>
          <cell r="F122">
            <v>2.7500000000000004E-2</v>
          </cell>
          <cell r="G122">
            <v>0.23475000000000001</v>
          </cell>
          <cell r="H122">
            <v>0.26150000000000001</v>
          </cell>
        </row>
        <row r="123">
          <cell r="B123" t="str">
            <v>Veg 08</v>
          </cell>
          <cell r="C123" t="str">
            <v>base</v>
          </cell>
          <cell r="D123">
            <v>0.16350000000000001</v>
          </cell>
          <cell r="E123">
            <v>5.3249999999999999E-2</v>
          </cell>
          <cell r="F123">
            <v>1.4999999999999999E-2</v>
          </cell>
          <cell r="G123">
            <v>0.23475000000000001</v>
          </cell>
          <cell r="H123">
            <v>0.4405</v>
          </cell>
        </row>
        <row r="124">
          <cell r="B124" t="str">
            <v>Veg 08</v>
          </cell>
          <cell r="C124" t="str">
            <v>base</v>
          </cell>
          <cell r="D124">
            <v>0.16350000000000001</v>
          </cell>
          <cell r="E124">
            <v>5.3249999999999999E-2</v>
          </cell>
          <cell r="F124">
            <v>1.4999999999999999E-2</v>
          </cell>
          <cell r="G124">
            <v>0.23475000000000001</v>
          </cell>
          <cell r="H124">
            <v>0.4365</v>
          </cell>
        </row>
        <row r="125">
          <cell r="B125" t="str">
            <v>Veg 08</v>
          </cell>
          <cell r="C125" t="str">
            <v>base</v>
          </cell>
          <cell r="D125">
            <v>0.16350000000000001</v>
          </cell>
          <cell r="E125">
            <v>5.3249999999999999E-2</v>
          </cell>
          <cell r="F125">
            <v>2.7500000000000004E-2</v>
          </cell>
          <cell r="G125">
            <v>0.23475000000000001</v>
          </cell>
          <cell r="H125">
            <v>0.27100000000000002</v>
          </cell>
        </row>
        <row r="126">
          <cell r="B126" t="str">
            <v>Veg 08</v>
          </cell>
          <cell r="C126" t="str">
            <v>base</v>
          </cell>
          <cell r="D126">
            <v>0.16350000000000001</v>
          </cell>
          <cell r="E126">
            <v>5.3249999999999999E-2</v>
          </cell>
          <cell r="F126">
            <v>1.4999999999999999E-2</v>
          </cell>
          <cell r="G126">
            <v>0.23475000000000001</v>
          </cell>
          <cell r="H126">
            <v>0.36875000000000002</v>
          </cell>
        </row>
        <row r="127">
          <cell r="B127" t="str">
            <v>Veg 08</v>
          </cell>
          <cell r="C127" t="str">
            <v>base</v>
          </cell>
          <cell r="D127">
            <v>0.16350000000000001</v>
          </cell>
          <cell r="E127">
            <v>5.3249999999999999E-2</v>
          </cell>
          <cell r="F127">
            <v>1.4999999999999999E-2</v>
          </cell>
          <cell r="G127">
            <v>0.23475000000000001</v>
          </cell>
          <cell r="H127">
            <v>0.35799999999999998</v>
          </cell>
        </row>
        <row r="128">
          <cell r="B128" t="str">
            <v>Veg 08</v>
          </cell>
          <cell r="C128" t="str">
            <v>base</v>
          </cell>
          <cell r="D128">
            <v>0.22174999999999997</v>
          </cell>
          <cell r="E128">
            <v>5.3249999999999999E-2</v>
          </cell>
          <cell r="F128">
            <v>3.2500000000000001E-2</v>
          </cell>
          <cell r="G128">
            <v>0.23475000000000001</v>
          </cell>
          <cell r="H128">
            <v>0.23525000000000001</v>
          </cell>
        </row>
        <row r="129">
          <cell r="B129" t="str">
            <v>Veg 08</v>
          </cell>
          <cell r="C129" t="str">
            <v>base</v>
          </cell>
          <cell r="D129">
            <v>0.22174999999999997</v>
          </cell>
          <cell r="E129">
            <v>5.3249999999999999E-2</v>
          </cell>
          <cell r="F129">
            <v>4.0999999999999995E-2</v>
          </cell>
          <cell r="G129">
            <v>0.2515</v>
          </cell>
          <cell r="H129">
            <v>0.17599999999999999</v>
          </cell>
        </row>
        <row r="130">
          <cell r="B130" t="str">
            <v>Veg 08</v>
          </cell>
          <cell r="C130" t="str">
            <v>base</v>
          </cell>
          <cell r="D130">
            <v>0.22174999999999997</v>
          </cell>
          <cell r="E130">
            <v>5.3249999999999999E-2</v>
          </cell>
          <cell r="F130">
            <v>3.2500000000000001E-2</v>
          </cell>
          <cell r="G130">
            <v>0.23475000000000001</v>
          </cell>
          <cell r="H130">
            <v>0.188</v>
          </cell>
        </row>
        <row r="131">
          <cell r="B131" t="str">
            <v>Veg 08</v>
          </cell>
          <cell r="C131" t="str">
            <v>base</v>
          </cell>
          <cell r="D131">
            <v>0.16350000000000001</v>
          </cell>
          <cell r="E131">
            <v>5.3249999999999999E-2</v>
          </cell>
          <cell r="F131">
            <v>2.1749999999999999E-2</v>
          </cell>
          <cell r="G131">
            <v>0.23475000000000001</v>
          </cell>
          <cell r="H131">
            <v>0.43825000000000003</v>
          </cell>
        </row>
        <row r="132">
          <cell r="B132" t="str">
            <v>Veg 08</v>
          </cell>
          <cell r="C132" t="str">
            <v>base</v>
          </cell>
          <cell r="D132">
            <v>0.16350000000000001</v>
          </cell>
          <cell r="E132">
            <v>5.3249999999999999E-2</v>
          </cell>
          <cell r="F132">
            <v>2.1749999999999999E-2</v>
          </cell>
          <cell r="G132">
            <v>0.23475000000000001</v>
          </cell>
          <cell r="H132">
            <v>0.39249999999999996</v>
          </cell>
        </row>
        <row r="133">
          <cell r="B133" t="str">
            <v>Veg 08</v>
          </cell>
          <cell r="C133" t="str">
            <v>base</v>
          </cell>
          <cell r="D133">
            <v>0.16350000000000001</v>
          </cell>
          <cell r="E133">
            <v>5.3249999999999999E-2</v>
          </cell>
          <cell r="F133">
            <v>1.4999999999999999E-2</v>
          </cell>
          <cell r="G133">
            <v>0.23475000000000001</v>
          </cell>
          <cell r="H133">
            <v>0.43600000000000005</v>
          </cell>
        </row>
        <row r="134">
          <cell r="B134" t="str">
            <v>Veg 08</v>
          </cell>
          <cell r="C134" t="str">
            <v>base</v>
          </cell>
          <cell r="D134">
            <v>0.16350000000000001</v>
          </cell>
          <cell r="E134">
            <v>5.3249999999999999E-2</v>
          </cell>
          <cell r="F134">
            <v>1.4999999999999999E-2</v>
          </cell>
          <cell r="G134">
            <v>0.23475000000000001</v>
          </cell>
          <cell r="H134">
            <v>0.34300000000000003</v>
          </cell>
        </row>
        <row r="135">
          <cell r="B135" t="str">
            <v>Veg 08</v>
          </cell>
          <cell r="C135" t="str">
            <v>base</v>
          </cell>
          <cell r="D135">
            <v>0.16350000000000001</v>
          </cell>
          <cell r="E135">
            <v>5.3249999999999999E-2</v>
          </cell>
          <cell r="F135">
            <v>2.1749999999999999E-2</v>
          </cell>
          <cell r="G135">
            <v>0.23475000000000001</v>
          </cell>
          <cell r="H135">
            <v>0.31724999999999998</v>
          </cell>
        </row>
        <row r="136">
          <cell r="B136" t="str">
            <v>Veg 08</v>
          </cell>
          <cell r="C136" t="str">
            <v>base</v>
          </cell>
          <cell r="D136">
            <v>0.16350000000000001</v>
          </cell>
          <cell r="E136">
            <v>5.3249999999999999E-2</v>
          </cell>
          <cell r="F136">
            <v>1.4999999999999999E-2</v>
          </cell>
          <cell r="G136">
            <v>0.23475000000000001</v>
          </cell>
          <cell r="H136">
            <v>0.45525000000000004</v>
          </cell>
        </row>
        <row r="137">
          <cell r="B137" t="str">
            <v>Veg 08</v>
          </cell>
          <cell r="C137" t="str">
            <v>base</v>
          </cell>
          <cell r="D137">
            <v>0.16350000000000001</v>
          </cell>
          <cell r="E137">
            <v>5.3249999999999999E-2</v>
          </cell>
          <cell r="F137">
            <v>1.4999999999999999E-2</v>
          </cell>
          <cell r="G137">
            <v>0.23475000000000001</v>
          </cell>
          <cell r="H137">
            <v>0.36524999999999996</v>
          </cell>
        </row>
        <row r="138">
          <cell r="B138" t="str">
            <v>Veg 08</v>
          </cell>
          <cell r="C138" t="str">
            <v>base</v>
          </cell>
          <cell r="D138">
            <v>0.16350000000000001</v>
          </cell>
          <cell r="E138">
            <v>5.3249999999999999E-2</v>
          </cell>
          <cell r="F138">
            <v>2.7500000000000004E-2</v>
          </cell>
          <cell r="G138">
            <v>0.23475000000000001</v>
          </cell>
          <cell r="H138">
            <v>0.32900000000000001</v>
          </cell>
        </row>
        <row r="139">
          <cell r="B139" t="str">
            <v>Veg 08</v>
          </cell>
          <cell r="C139" t="str">
            <v>base</v>
          </cell>
          <cell r="D139">
            <v>0.16350000000000001</v>
          </cell>
          <cell r="E139">
            <v>5.3249999999999999E-2</v>
          </cell>
          <cell r="F139">
            <v>2.1749999999999999E-2</v>
          </cell>
          <cell r="G139">
            <v>0.23475000000000001</v>
          </cell>
          <cell r="H139">
            <v>0.33599999999999997</v>
          </cell>
        </row>
        <row r="140">
          <cell r="B140" t="str">
            <v>Veg 08</v>
          </cell>
          <cell r="C140" t="str">
            <v>base</v>
          </cell>
          <cell r="D140">
            <v>0.16350000000000001</v>
          </cell>
          <cell r="E140">
            <v>5.3249999999999999E-2</v>
          </cell>
          <cell r="F140">
            <v>1.4999999999999999E-2</v>
          </cell>
          <cell r="G140">
            <v>0.23475000000000001</v>
          </cell>
          <cell r="H140">
            <v>0.36299999999999999</v>
          </cell>
        </row>
        <row r="141">
          <cell r="B141" t="str">
            <v>Veg 08</v>
          </cell>
          <cell r="C141" t="str">
            <v>base</v>
          </cell>
          <cell r="D141">
            <v>0.16350000000000001</v>
          </cell>
          <cell r="E141">
            <v>5.3249999999999999E-2</v>
          </cell>
          <cell r="F141">
            <v>1.4999999999999999E-2</v>
          </cell>
          <cell r="G141">
            <v>0.23475000000000001</v>
          </cell>
          <cell r="H141">
            <v>0.35125000000000001</v>
          </cell>
        </row>
        <row r="142">
          <cell r="B142" t="str">
            <v>Veg 08</v>
          </cell>
          <cell r="C142" t="str">
            <v>base</v>
          </cell>
          <cell r="D142">
            <v>0.16350000000000001</v>
          </cell>
          <cell r="E142">
            <v>5.3249999999999999E-2</v>
          </cell>
          <cell r="F142">
            <v>1.4999999999999999E-2</v>
          </cell>
          <cell r="G142">
            <v>0.23475000000000001</v>
          </cell>
          <cell r="H142">
            <v>0.35275000000000001</v>
          </cell>
        </row>
        <row r="143">
          <cell r="B143" t="str">
            <v>Veg 08</v>
          </cell>
          <cell r="C143" t="str">
            <v>base</v>
          </cell>
          <cell r="D143">
            <v>0.16350000000000001</v>
          </cell>
          <cell r="E143">
            <v>5.3249999999999999E-2</v>
          </cell>
          <cell r="F143">
            <v>1.4999999999999999E-2</v>
          </cell>
          <cell r="G143">
            <v>0.23475000000000001</v>
          </cell>
          <cell r="H143">
            <v>0.36075000000000002</v>
          </cell>
        </row>
        <row r="144">
          <cell r="B144" t="str">
            <v>Veg 08</v>
          </cell>
          <cell r="C144" t="str">
            <v>base</v>
          </cell>
          <cell r="D144">
            <v>0.16340852130325814</v>
          </cell>
          <cell r="E144">
            <v>5.338345864661654E-2</v>
          </cell>
          <cell r="F144">
            <v>2.180451127819549E-2</v>
          </cell>
          <cell r="G144">
            <v>0.23483709273182957</v>
          </cell>
          <cell r="H144">
            <v>0.31428571428571428</v>
          </cell>
        </row>
        <row r="145">
          <cell r="B145" t="str">
            <v>Veg 08</v>
          </cell>
          <cell r="C145" t="str">
            <v>base</v>
          </cell>
          <cell r="D145">
            <v>0.16350000000000001</v>
          </cell>
          <cell r="E145">
            <v>5.3249999999999999E-2</v>
          </cell>
          <cell r="F145">
            <v>2.1749999999999999E-2</v>
          </cell>
          <cell r="G145">
            <v>0.23475000000000001</v>
          </cell>
          <cell r="H145">
            <v>0.32550000000000001</v>
          </cell>
        </row>
        <row r="146">
          <cell r="B146" t="str">
            <v>Veg 08</v>
          </cell>
          <cell r="C146" t="str">
            <v>base</v>
          </cell>
          <cell r="D146">
            <v>0.16350000000000001</v>
          </cell>
          <cell r="E146">
            <v>5.3249999999999999E-2</v>
          </cell>
          <cell r="F146">
            <v>1.4999999999999999E-2</v>
          </cell>
          <cell r="G146">
            <v>0.23475000000000001</v>
          </cell>
          <cell r="H146">
            <v>0.50600000000000001</v>
          </cell>
        </row>
        <row r="147">
          <cell r="B147" t="str">
            <v>Veg 08</v>
          </cell>
          <cell r="C147" t="str">
            <v>base</v>
          </cell>
          <cell r="D147">
            <v>0.16347607052896726</v>
          </cell>
          <cell r="E147">
            <v>5.3400503778337528E-2</v>
          </cell>
          <cell r="F147">
            <v>2.7455919395465996E-2</v>
          </cell>
          <cell r="G147">
            <v>0.23476070528967252</v>
          </cell>
          <cell r="H147">
            <v>0.37934508816120904</v>
          </cell>
        </row>
        <row r="148">
          <cell r="B148" t="str">
            <v>Veg 08</v>
          </cell>
          <cell r="C148" t="str">
            <v>base</v>
          </cell>
          <cell r="D148">
            <v>0.16350000000000001</v>
          </cell>
          <cell r="E148">
            <v>5.3249999999999999E-2</v>
          </cell>
          <cell r="F148">
            <v>2.7500000000000004E-2</v>
          </cell>
          <cell r="G148">
            <v>0.23475000000000001</v>
          </cell>
          <cell r="H148">
            <v>0.36049999999999999</v>
          </cell>
        </row>
        <row r="149">
          <cell r="B149" t="str">
            <v>Veg 08</v>
          </cell>
          <cell r="C149" t="str">
            <v>base</v>
          </cell>
          <cell r="D149">
            <v>0.16350000000000001</v>
          </cell>
          <cell r="E149">
            <v>5.3249999999999999E-2</v>
          </cell>
          <cell r="F149">
            <v>3.2500000000000001E-2</v>
          </cell>
          <cell r="G149">
            <v>0.23475000000000001</v>
          </cell>
          <cell r="H149">
            <v>0.35199999999999998</v>
          </cell>
        </row>
        <row r="150">
          <cell r="B150" t="str">
            <v>Veg 08</v>
          </cell>
          <cell r="C150" t="str">
            <v>base</v>
          </cell>
          <cell r="D150">
            <v>0.16350000000000001</v>
          </cell>
          <cell r="E150">
            <v>5.3249999999999999E-2</v>
          </cell>
          <cell r="F150">
            <v>2.1749999999999999E-2</v>
          </cell>
          <cell r="G150">
            <v>0.23475000000000001</v>
          </cell>
          <cell r="H150">
            <v>0.40125</v>
          </cell>
        </row>
        <row r="151">
          <cell r="B151" t="str">
            <v>Veg 08</v>
          </cell>
          <cell r="C151" t="str">
            <v>base</v>
          </cell>
          <cell r="D151">
            <v>0.16336633663366337</v>
          </cell>
          <cell r="E151">
            <v>5.3217821782178217E-2</v>
          </cell>
          <cell r="F151">
            <v>1.5099009900990099E-2</v>
          </cell>
          <cell r="G151">
            <v>0.23490099009900992</v>
          </cell>
          <cell r="H151">
            <v>0.35123762376237622</v>
          </cell>
        </row>
        <row r="152">
          <cell r="B152" t="str">
            <v>Veg 08</v>
          </cell>
          <cell r="C152" t="str">
            <v>base</v>
          </cell>
          <cell r="D152">
            <v>0.16347607052896726</v>
          </cell>
          <cell r="E152">
            <v>5.3400503778337528E-2</v>
          </cell>
          <cell r="F152">
            <v>1.5113350125944582E-2</v>
          </cell>
          <cell r="G152">
            <v>0.23476070528967252</v>
          </cell>
          <cell r="H152">
            <v>0.36322418136020146</v>
          </cell>
        </row>
        <row r="153">
          <cell r="B153" t="str">
            <v>Veg 08</v>
          </cell>
          <cell r="C153" t="str">
            <v>base</v>
          </cell>
          <cell r="D153">
            <v>0.16350000000000001</v>
          </cell>
          <cell r="E153">
            <v>5.3249999999999999E-2</v>
          </cell>
          <cell r="F153">
            <v>1.4999999999999999E-2</v>
          </cell>
          <cell r="G153">
            <v>0.23475000000000001</v>
          </cell>
          <cell r="H153">
            <v>0.35525000000000001</v>
          </cell>
        </row>
        <row r="154">
          <cell r="B154" t="str">
            <v>Veg 08</v>
          </cell>
          <cell r="C154" t="str">
            <v>base</v>
          </cell>
          <cell r="D154">
            <v>0.16350000000000001</v>
          </cell>
          <cell r="E154">
            <v>5.3249999999999999E-2</v>
          </cell>
          <cell r="F154">
            <v>1.4999999999999999E-2</v>
          </cell>
          <cell r="G154">
            <v>0.23475000000000001</v>
          </cell>
          <cell r="H154">
            <v>0.36124999999999996</v>
          </cell>
        </row>
        <row r="155">
          <cell r="B155" t="str">
            <v>Veg 08</v>
          </cell>
          <cell r="C155" t="str">
            <v>base</v>
          </cell>
          <cell r="D155">
            <v>0.16350000000000001</v>
          </cell>
          <cell r="E155">
            <v>5.3249999999999999E-2</v>
          </cell>
          <cell r="F155">
            <v>1.4999999999999999E-2</v>
          </cell>
          <cell r="G155">
            <v>0.23475000000000001</v>
          </cell>
          <cell r="H155">
            <v>0.36675000000000002</v>
          </cell>
        </row>
        <row r="156">
          <cell r="B156" t="str">
            <v>Veg 08</v>
          </cell>
          <cell r="C156" t="str">
            <v>base</v>
          </cell>
          <cell r="D156">
            <v>0.16350000000000001</v>
          </cell>
          <cell r="E156">
            <v>5.3249999999999999E-2</v>
          </cell>
          <cell r="F156">
            <v>1.4999999999999999E-2</v>
          </cell>
          <cell r="G156">
            <v>0.23475000000000001</v>
          </cell>
          <cell r="H156">
            <v>0.36625000000000002</v>
          </cell>
        </row>
        <row r="157">
          <cell r="B157" t="str">
            <v>Veg 08</v>
          </cell>
          <cell r="C157" t="str">
            <v>base</v>
          </cell>
          <cell r="D157">
            <v>0.16350000000000001</v>
          </cell>
          <cell r="E157">
            <v>5.3249999999999999E-2</v>
          </cell>
          <cell r="F157">
            <v>1.4999999999999999E-2</v>
          </cell>
          <cell r="G157">
            <v>0.23475000000000001</v>
          </cell>
          <cell r="H157">
            <v>0.34900000000000003</v>
          </cell>
        </row>
        <row r="158">
          <cell r="B158" t="str">
            <v>Veg 08</v>
          </cell>
          <cell r="C158" t="str">
            <v>base</v>
          </cell>
          <cell r="D158">
            <v>0.16337349397590362</v>
          </cell>
          <cell r="E158">
            <v>5.3253012048192772E-2</v>
          </cell>
          <cell r="F158">
            <v>2.1927710843373496E-2</v>
          </cell>
          <cell r="G158">
            <v>0.2346987951807229</v>
          </cell>
          <cell r="H158">
            <v>0.29951807228915661</v>
          </cell>
        </row>
        <row r="159">
          <cell r="B159" t="str">
            <v>Veg 08</v>
          </cell>
          <cell r="C159" t="str">
            <v>base</v>
          </cell>
          <cell r="D159">
            <v>0.16348837209302325</v>
          </cell>
          <cell r="E159">
            <v>5.3255813953488371E-2</v>
          </cell>
          <cell r="F159">
            <v>1.5116279069767442E-2</v>
          </cell>
          <cell r="G159">
            <v>0.23488372093023255</v>
          </cell>
          <cell r="H159">
            <v>0.34093023255813953</v>
          </cell>
        </row>
        <row r="160">
          <cell r="B160" t="str">
            <v>Brine</v>
          </cell>
          <cell r="C160" t="str">
            <v>base</v>
          </cell>
          <cell r="D160">
            <v>0</v>
          </cell>
          <cell r="E160">
            <v>0</v>
          </cell>
          <cell r="F160">
            <v>4.0288924558587479E-2</v>
          </cell>
          <cell r="G160">
            <v>0.17576243980738362</v>
          </cell>
          <cell r="H160">
            <v>0</v>
          </cell>
        </row>
        <row r="161">
          <cell r="B161" t="str">
            <v>SFP</v>
          </cell>
          <cell r="C161" t="str">
            <v>base</v>
          </cell>
          <cell r="D161">
            <v>0</v>
          </cell>
          <cell r="E161">
            <v>0.12155054644808744</v>
          </cell>
          <cell r="F161">
            <v>0.25928961748633877</v>
          </cell>
          <cell r="G161">
            <v>0.52223360655737705</v>
          </cell>
          <cell r="H161">
            <v>1.9125683060109292E-3</v>
          </cell>
        </row>
        <row r="162">
          <cell r="B162" t="str">
            <v>DWM_Dec</v>
          </cell>
          <cell r="C162" t="str">
            <v>dwm</v>
          </cell>
          <cell r="D162">
            <v>0</v>
          </cell>
          <cell r="E162">
            <v>0.19033225633026074</v>
          </cell>
          <cell r="F162">
            <v>0.35454052821130411</v>
          </cell>
          <cell r="G162">
            <v>0.57333467575831509</v>
          </cell>
          <cell r="H162">
            <v>9.4567061509029618E-6</v>
          </cell>
        </row>
        <row r="163">
          <cell r="B163" t="str">
            <v>DWM_Jan</v>
          </cell>
          <cell r="C163" t="str">
            <v>dwm</v>
          </cell>
          <cell r="D163">
            <v>0</v>
          </cell>
          <cell r="E163">
            <v>0.12347058897115903</v>
          </cell>
          <cell r="F163">
            <v>0.2025884171362396</v>
          </cell>
          <cell r="G163">
            <v>0.44935234977468863</v>
          </cell>
          <cell r="H163">
            <v>1.5356545440389265E-6</v>
          </cell>
        </row>
        <row r="164">
          <cell r="B164" t="str">
            <v>DWM_Jan</v>
          </cell>
          <cell r="C164" t="str">
            <v>dwm</v>
          </cell>
          <cell r="D164">
            <v>0</v>
          </cell>
          <cell r="E164">
            <v>0.25341933135083711</v>
          </cell>
          <cell r="F164">
            <v>0.14004328927645152</v>
          </cell>
          <cell r="G164">
            <v>0.4567867178720883</v>
          </cell>
          <cell r="H164">
            <v>3.3626279545452663E-5</v>
          </cell>
        </row>
        <row r="165">
          <cell r="B165" t="str">
            <v>DWM_Jan</v>
          </cell>
          <cell r="C165" t="str">
            <v>dwm</v>
          </cell>
          <cell r="D165">
            <v>0</v>
          </cell>
          <cell r="E165">
            <v>1.7722833977815156E-2</v>
          </cell>
          <cell r="F165">
            <v>0.10889699387902668</v>
          </cell>
          <cell r="G165">
            <v>0.30535998713602935</v>
          </cell>
          <cell r="H165">
            <v>0</v>
          </cell>
        </row>
        <row r="166">
          <cell r="B166" t="str">
            <v>Brine</v>
          </cell>
          <cell r="C166" t="str">
            <v>dwm</v>
          </cell>
          <cell r="D166">
            <v>0</v>
          </cell>
          <cell r="E166">
            <v>0</v>
          </cell>
          <cell r="F166">
            <v>0</v>
          </cell>
          <cell r="G166">
            <v>2.8680771251151288E-2</v>
          </cell>
          <cell r="H166">
            <v>0</v>
          </cell>
        </row>
        <row r="167">
          <cell r="B167" t="str">
            <v>DWM_Dec</v>
          </cell>
          <cell r="C167" t="str">
            <v>dwm</v>
          </cell>
          <cell r="D167">
            <v>0</v>
          </cell>
          <cell r="E167">
            <v>6.0566669976603663E-2</v>
          </cell>
          <cell r="F167">
            <v>9.8272585517079458E-2</v>
          </cell>
          <cell r="G167">
            <v>0.41548020754856335</v>
          </cell>
          <cell r="H167">
            <v>2.3538079481049279E-5</v>
          </cell>
        </row>
        <row r="168">
          <cell r="B168" t="str">
            <v>DWM_Jan</v>
          </cell>
          <cell r="C168" t="str">
            <v>dwm</v>
          </cell>
          <cell r="D168">
            <v>0</v>
          </cell>
          <cell r="E168">
            <v>3.1573454916359999E-3</v>
          </cell>
          <cell r="F168">
            <v>2.9316816491203233E-2</v>
          </cell>
          <cell r="G168">
            <v>0.18867580569849907</v>
          </cell>
          <cell r="H168">
            <v>3.9634540783578566E-3</v>
          </cell>
        </row>
        <row r="169">
          <cell r="B169" t="str">
            <v>SFL</v>
          </cell>
          <cell r="C169" t="str">
            <v>dwm</v>
          </cell>
          <cell r="D169">
            <v>0</v>
          </cell>
          <cell r="E169">
            <v>0.54710490851898941</v>
          </cell>
          <cell r="F169">
            <v>0.23964943052747797</v>
          </cell>
          <cell r="G169">
            <v>0.37890942622825408</v>
          </cell>
          <cell r="H169">
            <v>7.4933146926309587E-3</v>
          </cell>
        </row>
        <row r="170">
          <cell r="B170" t="str">
            <v>SFL</v>
          </cell>
          <cell r="C170" t="str">
            <v>dwm</v>
          </cell>
          <cell r="D170">
            <v>0</v>
          </cell>
          <cell r="E170">
            <v>0.54710490851898941</v>
          </cell>
          <cell r="F170">
            <v>0.23964943052747797</v>
          </cell>
          <cell r="G170">
            <v>0.37890942622825408</v>
          </cell>
          <cell r="H170">
            <v>7.4933146926309587E-3</v>
          </cell>
        </row>
        <row r="171">
          <cell r="B171" t="str">
            <v>DWM_Jan</v>
          </cell>
          <cell r="C171" t="str">
            <v>dwm</v>
          </cell>
          <cell r="D171">
            <v>0</v>
          </cell>
          <cell r="E171">
            <v>0.22155016458417978</v>
          </cell>
          <cell r="F171">
            <v>0.18368286991931856</v>
          </cell>
          <cell r="G171">
            <v>0.57782274168307945</v>
          </cell>
          <cell r="H171">
            <v>0</v>
          </cell>
        </row>
        <row r="172">
          <cell r="B172" t="str">
            <v>DWM_Plovers</v>
          </cell>
          <cell r="C172" t="str">
            <v>dwm</v>
          </cell>
          <cell r="D172">
            <v>0</v>
          </cell>
          <cell r="E172">
            <v>0.52499029068965686</v>
          </cell>
          <cell r="F172">
            <v>0.24903484866613099</v>
          </cell>
          <cell r="G172">
            <v>0.54357983562975276</v>
          </cell>
          <cell r="H172">
            <v>1.409108259904528E-4</v>
          </cell>
        </row>
        <row r="173">
          <cell r="B173" t="str">
            <v>DWM_Plovers</v>
          </cell>
          <cell r="C173" t="str">
            <v>dwm</v>
          </cell>
          <cell r="D173">
            <v>0</v>
          </cell>
          <cell r="E173">
            <v>0.48845245147561922</v>
          </cell>
          <cell r="F173">
            <v>0.22657278487890622</v>
          </cell>
          <cell r="G173">
            <v>0.40288395656034637</v>
          </cell>
          <cell r="H173">
            <v>4.4054213439547244E-4</v>
          </cell>
        </row>
        <row r="174">
          <cell r="B174" t="str">
            <v>DWM_Jan</v>
          </cell>
          <cell r="C174" t="str">
            <v>dwm</v>
          </cell>
          <cell r="D174">
            <v>0</v>
          </cell>
          <cell r="E174">
            <v>0.26633628008801086</v>
          </cell>
          <cell r="F174">
            <v>8.9231120421135193E-2</v>
          </cell>
          <cell r="G174">
            <v>0.46826037249771979</v>
          </cell>
          <cell r="H174">
            <v>0</v>
          </cell>
        </row>
        <row r="175">
          <cell r="B175" t="str">
            <v>DWM_Jan</v>
          </cell>
          <cell r="C175" t="str">
            <v>dwm</v>
          </cell>
          <cell r="D175">
            <v>0</v>
          </cell>
          <cell r="E175">
            <v>1.8261496261947712E-2</v>
          </cell>
          <cell r="F175">
            <v>1.2996668250339252E-2</v>
          </cell>
          <cell r="G175">
            <v>0.19203230929588916</v>
          </cell>
          <cell r="H175">
            <v>0</v>
          </cell>
        </row>
        <row r="176">
          <cell r="B176" t="str">
            <v>SFP</v>
          </cell>
          <cell r="C176" t="str">
            <v>dwm</v>
          </cell>
          <cell r="D176">
            <v>0</v>
          </cell>
          <cell r="E176">
            <v>3.0433949782714437E-2</v>
          </cell>
          <cell r="F176">
            <v>0.13871622754137103</v>
          </cell>
          <cell r="G176">
            <v>0.28501382430717948</v>
          </cell>
          <cell r="H176">
            <v>0</v>
          </cell>
        </row>
        <row r="177">
          <cell r="B177" t="str">
            <v>DWM_Jan</v>
          </cell>
          <cell r="C177" t="str">
            <v>dwm</v>
          </cell>
          <cell r="D177">
            <v>0</v>
          </cell>
          <cell r="E177">
            <v>1.0657107134339599E-2</v>
          </cell>
          <cell r="F177">
            <v>0</v>
          </cell>
          <cell r="G177">
            <v>0.16245438644773319</v>
          </cell>
          <cell r="H177">
            <v>0</v>
          </cell>
        </row>
        <row r="178">
          <cell r="B178" t="str">
            <v>SFL</v>
          </cell>
          <cell r="C178" t="str">
            <v>dwm</v>
          </cell>
          <cell r="D178">
            <v>0</v>
          </cell>
          <cell r="E178">
            <v>0.26892754502233107</v>
          </cell>
          <cell r="F178">
            <v>0.43623361162404933</v>
          </cell>
          <cell r="G178">
            <v>0.60190152645020767</v>
          </cell>
          <cell r="H178">
            <v>4.6115395729183652E-4</v>
          </cell>
        </row>
        <row r="179">
          <cell r="B179" t="str">
            <v>SFL</v>
          </cell>
          <cell r="C179" t="str">
            <v>dwm</v>
          </cell>
          <cell r="D179">
            <v>0</v>
          </cell>
          <cell r="E179">
            <v>0.30608533229200491</v>
          </cell>
          <cell r="F179">
            <v>0.41117301236614612</v>
          </cell>
          <cell r="G179">
            <v>0.54295054684716015</v>
          </cell>
          <cell r="H179">
            <v>2.7297156609814703E-3</v>
          </cell>
        </row>
        <row r="180">
          <cell r="B180" t="str">
            <v>SFP</v>
          </cell>
          <cell r="C180" t="str">
            <v>dwm</v>
          </cell>
          <cell r="D180">
            <v>0</v>
          </cell>
          <cell r="E180">
            <v>0.58798747718506816</v>
          </cell>
          <cell r="F180">
            <v>7.3501832031808434E-2</v>
          </cell>
          <cell r="G180">
            <v>0.30122057297965826</v>
          </cell>
          <cell r="H180">
            <v>0</v>
          </cell>
        </row>
        <row r="181">
          <cell r="B181" t="str">
            <v>SFP</v>
          </cell>
          <cell r="C181" t="str">
            <v>dwm</v>
          </cell>
          <cell r="D181">
            <v>0</v>
          </cell>
          <cell r="E181">
            <v>0.21259679929196829</v>
          </cell>
          <cell r="F181">
            <v>0.21140234516495471</v>
          </cell>
          <cell r="G181">
            <v>0.5436963697119237</v>
          </cell>
          <cell r="H181">
            <v>1.5985626027693395E-2</v>
          </cell>
        </row>
        <row r="182">
          <cell r="B182" t="str">
            <v>SFP</v>
          </cell>
          <cell r="C182" t="str">
            <v>dwm</v>
          </cell>
          <cell r="D182">
            <v>0</v>
          </cell>
          <cell r="E182">
            <v>0.66577404794350903</v>
          </cell>
          <cell r="F182">
            <v>8.2649195404882608E-2</v>
          </cell>
          <cell r="G182">
            <v>0.38976980311980147</v>
          </cell>
          <cell r="H182">
            <v>1.1511074920305777E-3</v>
          </cell>
        </row>
        <row r="183">
          <cell r="B183" t="str">
            <v>SFP</v>
          </cell>
          <cell r="C183" t="str">
            <v>dwm</v>
          </cell>
          <cell r="D183">
            <v>0</v>
          </cell>
          <cell r="E183">
            <v>0.21697225607815962</v>
          </cell>
          <cell r="F183">
            <v>0.13520166179601226</v>
          </cell>
          <cell r="G183">
            <v>0.49462569508074405</v>
          </cell>
          <cell r="H183">
            <v>9.8888210227621783E-4</v>
          </cell>
        </row>
        <row r="184">
          <cell r="B184" t="str">
            <v>None</v>
          </cell>
          <cell r="C184" t="str">
            <v>dwm</v>
          </cell>
          <cell r="D184">
            <v>0</v>
          </cell>
          <cell r="E184">
            <v>1.3333333333333334E-2</v>
          </cell>
          <cell r="F184">
            <v>7.8131585842451876E-2</v>
          </cell>
          <cell r="G184">
            <v>0.2608879069638913</v>
          </cell>
          <cell r="H184">
            <v>5.4073625082268911E-4</v>
          </cell>
        </row>
        <row r="185">
          <cell r="B185" t="str">
            <v>SFL</v>
          </cell>
          <cell r="C185" t="str">
            <v>dwm</v>
          </cell>
          <cell r="D185">
            <v>0.25623790594558404</v>
          </cell>
          <cell r="E185">
            <v>0.12352982042913538</v>
          </cell>
          <cell r="F185">
            <v>0.21793222316945987</v>
          </cell>
          <cell r="G185">
            <v>0.37231767594101101</v>
          </cell>
          <cell r="H185">
            <v>1.661174476170213E-2</v>
          </cell>
        </row>
        <row r="186">
          <cell r="B186" t="str">
            <v>SFP</v>
          </cell>
          <cell r="C186" t="str">
            <v>dwm</v>
          </cell>
          <cell r="D186">
            <v>0.3072719469000792</v>
          </cell>
          <cell r="E186">
            <v>0.21172494337484432</v>
          </cell>
          <cell r="F186">
            <v>0.27806274130227693</v>
          </cell>
          <cell r="G186">
            <v>0.43337399301630697</v>
          </cell>
          <cell r="H186">
            <v>3.1523409983521163E-2</v>
          </cell>
        </row>
        <row r="187">
          <cell r="B187" t="str">
            <v>DWM_Dec</v>
          </cell>
          <cell r="C187" t="str">
            <v>dwm</v>
          </cell>
          <cell r="D187">
            <v>0</v>
          </cell>
          <cell r="E187">
            <v>9.3123168129999045E-2</v>
          </cell>
          <cell r="F187">
            <v>0.25076633684560368</v>
          </cell>
          <cell r="G187">
            <v>0.48156651718762372</v>
          </cell>
          <cell r="H187">
            <v>1.9060144917171428E-3</v>
          </cell>
        </row>
        <row r="188">
          <cell r="B188" t="str">
            <v>DWM_Dec</v>
          </cell>
          <cell r="C188" t="str">
            <v>step0</v>
          </cell>
          <cell r="D188">
            <v>0</v>
          </cell>
          <cell r="E188">
            <v>1.8076642335766422E-2</v>
          </cell>
          <cell r="F188">
            <v>0.37029084619387004</v>
          </cell>
          <cell r="G188">
            <v>0.29215017674351029</v>
          </cell>
          <cell r="H188">
            <v>0</v>
          </cell>
        </row>
        <row r="189">
          <cell r="B189" t="str">
            <v>Gravel</v>
          </cell>
          <cell r="C189" t="str">
            <v>step0</v>
          </cell>
          <cell r="D189">
            <v>0</v>
          </cell>
          <cell r="E189">
            <v>2.0833333333333337E-3</v>
          </cell>
          <cell r="F189">
            <v>0</v>
          </cell>
          <cell r="G189">
            <v>3.8890872965260122E-2</v>
          </cell>
          <cell r="H189">
            <v>0</v>
          </cell>
        </row>
        <row r="190">
          <cell r="B190" t="str">
            <v>Tillage</v>
          </cell>
          <cell r="C190" t="str">
            <v>step0</v>
          </cell>
          <cell r="D190">
            <v>0</v>
          </cell>
          <cell r="E190">
            <v>2.0833333333333337E-3</v>
          </cell>
          <cell r="F190">
            <v>0</v>
          </cell>
          <cell r="G190">
            <v>3.8890872965260122E-2</v>
          </cell>
          <cell r="H190">
            <v>0</v>
          </cell>
        </row>
        <row r="191">
          <cell r="B191" t="str">
            <v>Gravel</v>
          </cell>
          <cell r="C191" t="str">
            <v>step0</v>
          </cell>
          <cell r="D191">
            <v>0</v>
          </cell>
          <cell r="E191">
            <v>2.0833333333333337E-3</v>
          </cell>
          <cell r="F191">
            <v>0</v>
          </cell>
          <cell r="G191">
            <v>3.8890872965260122E-2</v>
          </cell>
          <cell r="H191">
            <v>0</v>
          </cell>
        </row>
        <row r="192">
          <cell r="B192" t="str">
            <v>DWM_Oct</v>
          </cell>
          <cell r="C192" t="str">
            <v>step0</v>
          </cell>
          <cell r="D192">
            <v>0.61348618826838841</v>
          </cell>
          <cell r="E192">
            <v>0.48103107344632767</v>
          </cell>
          <cell r="F192">
            <v>0.13134096949018609</v>
          </cell>
          <cell r="G192">
            <v>0.45312030676698506</v>
          </cell>
          <cell r="H192">
            <v>4.0482220064367011E-2</v>
          </cell>
        </row>
        <row r="193">
          <cell r="B193" t="str">
            <v>Gravel</v>
          </cell>
          <cell r="C193" t="str">
            <v>step0</v>
          </cell>
          <cell r="D193">
            <v>0</v>
          </cell>
          <cell r="E193">
            <v>2.2500000000000003E-3</v>
          </cell>
          <cell r="F193">
            <v>0</v>
          </cell>
          <cell r="G193">
            <v>8.6962635654630444E-2</v>
          </cell>
          <cell r="H193">
            <v>0</v>
          </cell>
        </row>
        <row r="194">
          <cell r="B194" t="str">
            <v>SFL</v>
          </cell>
          <cell r="C194" t="str">
            <v>step0</v>
          </cell>
          <cell r="D194">
            <v>0</v>
          </cell>
          <cell r="E194">
            <v>0.22988051948051949</v>
          </cell>
          <cell r="F194">
            <v>0.44433434483691059</v>
          </cell>
          <cell r="G194">
            <v>0.70522171147637136</v>
          </cell>
          <cell r="H194">
            <v>0</v>
          </cell>
        </row>
        <row r="195">
          <cell r="B195" t="str">
            <v>Gravel</v>
          </cell>
          <cell r="C195" t="str">
            <v>step0</v>
          </cell>
          <cell r="D195">
            <v>0</v>
          </cell>
          <cell r="E195">
            <v>2.0833333333333337E-3</v>
          </cell>
          <cell r="F195">
            <v>0</v>
          </cell>
          <cell r="G195">
            <v>3.8890872965260122E-2</v>
          </cell>
          <cell r="H195">
            <v>0</v>
          </cell>
        </row>
        <row r="196">
          <cell r="B196" t="str">
            <v>Gravel</v>
          </cell>
          <cell r="C196" t="str">
            <v>step0</v>
          </cell>
          <cell r="D196">
            <v>0</v>
          </cell>
          <cell r="E196">
            <v>2.0833333333333337E-3</v>
          </cell>
          <cell r="F196">
            <v>0</v>
          </cell>
          <cell r="G196">
            <v>3.8890872965260122E-2</v>
          </cell>
          <cell r="H196">
            <v>0</v>
          </cell>
        </row>
        <row r="197">
          <cell r="B197" t="str">
            <v>Gravel</v>
          </cell>
          <cell r="C197" t="str">
            <v>step0</v>
          </cell>
          <cell r="D197">
            <v>0</v>
          </cell>
          <cell r="E197">
            <v>2.0833333333333337E-3</v>
          </cell>
          <cell r="F197">
            <v>0</v>
          </cell>
          <cell r="G197">
            <v>3.8890872965260122E-2</v>
          </cell>
          <cell r="H197">
            <v>0</v>
          </cell>
        </row>
        <row r="198">
          <cell r="B198" t="str">
            <v>Veg 11</v>
          </cell>
          <cell r="C198" t="str">
            <v>step0</v>
          </cell>
          <cell r="D198">
            <v>0.22579427120177961</v>
          </cell>
          <cell r="E198">
            <v>5.2440239043824707E-2</v>
          </cell>
          <cell r="F198">
            <v>3.4339533680010748E-2</v>
          </cell>
          <cell r="G198">
            <v>0.21506345769714899</v>
          </cell>
          <cell r="H198">
            <v>0.5653261021470074</v>
          </cell>
        </row>
        <row r="199">
          <cell r="B199" t="str">
            <v>Veg 11</v>
          </cell>
          <cell r="C199" t="str">
            <v>step0</v>
          </cell>
          <cell r="D199">
            <v>0.27712907665452824</v>
          </cell>
          <cell r="E199">
            <v>7.265700483091786E-2</v>
          </cell>
          <cell r="F199">
            <v>6.7098760637186533E-2</v>
          </cell>
          <cell r="G199">
            <v>0.27403982573151026</v>
          </cell>
          <cell r="H199">
            <v>0.55787748296579331</v>
          </cell>
        </row>
        <row r="200">
          <cell r="B200" t="str">
            <v>Gravel</v>
          </cell>
          <cell r="C200" t="str">
            <v>step0</v>
          </cell>
          <cell r="D200">
            <v>0</v>
          </cell>
          <cell r="E200">
            <v>2.0833333333333337E-3</v>
          </cell>
          <cell r="F200">
            <v>0</v>
          </cell>
          <cell r="G200">
            <v>3.8890872965260122E-2</v>
          </cell>
          <cell r="H200">
            <v>0</v>
          </cell>
        </row>
        <row r="201">
          <cell r="B201" t="str">
            <v>Tillage</v>
          </cell>
          <cell r="C201" t="str">
            <v>step0</v>
          </cell>
          <cell r="D201">
            <v>0</v>
          </cell>
          <cell r="E201">
            <v>2.0833333333333337E-3</v>
          </cell>
          <cell r="F201">
            <v>0</v>
          </cell>
          <cell r="G201">
            <v>3.8890872965260122E-2</v>
          </cell>
          <cell r="H201">
            <v>0</v>
          </cell>
        </row>
        <row r="202">
          <cell r="B202" t="str">
            <v>Tillage</v>
          </cell>
          <cell r="C202" t="str">
            <v>step0</v>
          </cell>
          <cell r="D202">
            <v>0</v>
          </cell>
          <cell r="E202">
            <v>3.7409638554216869E-2</v>
          </cell>
          <cell r="F202">
            <v>4.2449007725800382E-2</v>
          </cell>
          <cell r="G202">
            <v>0.26195080242588736</v>
          </cell>
          <cell r="H202">
            <v>0</v>
          </cell>
        </row>
        <row r="203">
          <cell r="B203" t="str">
            <v>Tillage</v>
          </cell>
          <cell r="C203" t="str">
            <v>step0</v>
          </cell>
          <cell r="D203">
            <v>0</v>
          </cell>
          <cell r="E203">
            <v>2.0833333333333337E-3</v>
          </cell>
          <cell r="F203">
            <v>0</v>
          </cell>
          <cell r="G203">
            <v>3.8890872965260122E-2</v>
          </cell>
          <cell r="H203">
            <v>4.783304592501667E-3</v>
          </cell>
        </row>
        <row r="204">
          <cell r="B204" t="str">
            <v>Meadow</v>
          </cell>
          <cell r="C204" t="str">
            <v>step0</v>
          </cell>
          <cell r="D204">
            <v>0.5938570581787751</v>
          </cell>
          <cell r="E204">
            <v>0.22324797645327449</v>
          </cell>
          <cell r="F204">
            <v>0.16461805845624511</v>
          </cell>
          <cell r="G204">
            <v>0.38773205334164251</v>
          </cell>
          <cell r="H204">
            <v>0.16760616630023942</v>
          </cell>
        </row>
        <row r="205">
          <cell r="B205" t="str">
            <v>Meadow</v>
          </cell>
          <cell r="C205" t="str">
            <v>step0</v>
          </cell>
          <cell r="D205">
            <v>0.4280920212459568</v>
          </cell>
          <cell r="E205">
            <v>0.31381333333333328</v>
          </cell>
          <cell r="F205">
            <v>0.29568497156178136</v>
          </cell>
          <cell r="G205">
            <v>0.54540361299989737</v>
          </cell>
          <cell r="H205">
            <v>0.30164237661766918</v>
          </cell>
        </row>
        <row r="206">
          <cell r="B206" t="str">
            <v>Brine</v>
          </cell>
          <cell r="C206" t="str">
            <v>step0</v>
          </cell>
          <cell r="D206">
            <v>0</v>
          </cell>
          <cell r="E206">
            <v>0</v>
          </cell>
          <cell r="F206">
            <v>8.1639413185071782E-3</v>
          </cell>
          <cell r="G206">
            <v>8.9232927428294723E-2</v>
          </cell>
          <cell r="H206">
            <v>0</v>
          </cell>
        </row>
        <row r="207">
          <cell r="B207" t="str">
            <v>Veg 11</v>
          </cell>
          <cell r="C207" t="str">
            <v>step0</v>
          </cell>
          <cell r="D207">
            <v>0.70311614561032765</v>
          </cell>
          <cell r="E207">
            <v>0.34760115606936415</v>
          </cell>
          <cell r="F207">
            <v>2.9161256354687387E-2</v>
          </cell>
          <cell r="G207">
            <v>0.35826047940478745</v>
          </cell>
          <cell r="H207">
            <v>0.55610901226815856</v>
          </cell>
        </row>
        <row r="208">
          <cell r="B208" t="str">
            <v>Gravel</v>
          </cell>
          <cell r="C208" t="str">
            <v>step0</v>
          </cell>
          <cell r="D208">
            <v>2.939815783088038E-2</v>
          </cell>
          <cell r="E208">
            <v>2.0833333333333337E-3</v>
          </cell>
          <cell r="F208">
            <v>0</v>
          </cell>
          <cell r="G208">
            <v>3.0052038200428274E-2</v>
          </cell>
          <cell r="H208">
            <v>4.490836985388337E-2</v>
          </cell>
        </row>
        <row r="209">
          <cell r="B209" t="str">
            <v>Gravel</v>
          </cell>
          <cell r="C209" t="str">
            <v>step0</v>
          </cell>
          <cell r="D209">
            <v>0</v>
          </cell>
          <cell r="E209">
            <v>2.0833333333333337E-3</v>
          </cell>
          <cell r="F209">
            <v>0</v>
          </cell>
          <cell r="G209">
            <v>3.5469377855218524E-2</v>
          </cell>
          <cell r="H209">
            <v>0</v>
          </cell>
        </row>
        <row r="210">
          <cell r="B210" t="str">
            <v>Gravel</v>
          </cell>
          <cell r="C210" t="str">
            <v>step0</v>
          </cell>
          <cell r="D210">
            <v>0</v>
          </cell>
          <cell r="E210">
            <v>2.0833333333333337E-3</v>
          </cell>
          <cell r="F210">
            <v>0</v>
          </cell>
          <cell r="G210">
            <v>3.3472847571242796E-2</v>
          </cell>
          <cell r="H210">
            <v>0</v>
          </cell>
        </row>
        <row r="211">
          <cell r="B211" t="str">
            <v>Gravel</v>
          </cell>
          <cell r="C211" t="str">
            <v>step0</v>
          </cell>
          <cell r="D211">
            <v>0</v>
          </cell>
          <cell r="E211">
            <v>2.0833333333333337E-3</v>
          </cell>
          <cell r="F211">
            <v>0</v>
          </cell>
          <cell r="G211">
            <v>3.8890872965260122E-2</v>
          </cell>
          <cell r="H211">
            <v>0</v>
          </cell>
        </row>
        <row r="212">
          <cell r="B212" t="str">
            <v>Meadow</v>
          </cell>
          <cell r="C212" t="str">
            <v>step0</v>
          </cell>
          <cell r="D212">
            <v>0.57999672167082694</v>
          </cell>
          <cell r="E212">
            <v>0.24976931949250294</v>
          </cell>
          <cell r="F212">
            <v>2.5694051882367945E-2</v>
          </cell>
          <cell r="G212">
            <v>0.13737658981299489</v>
          </cell>
          <cell r="H212">
            <v>0.22433188665265996</v>
          </cell>
        </row>
        <row r="213">
          <cell r="B213" t="str">
            <v>Meadow</v>
          </cell>
          <cell r="C213" t="str">
            <v>step0</v>
          </cell>
          <cell r="D213">
            <v>0.53473837997478868</v>
          </cell>
          <cell r="E213">
            <v>0.18055121381886086</v>
          </cell>
          <cell r="F213">
            <v>5.2913773163527397E-2</v>
          </cell>
          <cell r="G213">
            <v>0.15770065401253644</v>
          </cell>
          <cell r="H213">
            <v>0.17721714988585632</v>
          </cell>
        </row>
        <row r="214">
          <cell r="B214" t="str">
            <v>Gravel</v>
          </cell>
          <cell r="C214" t="str">
            <v>step0</v>
          </cell>
          <cell r="D214">
            <v>6.7304979947679047E-2</v>
          </cell>
          <cell r="E214">
            <v>2.0833333333333336E-2</v>
          </cell>
          <cell r="F214">
            <v>0</v>
          </cell>
          <cell r="G214">
            <v>3.7123106012293752E-2</v>
          </cell>
          <cell r="H214">
            <v>9.8457156410669558E-2</v>
          </cell>
        </row>
        <row r="215">
          <cell r="B215" t="str">
            <v>SFLS</v>
          </cell>
          <cell r="C215" t="str">
            <v>step0</v>
          </cell>
          <cell r="D215">
            <v>0</v>
          </cell>
          <cell r="E215">
            <v>1.3333333333333334E-2</v>
          </cell>
          <cell r="F215">
            <v>7.8131585842451876E-2</v>
          </cell>
          <cell r="G215">
            <v>0.2608879069638913</v>
          </cell>
          <cell r="H215">
            <v>5.4073625082268911E-4</v>
          </cell>
        </row>
        <row r="216">
          <cell r="B216" t="str">
            <v>DWM_Jan</v>
          </cell>
          <cell r="C216" t="str">
            <v>step0</v>
          </cell>
          <cell r="D216">
            <v>0</v>
          </cell>
          <cell r="E216">
            <v>3.6309221840068781E-2</v>
          </cell>
          <cell r="F216">
            <v>0.38728245693459468</v>
          </cell>
          <cell r="G216">
            <v>0.45553418414651931</v>
          </cell>
          <cell r="H216">
            <v>3.76594460237053E-3</v>
          </cell>
        </row>
        <row r="217">
          <cell r="B217" t="str">
            <v>DWM_Jan</v>
          </cell>
          <cell r="C217" t="str">
            <v>step0</v>
          </cell>
          <cell r="D217">
            <v>0</v>
          </cell>
          <cell r="E217">
            <v>0</v>
          </cell>
          <cell r="F217">
            <v>6.8719491907401564E-2</v>
          </cell>
          <cell r="G217">
            <v>0.13972835910523254</v>
          </cell>
          <cell r="H217">
            <v>0</v>
          </cell>
        </row>
        <row r="218">
          <cell r="B218" t="str">
            <v>DWM_Jan</v>
          </cell>
          <cell r="C218" t="str">
            <v>step0</v>
          </cell>
          <cell r="D218">
            <v>0</v>
          </cell>
          <cell r="E218">
            <v>0</v>
          </cell>
          <cell r="F218">
            <v>7.2062562312362036E-2</v>
          </cell>
          <cell r="G218">
            <v>0.14036746238821504</v>
          </cell>
          <cell r="H218">
            <v>0</v>
          </cell>
        </row>
        <row r="219">
          <cell r="B219" t="str">
            <v>DWM_Jan</v>
          </cell>
          <cell r="C219" t="str">
            <v>step0</v>
          </cell>
          <cell r="D219">
            <v>0</v>
          </cell>
          <cell r="E219">
            <v>2.2985845129059119E-2</v>
          </cell>
          <cell r="F219">
            <v>0.37025782219610964</v>
          </cell>
          <cell r="G219">
            <v>0.28644316422220162</v>
          </cell>
          <cell r="H219">
            <v>0</v>
          </cell>
        </row>
        <row r="220">
          <cell r="B220" t="str">
            <v>Tillage</v>
          </cell>
          <cell r="C220" t="str">
            <v>step0</v>
          </cell>
          <cell r="D220">
            <v>0</v>
          </cell>
          <cell r="E220">
            <v>6.483041722745625E-2</v>
          </cell>
          <cell r="F220">
            <v>0.18274732739580876</v>
          </cell>
          <cell r="G220">
            <v>0.42103086813751545</v>
          </cell>
          <cell r="H220">
            <v>0</v>
          </cell>
        </row>
        <row r="221">
          <cell r="B221" t="str">
            <v>Tillage</v>
          </cell>
          <cell r="C221" t="str">
            <v>step0</v>
          </cell>
          <cell r="D221">
            <v>0</v>
          </cell>
          <cell r="E221">
            <v>6.483041722745625E-2</v>
          </cell>
          <cell r="F221">
            <v>0.18274732739580876</v>
          </cell>
          <cell r="G221">
            <v>0.42103086813751545</v>
          </cell>
          <cell r="H221">
            <v>0</v>
          </cell>
        </row>
        <row r="222">
          <cell r="B222" t="str">
            <v>Tillage</v>
          </cell>
          <cell r="C222" t="str">
            <v>step0</v>
          </cell>
          <cell r="D222">
            <v>0</v>
          </cell>
          <cell r="E222">
            <v>9.8659793814432989E-2</v>
          </cell>
          <cell r="F222">
            <v>0.43114723696141771</v>
          </cell>
          <cell r="G222">
            <v>0.53576951114463867</v>
          </cell>
          <cell r="H222">
            <v>0</v>
          </cell>
        </row>
        <row r="223">
          <cell r="B223" t="str">
            <v>Tillage</v>
          </cell>
          <cell r="C223" t="str">
            <v>step0</v>
          </cell>
          <cell r="D223">
            <v>0</v>
          </cell>
          <cell r="E223">
            <v>2.2500000000000003E-3</v>
          </cell>
          <cell r="F223">
            <v>0</v>
          </cell>
          <cell r="G223">
            <v>8.6962635654630444E-2</v>
          </cell>
          <cell r="H223">
            <v>0</v>
          </cell>
        </row>
        <row r="224">
          <cell r="B224" t="str">
            <v>Brine</v>
          </cell>
          <cell r="C224" t="str">
            <v>step0</v>
          </cell>
          <cell r="D224">
            <v>0</v>
          </cell>
          <cell r="E224">
            <v>1.2500000000000001E-2</v>
          </cell>
          <cell r="F224">
            <v>0</v>
          </cell>
          <cell r="G224">
            <v>5.3033008588991071E-2</v>
          </cell>
          <cell r="H224">
            <v>0</v>
          </cell>
        </row>
        <row r="225">
          <cell r="B225" t="str">
            <v>BWF</v>
          </cell>
          <cell r="C225" t="str">
            <v>mp</v>
          </cell>
          <cell r="D225" t="e">
            <v>#N/A</v>
          </cell>
          <cell r="E225" t="e">
            <v>#N/A</v>
          </cell>
          <cell r="F225" t="e">
            <v>#N/A</v>
          </cell>
          <cell r="G225" t="e">
            <v>#N/A</v>
          </cell>
          <cell r="H225" t="e">
            <v>#N/A</v>
          </cell>
        </row>
        <row r="226">
          <cell r="B226" t="str">
            <v>MWF</v>
          </cell>
          <cell r="C226" t="str">
            <v>mp</v>
          </cell>
          <cell r="D226" t="e">
            <v>#N/A</v>
          </cell>
          <cell r="E226" t="e">
            <v>#N/A</v>
          </cell>
          <cell r="F226" t="e">
            <v>#N/A</v>
          </cell>
          <cell r="G226" t="e">
            <v>#N/A</v>
          </cell>
          <cell r="H226" t="e">
            <v>#N/A</v>
          </cell>
        </row>
        <row r="227">
          <cell r="B227" t="str">
            <v>SNPL_realistic</v>
          </cell>
          <cell r="C227" t="str">
            <v>mp</v>
          </cell>
          <cell r="D227" t="e">
            <v>#N/A</v>
          </cell>
          <cell r="E227" t="e">
            <v>#N/A</v>
          </cell>
          <cell r="F227" t="e">
            <v>#N/A</v>
          </cell>
          <cell r="G227" t="e">
            <v>#N/A</v>
          </cell>
          <cell r="H227" t="e">
            <v>#N/A</v>
          </cell>
        </row>
        <row r="228">
          <cell r="B228" t="str">
            <v>SNPL_with gravel</v>
          </cell>
          <cell r="C228" t="str">
            <v>mp</v>
          </cell>
          <cell r="D228" t="e">
            <v>#N/A</v>
          </cell>
          <cell r="E228" t="e">
            <v>#N/A</v>
          </cell>
          <cell r="F228" t="e">
            <v>#N/A</v>
          </cell>
          <cell r="G228" t="e">
            <v>#N/A</v>
          </cell>
          <cell r="H228" t="e">
            <v>#N/A</v>
          </cell>
        </row>
        <row r="229">
          <cell r="B229" t="str">
            <v>MSB</v>
          </cell>
          <cell r="C229" t="str">
            <v>mp</v>
          </cell>
          <cell r="D229" t="e">
            <v>#N/A</v>
          </cell>
          <cell r="E229" t="e">
            <v>#N/A</v>
          </cell>
          <cell r="F229" t="e">
            <v>#N/A</v>
          </cell>
          <cell r="G229" t="e">
            <v>#N/A</v>
          </cell>
          <cell r="H229" t="e">
            <v>#N/A</v>
          </cell>
        </row>
        <row r="230">
          <cell r="B230" t="str">
            <v>MWF and MSB</v>
          </cell>
          <cell r="C230" t="str">
            <v>mp</v>
          </cell>
          <cell r="D230" t="e">
            <v>#N/A</v>
          </cell>
          <cell r="E230" t="e">
            <v>#N/A</v>
          </cell>
          <cell r="F230" t="e">
            <v>#N/A</v>
          </cell>
          <cell r="G230" t="e">
            <v>#N/A</v>
          </cell>
          <cell r="H230" t="e">
            <v>#N/A</v>
          </cell>
        </row>
        <row r="231">
          <cell r="B231" t="str">
            <v>MSB and SNPL</v>
          </cell>
          <cell r="C231" t="str">
            <v>mp</v>
          </cell>
          <cell r="D231" t="e">
            <v>#N/A</v>
          </cell>
          <cell r="E231" t="e">
            <v>#N/A</v>
          </cell>
          <cell r="F231" t="e">
            <v>#N/A</v>
          </cell>
          <cell r="G231" t="e">
            <v>#N/A</v>
          </cell>
          <cell r="H231" t="e">
            <v>#N/A</v>
          </cell>
        </row>
        <row r="232">
          <cell r="B232" t="str">
            <v>MSB and SNPL_gravel</v>
          </cell>
          <cell r="C232" t="str">
            <v>mp</v>
          </cell>
          <cell r="D232" t="e">
            <v>#N/A</v>
          </cell>
          <cell r="E232" t="e">
            <v>#N/A</v>
          </cell>
          <cell r="F232" t="e">
            <v>#N/A</v>
          </cell>
          <cell r="G232" t="e">
            <v>#N/A</v>
          </cell>
          <cell r="H232" t="e">
            <v>#N/A</v>
          </cell>
        </row>
        <row r="233">
          <cell r="B233" t="str">
            <v>MSB and SNPL_gravel_MWF</v>
          </cell>
          <cell r="C233" t="str">
            <v>mp</v>
          </cell>
          <cell r="D233" t="e">
            <v>#N/A</v>
          </cell>
          <cell r="E233" t="e">
            <v>#N/A</v>
          </cell>
          <cell r="F233" t="e">
            <v>#N/A</v>
          </cell>
          <cell r="G233" t="e">
            <v>#N/A</v>
          </cell>
          <cell r="H233" t="e">
            <v>#N/A</v>
          </cell>
        </row>
        <row r="234">
          <cell r="B234" t="str">
            <v>MWF and SNPL</v>
          </cell>
          <cell r="C234" t="str">
            <v>mp</v>
          </cell>
          <cell r="D234" t="e">
            <v>#N/A</v>
          </cell>
          <cell r="E234" t="e">
            <v>#N/A</v>
          </cell>
          <cell r="F234" t="e">
            <v>#N/A</v>
          </cell>
          <cell r="G234" t="e">
            <v>#N/A</v>
          </cell>
          <cell r="H234" t="e">
            <v>#N/A</v>
          </cell>
        </row>
        <row r="235">
          <cell r="B235" t="str">
            <v>MWF and SNPL_with gravel</v>
          </cell>
          <cell r="C235" t="str">
            <v>mp</v>
          </cell>
          <cell r="D235" t="e">
            <v>#N/A</v>
          </cell>
          <cell r="E235" t="e">
            <v>#N/A</v>
          </cell>
          <cell r="F235" t="e">
            <v>#N/A</v>
          </cell>
          <cell r="G235" t="e">
            <v>#N/A</v>
          </cell>
          <cell r="H235" t="e">
            <v>#N/A</v>
          </cell>
        </row>
        <row r="236">
          <cell r="B236" t="str">
            <v>Breeding Waterfowl &amp; Meadow</v>
          </cell>
          <cell r="C236" t="str">
            <v>mp</v>
          </cell>
          <cell r="D236" t="e">
            <v>#N/A</v>
          </cell>
          <cell r="E236" t="e">
            <v>#N/A</v>
          </cell>
          <cell r="F236" t="e">
            <v>#N/A</v>
          </cell>
          <cell r="G236" t="e">
            <v>#N/A</v>
          </cell>
          <cell r="H236" t="e">
            <v>#N/A</v>
          </cell>
        </row>
        <row r="237">
          <cell r="B237" t="str">
            <v>BWF</v>
          </cell>
          <cell r="C237" t="str">
            <v>step0</v>
          </cell>
          <cell r="D237" t="e">
            <v>#N/A</v>
          </cell>
          <cell r="E237" t="e">
            <v>#N/A</v>
          </cell>
          <cell r="F237" t="e">
            <v>#N/A</v>
          </cell>
          <cell r="G237" t="e">
            <v>#N/A</v>
          </cell>
          <cell r="H237" t="e">
            <v>#N/A</v>
          </cell>
        </row>
        <row r="238">
          <cell r="B238" t="str">
            <v>MWF</v>
          </cell>
          <cell r="C238" t="str">
            <v>step0</v>
          </cell>
          <cell r="D238" t="e">
            <v>#N/A</v>
          </cell>
          <cell r="E238" t="e">
            <v>#N/A</v>
          </cell>
          <cell r="F238" t="e">
            <v>#N/A</v>
          </cell>
          <cell r="G238" t="e">
            <v>#N/A</v>
          </cell>
          <cell r="H238" t="e">
            <v>#N/A</v>
          </cell>
        </row>
        <row r="239">
          <cell r="B239" t="str">
            <v>SNPL_realistic</v>
          </cell>
          <cell r="C239" t="str">
            <v>step0</v>
          </cell>
          <cell r="D239" t="e">
            <v>#N/A</v>
          </cell>
          <cell r="E239" t="e">
            <v>#N/A</v>
          </cell>
          <cell r="F239" t="e">
            <v>#N/A</v>
          </cell>
          <cell r="G239" t="e">
            <v>#N/A</v>
          </cell>
          <cell r="H239" t="e">
            <v>#N/A</v>
          </cell>
        </row>
        <row r="240">
          <cell r="B240" t="str">
            <v>SNPL_with gravel</v>
          </cell>
          <cell r="C240" t="str">
            <v>step0</v>
          </cell>
          <cell r="D240" t="e">
            <v>#N/A</v>
          </cell>
          <cell r="E240" t="e">
            <v>#N/A</v>
          </cell>
          <cell r="F240" t="e">
            <v>#N/A</v>
          </cell>
          <cell r="G240" t="e">
            <v>#N/A</v>
          </cell>
          <cell r="H240" t="e">
            <v>#N/A</v>
          </cell>
        </row>
        <row r="241">
          <cell r="B241" t="str">
            <v>MSB</v>
          </cell>
          <cell r="C241" t="str">
            <v>step0</v>
          </cell>
          <cell r="D241" t="e">
            <v>#N/A</v>
          </cell>
          <cell r="E241" t="e">
            <v>#N/A</v>
          </cell>
          <cell r="F241" t="e">
            <v>#N/A</v>
          </cell>
          <cell r="G241" t="e">
            <v>#N/A</v>
          </cell>
          <cell r="H241" t="e">
            <v>#N/A</v>
          </cell>
        </row>
        <row r="242">
          <cell r="B242" t="str">
            <v>MWF and MSB</v>
          </cell>
          <cell r="C242" t="str">
            <v>step0</v>
          </cell>
          <cell r="D242" t="e">
            <v>#N/A</v>
          </cell>
          <cell r="E242" t="e">
            <v>#N/A</v>
          </cell>
          <cell r="F242" t="e">
            <v>#N/A</v>
          </cell>
          <cell r="G242" t="e">
            <v>#N/A</v>
          </cell>
          <cell r="H242" t="e">
            <v>#N/A</v>
          </cell>
        </row>
        <row r="243">
          <cell r="B243" t="str">
            <v>MSB and SNPL</v>
          </cell>
          <cell r="C243" t="str">
            <v>step0</v>
          </cell>
          <cell r="D243" t="e">
            <v>#N/A</v>
          </cell>
          <cell r="E243" t="e">
            <v>#N/A</v>
          </cell>
          <cell r="F243" t="e">
            <v>#N/A</v>
          </cell>
          <cell r="G243" t="e">
            <v>#N/A</v>
          </cell>
          <cell r="H243" t="e">
            <v>#N/A</v>
          </cell>
        </row>
        <row r="244">
          <cell r="B244" t="str">
            <v>MSB and SNPL_gravel</v>
          </cell>
          <cell r="C244" t="str">
            <v>step0</v>
          </cell>
          <cell r="D244" t="e">
            <v>#N/A</v>
          </cell>
          <cell r="E244" t="e">
            <v>#N/A</v>
          </cell>
          <cell r="F244" t="e">
            <v>#N/A</v>
          </cell>
          <cell r="G244" t="e">
            <v>#N/A</v>
          </cell>
          <cell r="H244" t="e">
            <v>#N/A</v>
          </cell>
        </row>
        <row r="245">
          <cell r="B245" t="str">
            <v>MSB and SNPL_gravel_MWF</v>
          </cell>
          <cell r="C245" t="str">
            <v>step0</v>
          </cell>
          <cell r="D245" t="e">
            <v>#N/A</v>
          </cell>
          <cell r="E245" t="e">
            <v>#N/A</v>
          </cell>
          <cell r="F245" t="e">
            <v>#N/A</v>
          </cell>
          <cell r="G245" t="e">
            <v>#N/A</v>
          </cell>
          <cell r="H245" t="e">
            <v>#N/A</v>
          </cell>
        </row>
        <row r="246">
          <cell r="B246" t="str">
            <v>MWF and SNPL</v>
          </cell>
          <cell r="C246" t="str">
            <v>step0</v>
          </cell>
          <cell r="D246" t="e">
            <v>#N/A</v>
          </cell>
          <cell r="E246" t="e">
            <v>#N/A</v>
          </cell>
          <cell r="F246" t="e">
            <v>#N/A</v>
          </cell>
          <cell r="G246" t="e">
            <v>#N/A</v>
          </cell>
          <cell r="H246" t="e">
            <v>#N/A</v>
          </cell>
        </row>
        <row r="247">
          <cell r="B247" t="str">
            <v>MWF and SNPL_with gravel</v>
          </cell>
          <cell r="C247" t="str">
            <v>step0</v>
          </cell>
          <cell r="D247" t="e">
            <v>#N/A</v>
          </cell>
          <cell r="E247" t="e">
            <v>#N/A</v>
          </cell>
          <cell r="F247" t="e">
            <v>#N/A</v>
          </cell>
          <cell r="G247" t="e">
            <v>#N/A</v>
          </cell>
          <cell r="H247" t="e">
            <v>#N/A</v>
          </cell>
        </row>
        <row r="248">
          <cell r="B248" t="str">
            <v>Breeding Waterfowl &amp; Meadow</v>
          </cell>
          <cell r="C248" t="str">
            <v>step0</v>
          </cell>
          <cell r="D248" t="e">
            <v>#N/A</v>
          </cell>
          <cell r="E248" t="e">
            <v>#N/A</v>
          </cell>
          <cell r="F248" t="e">
            <v>#N/A</v>
          </cell>
          <cell r="G248" t="e">
            <v>#N/A</v>
          </cell>
          <cell r="H248" t="e">
            <v>#N/A</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B1" zoomScaleNormal="100" workbookViewId="0">
      <pane ySplit="4" topLeftCell="A35" activePane="bottomLeft" state="frozen"/>
      <selection pane="bottomLeft" activeCell="V190" sqref="V190"/>
    </sheetView>
    <sheetView topLeftCell="A34" zoomScale="70" zoomScaleNormal="70" workbookViewId="1"/>
  </sheetViews>
  <sheetFormatPr defaultRowHeight="12.75" x14ac:dyDescent="0.2"/>
  <cols>
    <col min="1" max="1" width="9.140625" style="173"/>
    <col min="2" max="2" width="16.140625" style="174" customWidth="1"/>
    <col min="3" max="3" width="13.140625" style="174" customWidth="1"/>
    <col min="4" max="4" width="6.7109375" style="175" customWidth="1"/>
    <col min="5" max="5" width="10.28515625" style="174" customWidth="1"/>
    <col min="6" max="6" width="8.28515625" style="174" customWidth="1"/>
    <col min="7" max="7" width="8" style="174" customWidth="1"/>
    <col min="8" max="10" width="11.140625" style="174" bestFit="1" customWidth="1"/>
    <col min="11" max="24" width="12.140625" style="174" bestFit="1" customWidth="1"/>
    <col min="25" max="25" width="12.28515625" style="174" bestFit="1" customWidth="1"/>
    <col min="26" max="16384" width="9.140625" style="174"/>
  </cols>
  <sheetData>
    <row r="1" spans="1:25" x14ac:dyDescent="0.2">
      <c r="H1" s="176"/>
    </row>
    <row r="2" spans="1:25" ht="13.5" thickBot="1" x14ac:dyDescent="0.25"/>
    <row r="3" spans="1:25" ht="13.5" thickBot="1" x14ac:dyDescent="0.25">
      <c r="B3" s="545" t="s">
        <v>373</v>
      </c>
      <c r="C3" s="546"/>
      <c r="D3" s="177"/>
      <c r="E3" s="549" t="s">
        <v>374</v>
      </c>
      <c r="F3" s="551" t="s">
        <v>375</v>
      </c>
      <c r="G3" s="552"/>
      <c r="H3" s="552"/>
      <c r="I3" s="552"/>
      <c r="J3" s="552"/>
      <c r="K3" s="552"/>
      <c r="L3" s="552"/>
      <c r="M3" s="552"/>
      <c r="N3" s="552"/>
      <c r="O3" s="552"/>
      <c r="P3" s="552"/>
      <c r="Q3" s="552"/>
      <c r="R3" s="552"/>
      <c r="S3" s="552"/>
      <c r="T3" s="552"/>
      <c r="U3" s="552"/>
      <c r="V3" s="552"/>
      <c r="W3" s="552"/>
      <c r="X3" s="553"/>
    </row>
    <row r="4" spans="1:25" ht="13.5" thickBot="1" x14ac:dyDescent="0.25">
      <c r="B4" s="547"/>
      <c r="C4" s="548"/>
      <c r="D4" s="178" t="s">
        <v>376</v>
      </c>
      <c r="E4" s="550"/>
      <c r="F4" s="179" t="s">
        <v>377</v>
      </c>
      <c r="G4" s="180" t="s">
        <v>378</v>
      </c>
      <c r="H4" s="180" t="s">
        <v>379</v>
      </c>
      <c r="I4" s="180" t="s">
        <v>380</v>
      </c>
      <c r="J4" s="180" t="s">
        <v>381</v>
      </c>
      <c r="K4" s="180" t="s">
        <v>382</v>
      </c>
      <c r="L4" s="180" t="s">
        <v>383</v>
      </c>
      <c r="M4" s="180" t="s">
        <v>384</v>
      </c>
      <c r="N4" s="180" t="s">
        <v>385</v>
      </c>
      <c r="O4" s="180" t="s">
        <v>386</v>
      </c>
      <c r="P4" s="181" t="s">
        <v>387</v>
      </c>
      <c r="Q4" s="181" t="s">
        <v>388</v>
      </c>
      <c r="R4" s="181" t="s">
        <v>389</v>
      </c>
      <c r="S4" s="181" t="s">
        <v>390</v>
      </c>
      <c r="T4" s="181" t="s">
        <v>391</v>
      </c>
      <c r="U4" s="181" t="s">
        <v>392</v>
      </c>
      <c r="V4" s="181" t="s">
        <v>393</v>
      </c>
      <c r="W4" s="181" t="s">
        <v>532</v>
      </c>
      <c r="X4" s="182" t="s">
        <v>59</v>
      </c>
      <c r="Y4" s="183"/>
    </row>
    <row r="5" spans="1:25" hidden="1" x14ac:dyDescent="0.2">
      <c r="B5" s="554" t="s">
        <v>394</v>
      </c>
      <c r="C5" s="555"/>
      <c r="D5" s="184"/>
      <c r="E5" s="185"/>
      <c r="F5" s="186"/>
      <c r="G5" s="187"/>
      <c r="H5" s="187"/>
      <c r="I5" s="187"/>
      <c r="J5" s="187"/>
      <c r="K5" s="187"/>
      <c r="L5" s="187"/>
      <c r="M5" s="187"/>
      <c r="N5" s="187"/>
      <c r="O5" s="187"/>
      <c r="P5" s="188"/>
      <c r="Q5" s="188"/>
      <c r="R5" s="188"/>
      <c r="S5" s="188"/>
      <c r="T5" s="188"/>
      <c r="U5" s="188"/>
      <c r="V5" s="188"/>
      <c r="W5" s="189"/>
      <c r="X5" s="190">
        <f>SUM(F5:W5)</f>
        <v>0</v>
      </c>
      <c r="Y5" s="183"/>
    </row>
    <row r="6" spans="1:25" ht="25.5" hidden="1" x14ac:dyDescent="0.2">
      <c r="B6" s="191" t="s">
        <v>395</v>
      </c>
      <c r="C6" s="192">
        <v>244361824</v>
      </c>
      <c r="D6" s="193">
        <v>30</v>
      </c>
      <c r="E6" s="194" t="s">
        <v>396</v>
      </c>
      <c r="F6" s="195">
        <f>0.25*C6</f>
        <v>61090456</v>
      </c>
      <c r="G6" s="196"/>
      <c r="H6" s="196"/>
      <c r="I6" s="196"/>
      <c r="J6" s="196"/>
      <c r="K6" s="196"/>
      <c r="L6" s="196"/>
      <c r="M6" s="196"/>
      <c r="N6" s="196"/>
      <c r="O6" s="196"/>
      <c r="P6" s="197"/>
      <c r="Q6" s="197"/>
      <c r="R6" s="197"/>
      <c r="S6" s="197"/>
      <c r="T6" s="197"/>
      <c r="U6" s="197"/>
      <c r="V6" s="197"/>
      <c r="W6" s="198"/>
      <c r="X6" s="199">
        <f>SUM(F6:W6)</f>
        <v>61090456</v>
      </c>
      <c r="Y6" s="183"/>
    </row>
    <row r="7" spans="1:25" hidden="1" x14ac:dyDescent="0.2">
      <c r="B7" s="200" t="s">
        <v>397</v>
      </c>
      <c r="C7" s="201">
        <v>6.03</v>
      </c>
      <c r="D7" s="193">
        <v>37</v>
      </c>
      <c r="E7" s="194" t="s">
        <v>398</v>
      </c>
      <c r="F7" s="195">
        <f>F6*0.1</f>
        <v>6109045.6000000006</v>
      </c>
      <c r="G7" s="196"/>
      <c r="H7" s="196"/>
      <c r="I7" s="196"/>
      <c r="J7" s="196"/>
      <c r="K7" s="196"/>
      <c r="L7" s="196"/>
      <c r="M7" s="196"/>
      <c r="N7" s="196"/>
      <c r="O7" s="196"/>
      <c r="P7" s="197"/>
      <c r="Q7" s="197"/>
      <c r="R7" s="197"/>
      <c r="S7" s="197"/>
      <c r="T7" s="197"/>
      <c r="U7" s="197"/>
      <c r="V7" s="197"/>
      <c r="W7" s="198"/>
      <c r="X7" s="199">
        <f>SUM(F7:W7)</f>
        <v>6109045.6000000006</v>
      </c>
      <c r="Y7" s="183"/>
    </row>
    <row r="8" spans="1:25" ht="51" hidden="1" x14ac:dyDescent="0.2">
      <c r="B8" s="202"/>
      <c r="C8" s="202"/>
      <c r="D8" s="203">
        <v>37</v>
      </c>
      <c r="E8" s="194" t="s">
        <v>399</v>
      </c>
      <c r="F8" s="204">
        <f>F6*0.05</f>
        <v>3054522.8000000003</v>
      </c>
      <c r="G8" s="205"/>
      <c r="H8" s="205"/>
      <c r="I8" s="205"/>
      <c r="J8" s="205"/>
      <c r="K8" s="205"/>
      <c r="L8" s="205"/>
      <c r="M8" s="205"/>
      <c r="N8" s="205"/>
      <c r="O8" s="205"/>
      <c r="P8" s="206"/>
      <c r="Q8" s="206"/>
      <c r="R8" s="206"/>
      <c r="S8" s="206"/>
      <c r="T8" s="206"/>
      <c r="U8" s="206"/>
      <c r="V8" s="206"/>
      <c r="W8" s="207"/>
      <c r="X8" s="208">
        <f>SUM(F8:W8)</f>
        <v>3054522.8000000003</v>
      </c>
      <c r="Y8" s="183"/>
    </row>
    <row r="9" spans="1:25" ht="13.5" hidden="1" thickBot="1" x14ac:dyDescent="0.25">
      <c r="B9" s="209"/>
      <c r="C9" s="209"/>
      <c r="D9" s="210"/>
      <c r="E9" s="211"/>
      <c r="F9" s="212"/>
      <c r="G9" s="213"/>
      <c r="H9" s="213"/>
      <c r="I9" s="213"/>
      <c r="J9" s="213"/>
      <c r="K9" s="213"/>
      <c r="L9" s="213"/>
      <c r="M9" s="213"/>
      <c r="N9" s="213"/>
      <c r="O9" s="213"/>
      <c r="P9" s="214"/>
      <c r="Q9" s="214"/>
      <c r="R9" s="214"/>
      <c r="S9" s="214"/>
      <c r="T9" s="214"/>
      <c r="U9" s="214"/>
      <c r="V9" s="214"/>
      <c r="W9" s="215"/>
      <c r="X9" s="216">
        <f>SUM(F9:W9)</f>
        <v>0</v>
      </c>
      <c r="Y9" s="183"/>
    </row>
    <row r="10" spans="1:25" ht="13.5" hidden="1" thickBot="1" x14ac:dyDescent="0.25">
      <c r="B10" s="556" t="s">
        <v>400</v>
      </c>
      <c r="C10" s="557"/>
      <c r="D10" s="558"/>
      <c r="E10" s="217"/>
      <c r="F10" s="218">
        <f t="shared" ref="F10:X10" si="0">SUM(F5:F9)</f>
        <v>70254024.399999991</v>
      </c>
      <c r="G10" s="219">
        <f t="shared" si="0"/>
        <v>0</v>
      </c>
      <c r="H10" s="219">
        <f t="shared" si="0"/>
        <v>0</v>
      </c>
      <c r="I10" s="219">
        <f t="shared" si="0"/>
        <v>0</v>
      </c>
      <c r="J10" s="219">
        <f t="shared" si="0"/>
        <v>0</v>
      </c>
      <c r="K10" s="219">
        <f t="shared" si="0"/>
        <v>0</v>
      </c>
      <c r="L10" s="219">
        <f t="shared" si="0"/>
        <v>0</v>
      </c>
      <c r="M10" s="219">
        <f t="shared" si="0"/>
        <v>0</v>
      </c>
      <c r="N10" s="219">
        <f t="shared" si="0"/>
        <v>0</v>
      </c>
      <c r="O10" s="219">
        <f t="shared" si="0"/>
        <v>0</v>
      </c>
      <c r="P10" s="220">
        <f t="shared" si="0"/>
        <v>0</v>
      </c>
      <c r="Q10" s="220">
        <f t="shared" si="0"/>
        <v>0</v>
      </c>
      <c r="R10" s="220">
        <f t="shared" si="0"/>
        <v>0</v>
      </c>
      <c r="S10" s="220">
        <f t="shared" si="0"/>
        <v>0</v>
      </c>
      <c r="T10" s="220">
        <f t="shared" si="0"/>
        <v>0</v>
      </c>
      <c r="U10" s="220">
        <f t="shared" si="0"/>
        <v>0</v>
      </c>
      <c r="V10" s="220"/>
      <c r="W10" s="221">
        <f t="shared" si="0"/>
        <v>0</v>
      </c>
      <c r="X10" s="222">
        <f t="shared" si="0"/>
        <v>70254024.399999991</v>
      </c>
      <c r="Y10" s="183"/>
    </row>
    <row r="11" spans="1:25" ht="13.5" hidden="1" thickTop="1" x14ac:dyDescent="0.2">
      <c r="B11" s="559" t="s">
        <v>401</v>
      </c>
      <c r="C11" s="560"/>
      <c r="D11" s="223">
        <v>10</v>
      </c>
      <c r="E11" s="224"/>
      <c r="F11" s="225"/>
      <c r="G11" s="226"/>
      <c r="H11" s="226">
        <v>408700</v>
      </c>
      <c r="I11" s="226"/>
      <c r="J11" s="226"/>
      <c r="K11" s="226"/>
      <c r="L11" s="226"/>
      <c r="M11" s="226"/>
      <c r="N11" s="226"/>
      <c r="O11" s="226"/>
      <c r="P11" s="227"/>
      <c r="Q11" s="227"/>
      <c r="R11" s="227"/>
      <c r="S11" s="227"/>
      <c r="T11" s="227"/>
      <c r="U11" s="227"/>
      <c r="V11" s="227"/>
      <c r="W11" s="228"/>
      <c r="X11" s="229">
        <f>SUM(F11:W11)</f>
        <v>408700</v>
      </c>
      <c r="Y11" s="183"/>
    </row>
    <row r="12" spans="1:25" ht="25.5" hidden="1" x14ac:dyDescent="0.2">
      <c r="B12" s="230" t="s">
        <v>395</v>
      </c>
      <c r="C12" s="231">
        <f>SUM(X11:X15)</f>
        <v>266654276.31</v>
      </c>
      <c r="D12" s="232">
        <v>30</v>
      </c>
      <c r="E12" s="233" t="s">
        <v>396</v>
      </c>
      <c r="F12" s="234">
        <v>72580747</v>
      </c>
      <c r="G12" s="235">
        <v>108695109</v>
      </c>
      <c r="H12" s="235">
        <v>60000000</v>
      </c>
      <c r="I12" s="235"/>
      <c r="J12" s="235"/>
      <c r="K12" s="235"/>
      <c r="L12" s="235"/>
      <c r="M12" s="235"/>
      <c r="N12" s="235"/>
      <c r="O12" s="235"/>
      <c r="P12" s="236"/>
      <c r="Q12" s="236"/>
      <c r="R12" s="236"/>
      <c r="S12" s="236"/>
      <c r="T12" s="236"/>
      <c r="U12" s="236"/>
      <c r="V12" s="236"/>
      <c r="W12" s="237"/>
      <c r="X12" s="238">
        <f>SUM(F12:W12)</f>
        <v>241275856</v>
      </c>
      <c r="Y12" s="183"/>
    </row>
    <row r="13" spans="1:25" hidden="1" x14ac:dyDescent="0.2">
      <c r="B13" s="239" t="s">
        <v>397</v>
      </c>
      <c r="C13" s="240">
        <v>5.3949999999999996</v>
      </c>
      <c r="D13" s="232">
        <v>37</v>
      </c>
      <c r="E13" s="233" t="s">
        <v>398</v>
      </c>
      <c r="F13" s="234"/>
      <c r="G13" s="235">
        <v>3619215</v>
      </c>
      <c r="H13" s="235"/>
      <c r="I13" s="235"/>
      <c r="J13" s="235"/>
      <c r="K13" s="235"/>
      <c r="L13" s="235"/>
      <c r="M13" s="235"/>
      <c r="N13" s="235"/>
      <c r="O13" s="235"/>
      <c r="P13" s="236"/>
      <c r="Q13" s="236"/>
      <c r="R13" s="236"/>
      <c r="S13" s="236"/>
      <c r="T13" s="236"/>
      <c r="U13" s="236"/>
      <c r="V13" s="236"/>
      <c r="W13" s="237"/>
      <c r="X13" s="238">
        <f>SUM(F13:W13)</f>
        <v>3619215</v>
      </c>
      <c r="Y13" s="183"/>
    </row>
    <row r="14" spans="1:25" ht="51" hidden="1" x14ac:dyDescent="0.2">
      <c r="B14" s="239" t="s">
        <v>402</v>
      </c>
      <c r="C14" s="241"/>
      <c r="D14" s="242">
        <v>37</v>
      </c>
      <c r="E14" s="233" t="s">
        <v>399</v>
      </c>
      <c r="F14" s="234">
        <v>1889354.3100000005</v>
      </c>
      <c r="G14" s="235">
        <f>7561151+4000000</f>
        <v>11561151</v>
      </c>
      <c r="H14" s="235">
        <v>6000000</v>
      </c>
      <c r="I14" s="235"/>
      <c r="J14" s="235"/>
      <c r="K14" s="235"/>
      <c r="L14" s="235"/>
      <c r="M14" s="235"/>
      <c r="N14" s="235"/>
      <c r="O14" s="235"/>
      <c r="P14" s="236"/>
      <c r="Q14" s="236"/>
      <c r="R14" s="236"/>
      <c r="S14" s="236"/>
      <c r="T14" s="236"/>
      <c r="U14" s="236"/>
      <c r="V14" s="236"/>
      <c r="W14" s="237"/>
      <c r="X14" s="238">
        <f>SUM(F14:W14)</f>
        <v>19450505.310000002</v>
      </c>
      <c r="Y14" s="183"/>
    </row>
    <row r="15" spans="1:25" ht="13.5" hidden="1" thickBot="1" x14ac:dyDescent="0.25">
      <c r="B15" s="243"/>
      <c r="C15" s="243"/>
      <c r="D15" s="244">
        <v>41</v>
      </c>
      <c r="E15" s="245" t="s">
        <v>403</v>
      </c>
      <c r="F15" s="246"/>
      <c r="G15" s="247">
        <v>1700000</v>
      </c>
      <c r="H15" s="247">
        <v>200000</v>
      </c>
      <c r="I15" s="247"/>
      <c r="J15" s="247"/>
      <c r="K15" s="247"/>
      <c r="L15" s="247"/>
      <c r="M15" s="247"/>
      <c r="N15" s="247"/>
      <c r="O15" s="247"/>
      <c r="P15" s="248"/>
      <c r="Q15" s="248"/>
      <c r="R15" s="248"/>
      <c r="S15" s="248"/>
      <c r="T15" s="248"/>
      <c r="U15" s="248"/>
      <c r="V15" s="248"/>
      <c r="W15" s="249"/>
      <c r="X15" s="250">
        <f>SUM(F15:W15)</f>
        <v>1900000</v>
      </c>
      <c r="Y15" s="251"/>
    </row>
    <row r="16" spans="1:25" s="260" customFormat="1" ht="13.5" hidden="1" thickBot="1" x14ac:dyDescent="0.25">
      <c r="A16" s="252"/>
      <c r="B16" s="561" t="s">
        <v>400</v>
      </c>
      <c r="C16" s="562"/>
      <c r="D16" s="563"/>
      <c r="E16" s="253"/>
      <c r="F16" s="254">
        <f>SUM(F11:F15)</f>
        <v>74470101.310000002</v>
      </c>
      <c r="G16" s="255">
        <f t="shared" ref="G16:X16" si="1">SUM(G11:G15)</f>
        <v>125575475</v>
      </c>
      <c r="H16" s="255">
        <f t="shared" si="1"/>
        <v>66608700</v>
      </c>
      <c r="I16" s="255">
        <f t="shared" si="1"/>
        <v>0</v>
      </c>
      <c r="J16" s="255">
        <f t="shared" si="1"/>
        <v>0</v>
      </c>
      <c r="K16" s="255">
        <f t="shared" si="1"/>
        <v>0</v>
      </c>
      <c r="L16" s="255">
        <f t="shared" si="1"/>
        <v>0</v>
      </c>
      <c r="M16" s="255">
        <f t="shared" si="1"/>
        <v>0</v>
      </c>
      <c r="N16" s="255">
        <f t="shared" si="1"/>
        <v>0</v>
      </c>
      <c r="O16" s="255">
        <f t="shared" si="1"/>
        <v>0</v>
      </c>
      <c r="P16" s="256">
        <f t="shared" si="1"/>
        <v>0</v>
      </c>
      <c r="Q16" s="256">
        <f t="shared" si="1"/>
        <v>0</v>
      </c>
      <c r="R16" s="256">
        <f t="shared" si="1"/>
        <v>0</v>
      </c>
      <c r="S16" s="256">
        <f t="shared" si="1"/>
        <v>0</v>
      </c>
      <c r="T16" s="256">
        <f t="shared" si="1"/>
        <v>0</v>
      </c>
      <c r="U16" s="256">
        <f t="shared" si="1"/>
        <v>0</v>
      </c>
      <c r="V16" s="256"/>
      <c r="W16" s="257">
        <f t="shared" si="1"/>
        <v>0</v>
      </c>
      <c r="X16" s="258">
        <f t="shared" si="1"/>
        <v>266654276.31</v>
      </c>
      <c r="Y16" s="259"/>
    </row>
    <row r="17" spans="2:25" ht="13.5" hidden="1" thickTop="1" x14ac:dyDescent="0.2">
      <c r="B17" s="564" t="s">
        <v>404</v>
      </c>
      <c r="C17" s="565"/>
      <c r="D17" s="261">
        <v>10</v>
      </c>
      <c r="E17" s="262"/>
      <c r="F17" s="263"/>
      <c r="G17" s="264"/>
      <c r="H17" s="264">
        <v>200000</v>
      </c>
      <c r="I17" s="264">
        <v>500000</v>
      </c>
      <c r="J17" s="264"/>
      <c r="K17" s="264"/>
      <c r="L17" s="264"/>
      <c r="M17" s="264"/>
      <c r="N17" s="264"/>
      <c r="O17" s="264"/>
      <c r="P17" s="265"/>
      <c r="Q17" s="265"/>
      <c r="R17" s="265"/>
      <c r="S17" s="265"/>
      <c r="T17" s="265"/>
      <c r="U17" s="265"/>
      <c r="V17" s="265"/>
      <c r="W17" s="266"/>
      <c r="X17" s="267">
        <f>SUM(F17:W17)</f>
        <v>700000</v>
      </c>
      <c r="Y17" s="183"/>
    </row>
    <row r="18" spans="2:25" ht="25.5" hidden="1" x14ac:dyDescent="0.2">
      <c r="B18" s="268" t="s">
        <v>395</v>
      </c>
      <c r="C18" s="269">
        <f>SUM(X17:X21)</f>
        <v>35270000</v>
      </c>
      <c r="D18" s="270">
        <v>30</v>
      </c>
      <c r="E18" s="271" t="s">
        <v>396</v>
      </c>
      <c r="F18" s="272"/>
      <c r="G18" s="273"/>
      <c r="H18" s="273">
        <v>15000000</v>
      </c>
      <c r="I18" s="273">
        <v>8000000</v>
      </c>
      <c r="J18" s="273"/>
      <c r="K18" s="273"/>
      <c r="L18" s="273"/>
      <c r="M18" s="273"/>
      <c r="N18" s="273"/>
      <c r="O18" s="273"/>
      <c r="P18" s="274"/>
      <c r="Q18" s="274"/>
      <c r="R18" s="274"/>
      <c r="S18" s="274"/>
      <c r="T18" s="274"/>
      <c r="U18" s="274"/>
      <c r="V18" s="274"/>
      <c r="W18" s="275"/>
      <c r="X18" s="276">
        <f>SUM(F18:W18)</f>
        <v>23000000</v>
      </c>
      <c r="Y18" s="183"/>
    </row>
    <row r="19" spans="2:25" hidden="1" x14ac:dyDescent="0.2">
      <c r="B19" s="277" t="s">
        <v>397</v>
      </c>
      <c r="C19" s="278"/>
      <c r="D19" s="270">
        <v>37</v>
      </c>
      <c r="E19" s="271" t="s">
        <v>398</v>
      </c>
      <c r="F19" s="272"/>
      <c r="G19" s="273"/>
      <c r="H19" s="273">
        <v>1400000</v>
      </c>
      <c r="I19" s="273">
        <f>3170000-H19</f>
        <v>1770000</v>
      </c>
      <c r="J19" s="273"/>
      <c r="K19" s="273"/>
      <c r="L19" s="273"/>
      <c r="M19" s="273"/>
      <c r="N19" s="273"/>
      <c r="O19" s="273"/>
      <c r="P19" s="274"/>
      <c r="Q19" s="274"/>
      <c r="R19" s="274"/>
      <c r="S19" s="274"/>
      <c r="T19" s="274"/>
      <c r="U19" s="274"/>
      <c r="V19" s="274"/>
      <c r="W19" s="275"/>
      <c r="X19" s="276">
        <f>SUM(F19:W19)</f>
        <v>3170000</v>
      </c>
      <c r="Y19" s="183"/>
    </row>
    <row r="20" spans="2:25" ht="51" hidden="1" x14ac:dyDescent="0.2">
      <c r="B20" s="279" t="s">
        <v>402</v>
      </c>
      <c r="C20" s="279"/>
      <c r="D20" s="280">
        <v>37</v>
      </c>
      <c r="E20" s="271" t="s">
        <v>399</v>
      </c>
      <c r="F20" s="272"/>
      <c r="G20" s="273"/>
      <c r="H20" s="273">
        <f>400000*7</f>
        <v>2800000</v>
      </c>
      <c r="I20" s="273">
        <f>5000000-H20</f>
        <v>2200000</v>
      </c>
      <c r="J20" s="273"/>
      <c r="K20" s="273"/>
      <c r="L20" s="273"/>
      <c r="M20" s="273"/>
      <c r="N20" s="273"/>
      <c r="O20" s="273"/>
      <c r="P20" s="274"/>
      <c r="Q20" s="274"/>
      <c r="R20" s="274"/>
      <c r="S20" s="274"/>
      <c r="T20" s="274"/>
      <c r="U20" s="274"/>
      <c r="V20" s="274"/>
      <c r="W20" s="275"/>
      <c r="X20" s="276">
        <f>SUM(F20:W20)</f>
        <v>5000000</v>
      </c>
      <c r="Y20" s="183"/>
    </row>
    <row r="21" spans="2:25" ht="13.5" hidden="1" thickBot="1" x14ac:dyDescent="0.25">
      <c r="B21" s="281"/>
      <c r="C21" s="281"/>
      <c r="D21" s="282">
        <v>37</v>
      </c>
      <c r="E21" s="283" t="s">
        <v>405</v>
      </c>
      <c r="F21" s="284"/>
      <c r="G21" s="285"/>
      <c r="H21" s="285">
        <f>150000*7</f>
        <v>1050000</v>
      </c>
      <c r="I21" s="285">
        <f>2400000-H21+1000000</f>
        <v>2350000</v>
      </c>
      <c r="J21" s="285"/>
      <c r="K21" s="285"/>
      <c r="L21" s="285"/>
      <c r="M21" s="285"/>
      <c r="N21" s="285"/>
      <c r="O21" s="285"/>
      <c r="P21" s="286"/>
      <c r="Q21" s="286"/>
      <c r="R21" s="286"/>
      <c r="S21" s="286"/>
      <c r="T21" s="286"/>
      <c r="U21" s="286"/>
      <c r="V21" s="286"/>
      <c r="W21" s="287"/>
      <c r="X21" s="288">
        <f>SUM(F21:W21)</f>
        <v>3400000</v>
      </c>
      <c r="Y21" s="183"/>
    </row>
    <row r="22" spans="2:25" ht="13.5" hidden="1" thickBot="1" x14ac:dyDescent="0.25">
      <c r="B22" s="566" t="s">
        <v>400</v>
      </c>
      <c r="C22" s="567"/>
      <c r="D22" s="567"/>
      <c r="E22" s="289"/>
      <c r="F22" s="290">
        <f>SUM(F17:F21)</f>
        <v>0</v>
      </c>
      <c r="G22" s="291">
        <f t="shared" ref="G22:X22" si="2">SUM(G17:G21)</f>
        <v>0</v>
      </c>
      <c r="H22" s="291">
        <f t="shared" si="2"/>
        <v>20450000</v>
      </c>
      <c r="I22" s="291">
        <f t="shared" si="2"/>
        <v>14820000</v>
      </c>
      <c r="J22" s="291">
        <f t="shared" si="2"/>
        <v>0</v>
      </c>
      <c r="K22" s="291">
        <f t="shared" si="2"/>
        <v>0</v>
      </c>
      <c r="L22" s="291">
        <f t="shared" si="2"/>
        <v>0</v>
      </c>
      <c r="M22" s="291">
        <f t="shared" si="2"/>
        <v>0</v>
      </c>
      <c r="N22" s="291">
        <f t="shared" si="2"/>
        <v>0</v>
      </c>
      <c r="O22" s="291">
        <f t="shared" si="2"/>
        <v>0</v>
      </c>
      <c r="P22" s="291">
        <f t="shared" si="2"/>
        <v>0</v>
      </c>
      <c r="Q22" s="291">
        <f t="shared" si="2"/>
        <v>0</v>
      </c>
      <c r="R22" s="291">
        <f t="shared" si="2"/>
        <v>0</v>
      </c>
      <c r="S22" s="291">
        <f t="shared" si="2"/>
        <v>0</v>
      </c>
      <c r="T22" s="291">
        <f t="shared" si="2"/>
        <v>0</v>
      </c>
      <c r="U22" s="291">
        <f t="shared" si="2"/>
        <v>0</v>
      </c>
      <c r="V22" s="456"/>
      <c r="W22" s="292">
        <f t="shared" si="2"/>
        <v>0</v>
      </c>
      <c r="X22" s="293">
        <f t="shared" si="2"/>
        <v>35270000</v>
      </c>
      <c r="Y22" s="183"/>
    </row>
    <row r="23" spans="2:25" ht="14.25" thickTop="1" thickBot="1" x14ac:dyDescent="0.25">
      <c r="B23" s="568" t="s">
        <v>406</v>
      </c>
      <c r="C23" s="569"/>
      <c r="D23" s="569"/>
      <c r="E23" s="569"/>
      <c r="F23" s="570"/>
      <c r="G23" s="570"/>
      <c r="H23" s="570"/>
      <c r="I23" s="570"/>
      <c r="J23" s="570"/>
      <c r="K23" s="570"/>
      <c r="L23" s="570"/>
      <c r="M23" s="570"/>
      <c r="N23" s="570"/>
      <c r="O23" s="570"/>
      <c r="P23" s="570"/>
      <c r="Q23" s="570"/>
      <c r="R23" s="570"/>
      <c r="S23" s="570"/>
      <c r="T23" s="570"/>
      <c r="U23" s="570"/>
      <c r="V23" s="570"/>
      <c r="W23" s="570"/>
      <c r="X23" s="571"/>
      <c r="Y23" s="183"/>
    </row>
    <row r="24" spans="2:25" x14ac:dyDescent="0.2">
      <c r="B24" s="537" t="s">
        <v>407</v>
      </c>
      <c r="C24" s="538"/>
      <c r="D24" s="294">
        <v>10</v>
      </c>
      <c r="E24" s="295" t="s">
        <v>408</v>
      </c>
      <c r="F24" s="296"/>
      <c r="G24" s="297"/>
      <c r="H24" s="297">
        <v>500000</v>
      </c>
      <c r="I24" s="297">
        <v>1000000</v>
      </c>
      <c r="J24" s="297">
        <v>1000000</v>
      </c>
      <c r="K24" s="297">
        <v>500000</v>
      </c>
      <c r="L24" s="297">
        <v>500000</v>
      </c>
      <c r="M24" s="297"/>
      <c r="N24" s="297"/>
      <c r="O24" s="297"/>
      <c r="P24" s="298"/>
      <c r="Q24" s="298"/>
      <c r="R24" s="298"/>
      <c r="S24" s="298"/>
      <c r="T24" s="298"/>
      <c r="U24" s="298"/>
      <c r="V24" s="298"/>
      <c r="W24" s="299"/>
      <c r="X24" s="300">
        <f>SUM(F24:W24)</f>
        <v>3500000</v>
      </c>
      <c r="Y24" s="183"/>
    </row>
    <row r="25" spans="2:25" ht="38.25" x14ac:dyDescent="0.2">
      <c r="B25" s="301" t="s">
        <v>409</v>
      </c>
      <c r="C25" s="302">
        <f>'Area Summary'!C30*1.4*1000000</f>
        <v>154896875</v>
      </c>
      <c r="D25" s="303">
        <v>37</v>
      </c>
      <c r="E25" s="295" t="s">
        <v>410</v>
      </c>
      <c r="F25" s="296"/>
      <c r="G25" s="297"/>
      <c r="H25" s="297">
        <v>1000000</v>
      </c>
      <c r="I25" s="297">
        <v>1000000</v>
      </c>
      <c r="J25" s="297">
        <v>1000000</v>
      </c>
      <c r="K25" s="297">
        <v>500000</v>
      </c>
      <c r="L25" s="297"/>
      <c r="M25" s="297"/>
      <c r="N25" s="304"/>
      <c r="O25" s="304"/>
      <c r="P25" s="305"/>
      <c r="Q25" s="305"/>
      <c r="R25" s="305"/>
      <c r="S25" s="305"/>
      <c r="T25" s="305"/>
      <c r="U25" s="305"/>
      <c r="V25" s="305"/>
      <c r="W25" s="306"/>
      <c r="X25" s="300">
        <f t="shared" ref="X25:X40" si="3">SUM(F25:W25)</f>
        <v>3500000</v>
      </c>
      <c r="Y25" s="183"/>
    </row>
    <row r="26" spans="2:25" ht="25.5" x14ac:dyDescent="0.2">
      <c r="B26" s="307" t="s">
        <v>397</v>
      </c>
      <c r="C26" s="455">
        <f>MP_new!H5+MP_new!I5</f>
        <v>0</v>
      </c>
      <c r="D26" s="308">
        <v>30</v>
      </c>
      <c r="E26" s="309" t="s">
        <v>396</v>
      </c>
      <c r="F26" s="310"/>
      <c r="G26" s="304"/>
      <c r="H26" s="311"/>
      <c r="I26" s="304"/>
      <c r="J26" s="304">
        <f>$C25*0.25</f>
        <v>38724218.75</v>
      </c>
      <c r="K26" s="304">
        <f>$C25*0.5</f>
        <v>77448437.5</v>
      </c>
      <c r="L26" s="304">
        <f>$C25*0.25</f>
        <v>38724218.75</v>
      </c>
      <c r="M26" s="304"/>
      <c r="N26" s="304"/>
      <c r="O26" s="304"/>
      <c r="P26" s="305"/>
      <c r="Q26" s="305"/>
      <c r="R26" s="305"/>
      <c r="S26" s="305"/>
      <c r="T26" s="305"/>
      <c r="U26" s="305"/>
      <c r="V26" s="305"/>
      <c r="W26" s="306"/>
      <c r="X26" s="300">
        <f>SUM(F26:W26)</f>
        <v>154896875</v>
      </c>
      <c r="Y26" s="183"/>
    </row>
    <row r="27" spans="2:25" x14ac:dyDescent="0.2">
      <c r="B27" s="312" t="s">
        <v>402</v>
      </c>
      <c r="C27" s="312"/>
      <c r="D27" s="308">
        <v>37</v>
      </c>
      <c r="E27" s="313" t="s">
        <v>398</v>
      </c>
      <c r="F27" s="310"/>
      <c r="G27" s="304"/>
      <c r="H27" s="304"/>
      <c r="I27" s="304">
        <f>$C25*0.01</f>
        <v>1548968.75</v>
      </c>
      <c r="J27" s="304">
        <f>$C25*0.01</f>
        <v>1548968.75</v>
      </c>
      <c r="K27" s="304">
        <f>$C25*0.01</f>
        <v>1548968.75</v>
      </c>
      <c r="L27" s="304">
        <f>$C25*0.01</f>
        <v>1548968.75</v>
      </c>
      <c r="M27" s="304"/>
      <c r="N27" s="304"/>
      <c r="O27" s="304"/>
      <c r="P27" s="305"/>
      <c r="Q27" s="305"/>
      <c r="R27" s="305"/>
      <c r="S27" s="305"/>
      <c r="T27" s="305"/>
      <c r="U27" s="305"/>
      <c r="V27" s="305"/>
      <c r="W27" s="306"/>
      <c r="X27" s="300">
        <f t="shared" si="3"/>
        <v>6195875</v>
      </c>
      <c r="Y27" s="183"/>
    </row>
    <row r="28" spans="2:25" ht="51" x14ac:dyDescent="0.2">
      <c r="B28" s="314"/>
      <c r="C28" s="314"/>
      <c r="D28" s="315">
        <v>37</v>
      </c>
      <c r="E28" s="309" t="s">
        <v>399</v>
      </c>
      <c r="F28" s="310"/>
      <c r="G28" s="304"/>
      <c r="H28" s="311"/>
      <c r="I28" s="304"/>
      <c r="J28" s="304">
        <f>$C25*0.02</f>
        <v>3097937.5</v>
      </c>
      <c r="K28" s="304">
        <f>$C25*0.02</f>
        <v>3097937.5</v>
      </c>
      <c r="L28" s="304">
        <f>$C25*0.02</f>
        <v>3097937.5</v>
      </c>
      <c r="M28" s="304"/>
      <c r="N28" s="316"/>
      <c r="O28" s="316"/>
      <c r="P28" s="317"/>
      <c r="Q28" s="317"/>
      <c r="R28" s="317"/>
      <c r="S28" s="317"/>
      <c r="T28" s="317"/>
      <c r="U28" s="317"/>
      <c r="V28" s="317"/>
      <c r="W28" s="318"/>
      <c r="X28" s="300">
        <f t="shared" si="3"/>
        <v>9293812.5</v>
      </c>
      <c r="Y28" s="183"/>
    </row>
    <row r="29" spans="2:25" ht="26.25" thickBot="1" x14ac:dyDescent="0.25">
      <c r="B29" s="319"/>
      <c r="C29" s="319"/>
      <c r="D29" s="320">
        <v>41</v>
      </c>
      <c r="E29" s="321" t="s">
        <v>411</v>
      </c>
      <c r="F29" s="322"/>
      <c r="G29" s="323"/>
      <c r="H29" s="324"/>
      <c r="I29" s="323">
        <v>300000</v>
      </c>
      <c r="J29" s="323">
        <v>1000000</v>
      </c>
      <c r="K29" s="323">
        <v>1000000</v>
      </c>
      <c r="L29" s="323">
        <v>1000000</v>
      </c>
      <c r="M29" s="323"/>
      <c r="N29" s="323"/>
      <c r="O29" s="323"/>
      <c r="P29" s="325"/>
      <c r="Q29" s="325"/>
      <c r="R29" s="325"/>
      <c r="S29" s="325"/>
      <c r="T29" s="325"/>
      <c r="U29" s="325"/>
      <c r="V29" s="325"/>
      <c r="W29" s="326"/>
      <c r="X29" s="327">
        <f t="shared" si="3"/>
        <v>3300000</v>
      </c>
      <c r="Y29" s="328">
        <f>SUM(X24:X29)</f>
        <v>180686562.5</v>
      </c>
    </row>
    <row r="30" spans="2:25" x14ac:dyDescent="0.2">
      <c r="B30" s="537" t="s">
        <v>412</v>
      </c>
      <c r="C30" s="538"/>
      <c r="D30" s="294">
        <v>10</v>
      </c>
      <c r="E30" s="295" t="s">
        <v>408</v>
      </c>
      <c r="F30" s="296"/>
      <c r="G30" s="297"/>
      <c r="H30" s="297"/>
      <c r="I30" s="297"/>
      <c r="J30" s="297"/>
      <c r="K30" s="297">
        <v>500000</v>
      </c>
      <c r="L30" s="297">
        <v>1000000</v>
      </c>
      <c r="M30" s="297">
        <v>1000000</v>
      </c>
      <c r="N30" s="297">
        <v>500000</v>
      </c>
      <c r="O30" s="297">
        <v>500000</v>
      </c>
      <c r="P30" s="297"/>
      <c r="Q30" s="298"/>
      <c r="R30" s="298"/>
      <c r="S30" s="298"/>
      <c r="T30" s="298"/>
      <c r="U30" s="298"/>
      <c r="V30" s="298"/>
      <c r="W30" s="299"/>
      <c r="X30" s="300">
        <f t="shared" si="3"/>
        <v>3500000</v>
      </c>
      <c r="Y30" s="183"/>
    </row>
    <row r="31" spans="2:25" ht="38.25" x14ac:dyDescent="0.2">
      <c r="B31" s="301" t="s">
        <v>409</v>
      </c>
      <c r="C31" s="302">
        <f>'Area Summary'!D30*1.4*1000000</f>
        <v>148931562.49999997</v>
      </c>
      <c r="D31" s="303">
        <v>37</v>
      </c>
      <c r="E31" s="295" t="s">
        <v>410</v>
      </c>
      <c r="F31" s="296"/>
      <c r="G31" s="297"/>
      <c r="H31" s="297"/>
      <c r="I31" s="297"/>
      <c r="J31" s="297"/>
      <c r="K31" s="297">
        <v>1000000</v>
      </c>
      <c r="L31" s="297">
        <v>1000000</v>
      </c>
      <c r="M31" s="297">
        <v>1000000</v>
      </c>
      <c r="N31" s="297">
        <v>500000</v>
      </c>
      <c r="O31" s="297"/>
      <c r="P31" s="304"/>
      <c r="Q31" s="305"/>
      <c r="R31" s="305"/>
      <c r="S31" s="305"/>
      <c r="T31" s="305"/>
      <c r="U31" s="305"/>
      <c r="V31" s="305"/>
      <c r="W31" s="306"/>
      <c r="X31" s="329">
        <f t="shared" si="3"/>
        <v>3500000</v>
      </c>
      <c r="Y31" s="183"/>
    </row>
    <row r="32" spans="2:25" ht="25.5" x14ac:dyDescent="0.2">
      <c r="B32" s="307" t="s">
        <v>413</v>
      </c>
      <c r="C32" s="455">
        <f>MP_new!H6+MP_new!I6</f>
        <v>0</v>
      </c>
      <c r="D32" s="308">
        <v>30</v>
      </c>
      <c r="E32" s="309" t="s">
        <v>396</v>
      </c>
      <c r="F32" s="310"/>
      <c r="G32" s="304"/>
      <c r="H32" s="330"/>
      <c r="I32" s="304"/>
      <c r="J32" s="311"/>
      <c r="K32" s="311"/>
      <c r="L32" s="304"/>
      <c r="M32" s="304">
        <f>$C31*0.25</f>
        <v>37232890.624999993</v>
      </c>
      <c r="N32" s="304">
        <f>$C31*0.5</f>
        <v>74465781.249999985</v>
      </c>
      <c r="O32" s="304">
        <f>$C31*0.25</f>
        <v>37232890.624999993</v>
      </c>
      <c r="P32" s="304"/>
      <c r="Q32" s="305"/>
      <c r="R32" s="305"/>
      <c r="S32" s="305"/>
      <c r="T32" s="305"/>
      <c r="U32" s="305"/>
      <c r="V32" s="305"/>
      <c r="W32" s="306"/>
      <c r="X32" s="329">
        <f t="shared" si="3"/>
        <v>148931562.49999997</v>
      </c>
      <c r="Y32" s="183"/>
    </row>
    <row r="33" spans="2:25" x14ac:dyDescent="0.2">
      <c r="B33" s="312" t="s">
        <v>402</v>
      </c>
      <c r="C33" s="312"/>
      <c r="D33" s="308">
        <v>37</v>
      </c>
      <c r="E33" s="313" t="s">
        <v>398</v>
      </c>
      <c r="F33" s="310"/>
      <c r="G33" s="304"/>
      <c r="H33" s="330"/>
      <c r="I33" s="304"/>
      <c r="J33" s="304"/>
      <c r="K33" s="304"/>
      <c r="L33" s="304">
        <f>$C31*0.01</f>
        <v>1489315.6249999998</v>
      </c>
      <c r="M33" s="304">
        <f>$C31*0.01</f>
        <v>1489315.6249999998</v>
      </c>
      <c r="N33" s="304">
        <f>$C31*0.01</f>
        <v>1489315.6249999998</v>
      </c>
      <c r="O33" s="304">
        <f>$C31*0.01</f>
        <v>1489315.6249999998</v>
      </c>
      <c r="P33" s="304"/>
      <c r="Q33" s="305"/>
      <c r="R33" s="305"/>
      <c r="S33" s="305"/>
      <c r="T33" s="305"/>
      <c r="U33" s="305"/>
      <c r="V33" s="305"/>
      <c r="W33" s="306"/>
      <c r="X33" s="329">
        <f t="shared" si="3"/>
        <v>5957262.4999999991</v>
      </c>
      <c r="Y33" s="183"/>
    </row>
    <row r="34" spans="2:25" ht="51" x14ac:dyDescent="0.2">
      <c r="B34" s="314"/>
      <c r="C34" s="314"/>
      <c r="D34" s="315">
        <v>37</v>
      </c>
      <c r="E34" s="309" t="s">
        <v>399</v>
      </c>
      <c r="F34" s="310"/>
      <c r="G34" s="304"/>
      <c r="H34" s="330"/>
      <c r="I34" s="304"/>
      <c r="J34" s="311"/>
      <c r="K34" s="311"/>
      <c r="L34" s="304"/>
      <c r="M34" s="304">
        <f>$C31*0.02</f>
        <v>2978631.2499999995</v>
      </c>
      <c r="N34" s="304">
        <f>$C31*0.02</f>
        <v>2978631.2499999995</v>
      </c>
      <c r="O34" s="304">
        <f>$C31*0.02</f>
        <v>2978631.2499999995</v>
      </c>
      <c r="P34" s="316"/>
      <c r="Q34" s="317"/>
      <c r="R34" s="317"/>
      <c r="S34" s="317"/>
      <c r="T34" s="317"/>
      <c r="U34" s="317"/>
      <c r="V34" s="317"/>
      <c r="W34" s="318"/>
      <c r="X34" s="329">
        <f t="shared" si="3"/>
        <v>8935893.7499999981</v>
      </c>
      <c r="Y34" s="183"/>
    </row>
    <row r="35" spans="2:25" ht="13.5" thickBot="1" x14ac:dyDescent="0.25">
      <c r="B35" s="319"/>
      <c r="C35" s="319"/>
      <c r="D35" s="320">
        <v>41</v>
      </c>
      <c r="E35" s="321" t="s">
        <v>403</v>
      </c>
      <c r="F35" s="322"/>
      <c r="G35" s="323"/>
      <c r="H35" s="324"/>
      <c r="I35" s="323"/>
      <c r="J35" s="324"/>
      <c r="K35" s="324"/>
      <c r="L35" s="323">
        <v>300000</v>
      </c>
      <c r="M35" s="323">
        <v>1000000</v>
      </c>
      <c r="N35" s="323">
        <v>1000000</v>
      </c>
      <c r="O35" s="323">
        <v>1000000</v>
      </c>
      <c r="P35" s="323"/>
      <c r="Q35" s="325"/>
      <c r="R35" s="325"/>
      <c r="S35" s="325"/>
      <c r="T35" s="325"/>
      <c r="U35" s="325"/>
      <c r="V35" s="325"/>
      <c r="W35" s="326"/>
      <c r="X35" s="327">
        <f t="shared" si="3"/>
        <v>3300000</v>
      </c>
      <c r="Y35" s="328">
        <f>SUM(X30:X35)</f>
        <v>174124718.74999997</v>
      </c>
    </row>
    <row r="36" spans="2:25" x14ac:dyDescent="0.2">
      <c r="B36" s="537" t="s">
        <v>414</v>
      </c>
      <c r="C36" s="538"/>
      <c r="D36" s="294">
        <v>10</v>
      </c>
      <c r="E36" s="295" t="s">
        <v>408</v>
      </c>
      <c r="F36" s="296"/>
      <c r="G36" s="297"/>
      <c r="H36" s="297"/>
      <c r="I36" s="297"/>
      <c r="J36" s="297"/>
      <c r="K36" s="297"/>
      <c r="L36" s="297"/>
      <c r="M36" s="297"/>
      <c r="N36" s="297">
        <v>500000</v>
      </c>
      <c r="O36" s="297">
        <v>1000000</v>
      </c>
      <c r="P36" s="297">
        <v>1000000</v>
      </c>
      <c r="Q36" s="297">
        <v>500000</v>
      </c>
      <c r="R36" s="297">
        <v>500000</v>
      </c>
      <c r="S36" s="298"/>
      <c r="T36" s="298"/>
      <c r="U36" s="298"/>
      <c r="V36" s="298"/>
      <c r="W36" s="299"/>
      <c r="X36" s="300">
        <f t="shared" si="3"/>
        <v>3500000</v>
      </c>
      <c r="Y36" s="183"/>
    </row>
    <row r="37" spans="2:25" ht="38.25" x14ac:dyDescent="0.2">
      <c r="B37" s="301" t="s">
        <v>409</v>
      </c>
      <c r="C37" s="302">
        <f>'Area Summary'!E30*1.4*1000000</f>
        <v>141017187.49999997</v>
      </c>
      <c r="D37" s="303">
        <v>37</v>
      </c>
      <c r="E37" s="295" t="s">
        <v>410</v>
      </c>
      <c r="F37" s="296"/>
      <c r="G37" s="297"/>
      <c r="H37" s="297"/>
      <c r="I37" s="297"/>
      <c r="J37" s="297"/>
      <c r="K37" s="297"/>
      <c r="L37" s="297"/>
      <c r="M37" s="297"/>
      <c r="N37" s="297">
        <v>1000000</v>
      </c>
      <c r="O37" s="297">
        <v>1000000</v>
      </c>
      <c r="P37" s="297">
        <v>1000000</v>
      </c>
      <c r="Q37" s="297">
        <v>500000</v>
      </c>
      <c r="R37" s="297"/>
      <c r="S37" s="305"/>
      <c r="T37" s="305"/>
      <c r="U37" s="305"/>
      <c r="V37" s="305"/>
      <c r="W37" s="306"/>
      <c r="X37" s="329">
        <f t="shared" si="3"/>
        <v>3500000</v>
      </c>
      <c r="Y37" s="183"/>
    </row>
    <row r="38" spans="2:25" ht="25.5" x14ac:dyDescent="0.2">
      <c r="B38" s="307" t="s">
        <v>413</v>
      </c>
      <c r="C38" s="455">
        <f>MP_new!H7+MP_new!I7</f>
        <v>0</v>
      </c>
      <c r="D38" s="308">
        <v>30</v>
      </c>
      <c r="E38" s="309" t="s">
        <v>396</v>
      </c>
      <c r="F38" s="310"/>
      <c r="G38" s="304"/>
      <c r="H38" s="330"/>
      <c r="I38" s="304"/>
      <c r="J38" s="311"/>
      <c r="K38" s="304"/>
      <c r="L38" s="311"/>
      <c r="M38" s="304"/>
      <c r="N38" s="311"/>
      <c r="O38" s="304"/>
      <c r="P38" s="304">
        <f>$C37*0.25</f>
        <v>35254296.874999993</v>
      </c>
      <c r="Q38" s="304">
        <f>$C37*0.5</f>
        <v>70508593.749999985</v>
      </c>
      <c r="R38" s="304">
        <f>$C37*0.25</f>
        <v>35254296.874999993</v>
      </c>
      <c r="S38" s="305"/>
      <c r="T38" s="305"/>
      <c r="U38" s="305"/>
      <c r="V38" s="305"/>
      <c r="W38" s="306"/>
      <c r="X38" s="329">
        <f t="shared" si="3"/>
        <v>141017187.49999997</v>
      </c>
      <c r="Y38" s="183"/>
    </row>
    <row r="39" spans="2:25" x14ac:dyDescent="0.2">
      <c r="B39" s="312" t="s">
        <v>402</v>
      </c>
      <c r="C39" s="312"/>
      <c r="D39" s="308">
        <v>37</v>
      </c>
      <c r="E39" s="313" t="s">
        <v>398</v>
      </c>
      <c r="F39" s="310"/>
      <c r="G39" s="304"/>
      <c r="H39" s="330"/>
      <c r="I39" s="304"/>
      <c r="J39" s="304"/>
      <c r="K39" s="304"/>
      <c r="L39" s="304"/>
      <c r="M39" s="304"/>
      <c r="N39" s="304"/>
      <c r="O39" s="304">
        <f>$C37*0.01</f>
        <v>1410171.8749999998</v>
      </c>
      <c r="P39" s="304">
        <f>$C37*0.01</f>
        <v>1410171.8749999998</v>
      </c>
      <c r="Q39" s="304">
        <f>$C37*0.01</f>
        <v>1410171.8749999998</v>
      </c>
      <c r="R39" s="304">
        <f>$C37*0.01</f>
        <v>1410171.8749999998</v>
      </c>
      <c r="S39" s="304"/>
      <c r="T39" s="305"/>
      <c r="U39" s="305"/>
      <c r="V39" s="305"/>
      <c r="W39" s="306"/>
      <c r="X39" s="329">
        <f t="shared" si="3"/>
        <v>5640687.4999999991</v>
      </c>
      <c r="Y39" s="183"/>
    </row>
    <row r="40" spans="2:25" ht="51" x14ac:dyDescent="0.2">
      <c r="B40" s="314"/>
      <c r="C40" s="314"/>
      <c r="D40" s="315">
        <v>37</v>
      </c>
      <c r="E40" s="309" t="s">
        <v>399</v>
      </c>
      <c r="F40" s="310"/>
      <c r="G40" s="304"/>
      <c r="H40" s="330"/>
      <c r="I40" s="304"/>
      <c r="J40" s="311"/>
      <c r="K40" s="304"/>
      <c r="L40" s="311"/>
      <c r="M40" s="304"/>
      <c r="N40" s="311"/>
      <c r="O40" s="304"/>
      <c r="P40" s="304">
        <f>$C37*0.02</f>
        <v>2820343.7499999995</v>
      </c>
      <c r="Q40" s="304">
        <f>$C37*0.02</f>
        <v>2820343.7499999995</v>
      </c>
      <c r="R40" s="304">
        <f>$C37*0.02</f>
        <v>2820343.7499999995</v>
      </c>
      <c r="S40" s="317"/>
      <c r="T40" s="317"/>
      <c r="U40" s="317"/>
      <c r="V40" s="317"/>
      <c r="W40" s="318"/>
      <c r="X40" s="329">
        <f t="shared" si="3"/>
        <v>8461031.2499999981</v>
      </c>
      <c r="Y40" s="183"/>
    </row>
    <row r="41" spans="2:25" ht="13.5" thickBot="1" x14ac:dyDescent="0.25">
      <c r="B41" s="319"/>
      <c r="C41" s="319"/>
      <c r="D41" s="320">
        <v>41</v>
      </c>
      <c r="E41" s="321" t="s">
        <v>403</v>
      </c>
      <c r="F41" s="322"/>
      <c r="G41" s="323"/>
      <c r="H41" s="324"/>
      <c r="I41" s="323"/>
      <c r="J41" s="324"/>
      <c r="K41" s="323"/>
      <c r="L41" s="324"/>
      <c r="M41" s="323"/>
      <c r="N41" s="324"/>
      <c r="O41" s="323">
        <v>300000</v>
      </c>
      <c r="P41" s="323">
        <v>1000000</v>
      </c>
      <c r="Q41" s="323">
        <v>1000000</v>
      </c>
      <c r="R41" s="323">
        <v>1000000</v>
      </c>
      <c r="S41" s="325"/>
      <c r="T41" s="325"/>
      <c r="U41" s="325"/>
      <c r="V41" s="325"/>
      <c r="W41" s="326"/>
      <c r="X41" s="327">
        <f t="shared" ref="X41:X51" si="4">SUM(F41:W41)</f>
        <v>3300000</v>
      </c>
      <c r="Y41" s="328">
        <f>SUM(X36:X41)</f>
        <v>165418906.24999997</v>
      </c>
    </row>
    <row r="42" spans="2:25" x14ac:dyDescent="0.2">
      <c r="B42" s="537" t="s">
        <v>415</v>
      </c>
      <c r="C42" s="538"/>
      <c r="D42" s="294">
        <v>10</v>
      </c>
      <c r="E42" s="295" t="s">
        <v>408</v>
      </c>
      <c r="F42" s="296"/>
      <c r="G42" s="297"/>
      <c r="H42" s="297"/>
      <c r="I42" s="297"/>
      <c r="J42" s="297"/>
      <c r="K42" s="297"/>
      <c r="L42" s="297"/>
      <c r="M42" s="297"/>
      <c r="N42" s="297"/>
      <c r="O42" s="297"/>
      <c r="P42" s="297"/>
      <c r="Q42" s="297">
        <v>500000</v>
      </c>
      <c r="R42" s="297">
        <v>1000000</v>
      </c>
      <c r="S42" s="297">
        <v>1000000</v>
      </c>
      <c r="T42" s="297">
        <v>500000</v>
      </c>
      <c r="U42" s="297">
        <v>500000</v>
      </c>
      <c r="V42" s="298"/>
      <c r="W42" s="299"/>
      <c r="X42" s="300">
        <f t="shared" si="4"/>
        <v>3500000</v>
      </c>
      <c r="Y42" s="183"/>
    </row>
    <row r="43" spans="2:25" ht="38.25" x14ac:dyDescent="0.2">
      <c r="B43" s="301" t="s">
        <v>409</v>
      </c>
      <c r="C43" s="302">
        <f>'Area Summary'!F30*1.4*1000000</f>
        <v>133378437.49999999</v>
      </c>
      <c r="D43" s="303">
        <v>37</v>
      </c>
      <c r="E43" s="295" t="s">
        <v>410</v>
      </c>
      <c r="F43" s="296"/>
      <c r="G43" s="297"/>
      <c r="H43" s="297"/>
      <c r="I43" s="297"/>
      <c r="J43" s="297"/>
      <c r="K43" s="297"/>
      <c r="L43" s="297"/>
      <c r="M43" s="297"/>
      <c r="N43" s="297"/>
      <c r="O43" s="297"/>
      <c r="P43" s="297"/>
      <c r="Q43" s="297">
        <v>1000000</v>
      </c>
      <c r="R43" s="297">
        <v>1000000</v>
      </c>
      <c r="S43" s="297">
        <v>1000000</v>
      </c>
      <c r="T43" s="297">
        <v>500000</v>
      </c>
      <c r="U43" s="297"/>
      <c r="V43" s="298"/>
      <c r="W43" s="306"/>
      <c r="X43" s="329">
        <f t="shared" si="4"/>
        <v>3500000</v>
      </c>
      <c r="Y43" s="183"/>
    </row>
    <row r="44" spans="2:25" ht="25.5" x14ac:dyDescent="0.2">
      <c r="B44" s="307" t="s">
        <v>413</v>
      </c>
      <c r="C44" s="455">
        <f>MP_new!H8+MP_new!I8</f>
        <v>0</v>
      </c>
      <c r="D44" s="308">
        <v>30</v>
      </c>
      <c r="E44" s="309" t="s">
        <v>396</v>
      </c>
      <c r="F44" s="310"/>
      <c r="G44" s="304"/>
      <c r="H44" s="330"/>
      <c r="I44" s="304"/>
      <c r="J44" s="311"/>
      <c r="K44" s="304"/>
      <c r="L44" s="304"/>
      <c r="M44" s="304"/>
      <c r="N44" s="311"/>
      <c r="O44" s="304"/>
      <c r="P44" s="304"/>
      <c r="Q44" s="311"/>
      <c r="R44" s="304"/>
      <c r="S44" s="304">
        <f>$C43*0.25</f>
        <v>33344609.374999996</v>
      </c>
      <c r="T44" s="304">
        <f>$C43*0.5</f>
        <v>66689218.749999993</v>
      </c>
      <c r="U44" s="304">
        <f>$C43*0.25</f>
        <v>33344609.374999996</v>
      </c>
      <c r="V44" s="305"/>
      <c r="W44" s="306"/>
      <c r="X44" s="329">
        <f t="shared" si="4"/>
        <v>133378437.49999999</v>
      </c>
      <c r="Y44" s="183"/>
    </row>
    <row r="45" spans="2:25" x14ac:dyDescent="0.2">
      <c r="B45" s="312" t="s">
        <v>402</v>
      </c>
      <c r="C45" s="312"/>
      <c r="D45" s="308">
        <v>37</v>
      </c>
      <c r="E45" s="313" t="s">
        <v>398</v>
      </c>
      <c r="F45" s="310"/>
      <c r="G45" s="304"/>
      <c r="H45" s="330"/>
      <c r="I45" s="304"/>
      <c r="J45" s="304"/>
      <c r="K45" s="304"/>
      <c r="L45" s="304"/>
      <c r="M45" s="304"/>
      <c r="N45" s="304"/>
      <c r="O45" s="304"/>
      <c r="P45" s="304"/>
      <c r="Q45" s="304"/>
      <c r="R45" s="304">
        <f>$C43*0.01</f>
        <v>1333784.3749999998</v>
      </c>
      <c r="S45" s="304">
        <f>$C43*0.01</f>
        <v>1333784.3749999998</v>
      </c>
      <c r="T45" s="304">
        <f>$C43*0.01</f>
        <v>1333784.3749999998</v>
      </c>
      <c r="U45" s="304">
        <f>$C43*0.01</f>
        <v>1333784.3749999998</v>
      </c>
      <c r="V45" s="304"/>
      <c r="W45" s="306"/>
      <c r="X45" s="329">
        <f t="shared" si="4"/>
        <v>5335137.4999999991</v>
      </c>
      <c r="Y45" s="183"/>
    </row>
    <row r="46" spans="2:25" ht="51" x14ac:dyDescent="0.2">
      <c r="B46" s="314"/>
      <c r="C46" s="314"/>
      <c r="D46" s="315">
        <v>37</v>
      </c>
      <c r="E46" s="309" t="s">
        <v>399</v>
      </c>
      <c r="F46" s="310"/>
      <c r="G46" s="304"/>
      <c r="H46" s="330"/>
      <c r="I46" s="304"/>
      <c r="J46" s="311"/>
      <c r="K46" s="304"/>
      <c r="L46" s="304"/>
      <c r="M46" s="304"/>
      <c r="N46" s="311"/>
      <c r="O46" s="304"/>
      <c r="P46" s="304"/>
      <c r="Q46" s="311"/>
      <c r="R46" s="304"/>
      <c r="S46" s="304">
        <f>$C43*0.02</f>
        <v>2667568.7499999995</v>
      </c>
      <c r="T46" s="304">
        <f>$C43*0.02</f>
        <v>2667568.7499999995</v>
      </c>
      <c r="U46" s="304">
        <f>$C43*0.02</f>
        <v>2667568.7499999995</v>
      </c>
      <c r="V46" s="317"/>
      <c r="W46" s="318"/>
      <c r="X46" s="329">
        <f t="shared" si="4"/>
        <v>8002706.2499999981</v>
      </c>
      <c r="Y46" s="183"/>
    </row>
    <row r="47" spans="2:25" ht="13.5" thickBot="1" x14ac:dyDescent="0.25">
      <c r="B47" s="319"/>
      <c r="C47" s="319"/>
      <c r="D47" s="320">
        <v>41</v>
      </c>
      <c r="E47" s="321" t="s">
        <v>403</v>
      </c>
      <c r="F47" s="322"/>
      <c r="G47" s="323"/>
      <c r="H47" s="324"/>
      <c r="I47" s="323"/>
      <c r="J47" s="324"/>
      <c r="K47" s="323"/>
      <c r="L47" s="323"/>
      <c r="M47" s="323"/>
      <c r="N47" s="324"/>
      <c r="O47" s="323"/>
      <c r="P47" s="323"/>
      <c r="Q47" s="324"/>
      <c r="R47" s="323">
        <v>300000</v>
      </c>
      <c r="S47" s="323">
        <v>1000000</v>
      </c>
      <c r="T47" s="323">
        <v>1000000</v>
      </c>
      <c r="U47" s="323">
        <v>1000000</v>
      </c>
      <c r="V47" s="325"/>
      <c r="W47" s="326"/>
      <c r="X47" s="327">
        <f t="shared" si="4"/>
        <v>3300000</v>
      </c>
      <c r="Y47" s="328">
        <f>SUM(X42:X47)</f>
        <v>157016281.25</v>
      </c>
    </row>
    <row r="48" spans="2:25" x14ac:dyDescent="0.2">
      <c r="B48" s="537" t="s">
        <v>416</v>
      </c>
      <c r="C48" s="538"/>
      <c r="D48" s="294">
        <v>10</v>
      </c>
      <c r="E48" s="295" t="s">
        <v>408</v>
      </c>
      <c r="F48" s="296"/>
      <c r="G48" s="297"/>
      <c r="H48" s="297"/>
      <c r="I48" s="297"/>
      <c r="J48" s="297"/>
      <c r="K48" s="297"/>
      <c r="L48" s="297"/>
      <c r="M48" s="297"/>
      <c r="N48" s="297"/>
      <c r="O48" s="297"/>
      <c r="P48" s="297"/>
      <c r="Q48" s="297"/>
      <c r="R48" s="297"/>
      <c r="S48" s="297">
        <v>500000</v>
      </c>
      <c r="T48" s="297">
        <v>1000000</v>
      </c>
      <c r="U48" s="297">
        <v>1000000</v>
      </c>
      <c r="V48" s="297">
        <v>500000</v>
      </c>
      <c r="W48" s="297">
        <v>500000</v>
      </c>
      <c r="X48" s="300">
        <f t="shared" si="4"/>
        <v>3500000</v>
      </c>
      <c r="Y48" s="183"/>
    </row>
    <row r="49" spans="1:25" ht="38.25" x14ac:dyDescent="0.2">
      <c r="B49" s="301" t="s">
        <v>409</v>
      </c>
      <c r="C49" s="302">
        <f>'Area Summary'!G30*1.4*1000000</f>
        <v>145407500</v>
      </c>
      <c r="D49" s="303">
        <v>37</v>
      </c>
      <c r="E49" s="295" t="s">
        <v>410</v>
      </c>
      <c r="F49" s="296"/>
      <c r="G49" s="297"/>
      <c r="H49" s="297"/>
      <c r="I49" s="297"/>
      <c r="J49" s="297"/>
      <c r="K49" s="297"/>
      <c r="L49" s="297"/>
      <c r="M49" s="297"/>
      <c r="N49" s="297"/>
      <c r="O49" s="297"/>
      <c r="P49" s="297"/>
      <c r="Q49" s="297"/>
      <c r="R49" s="297"/>
      <c r="S49" s="297">
        <v>1000000</v>
      </c>
      <c r="T49" s="297">
        <v>1000000</v>
      </c>
      <c r="U49" s="297">
        <v>1000000</v>
      </c>
      <c r="V49" s="297">
        <v>500000</v>
      </c>
      <c r="W49" s="297"/>
      <c r="X49" s="329">
        <f t="shared" si="4"/>
        <v>3500000</v>
      </c>
      <c r="Y49" s="183"/>
    </row>
    <row r="50" spans="1:25" ht="25.5" x14ac:dyDescent="0.2">
      <c r="B50" s="307" t="s">
        <v>413</v>
      </c>
      <c r="C50" s="455">
        <f>MP_new!H9+MP_new!I9</f>
        <v>0</v>
      </c>
      <c r="D50" s="308">
        <v>30</v>
      </c>
      <c r="E50" s="309" t="s">
        <v>396</v>
      </c>
      <c r="F50" s="310"/>
      <c r="G50" s="304"/>
      <c r="H50" s="330"/>
      <c r="I50" s="304"/>
      <c r="J50" s="311"/>
      <c r="K50" s="304"/>
      <c r="L50" s="304"/>
      <c r="M50" s="304"/>
      <c r="N50" s="304"/>
      <c r="O50" s="304"/>
      <c r="P50" s="311"/>
      <c r="Q50" s="304"/>
      <c r="R50" s="311"/>
      <c r="S50" s="311"/>
      <c r="T50" s="304"/>
      <c r="U50" s="304">
        <f>$C49*0.25</f>
        <v>36351875</v>
      </c>
      <c r="V50" s="304">
        <f>$C49*0.5</f>
        <v>72703750</v>
      </c>
      <c r="W50" s="304">
        <f>$C49*0.25</f>
        <v>36351875</v>
      </c>
      <c r="X50" s="329">
        <f t="shared" si="4"/>
        <v>145407500</v>
      </c>
      <c r="Y50" s="183"/>
    </row>
    <row r="51" spans="1:25" x14ac:dyDescent="0.2">
      <c r="B51" s="312" t="s">
        <v>402</v>
      </c>
      <c r="C51" s="312"/>
      <c r="D51" s="308">
        <v>37</v>
      </c>
      <c r="E51" s="313" t="s">
        <v>398</v>
      </c>
      <c r="F51" s="310"/>
      <c r="G51" s="304"/>
      <c r="H51" s="330"/>
      <c r="I51" s="304"/>
      <c r="J51" s="304"/>
      <c r="K51" s="304"/>
      <c r="L51" s="304"/>
      <c r="M51" s="304"/>
      <c r="N51" s="304"/>
      <c r="O51" s="304"/>
      <c r="P51" s="304"/>
      <c r="Q51" s="304"/>
      <c r="R51" s="304"/>
      <c r="S51" s="304"/>
      <c r="T51" s="304">
        <f>$C49*0.01</f>
        <v>1454075</v>
      </c>
      <c r="U51" s="304">
        <f>$C49*0.01</f>
        <v>1454075</v>
      </c>
      <c r="V51" s="304">
        <f>$C49*0.01</f>
        <v>1454075</v>
      </c>
      <c r="W51" s="304">
        <f>$C49*0.01</f>
        <v>1454075</v>
      </c>
      <c r="X51" s="329">
        <f t="shared" si="4"/>
        <v>5816300</v>
      </c>
      <c r="Y51" s="183"/>
    </row>
    <row r="52" spans="1:25" ht="51" x14ac:dyDescent="0.2">
      <c r="B52" s="314"/>
      <c r="C52" s="314"/>
      <c r="D52" s="315">
        <v>37</v>
      </c>
      <c r="E52" s="309" t="s">
        <v>399</v>
      </c>
      <c r="F52" s="310"/>
      <c r="G52" s="304"/>
      <c r="H52" s="330"/>
      <c r="I52" s="304"/>
      <c r="J52" s="311"/>
      <c r="K52" s="304"/>
      <c r="L52" s="304"/>
      <c r="M52" s="304"/>
      <c r="N52" s="304"/>
      <c r="O52" s="304"/>
      <c r="P52" s="311"/>
      <c r="Q52" s="304"/>
      <c r="R52" s="311"/>
      <c r="S52" s="311"/>
      <c r="T52" s="304"/>
      <c r="U52" s="304">
        <f>$C49*0.02</f>
        <v>2908150</v>
      </c>
      <c r="V52" s="304">
        <f>$C49*0.02</f>
        <v>2908150</v>
      </c>
      <c r="W52" s="304">
        <f>$C49*0.02</f>
        <v>2908150</v>
      </c>
      <c r="X52" s="329">
        <f>SUM(F52:W52)</f>
        <v>8724450</v>
      </c>
      <c r="Y52" s="183"/>
    </row>
    <row r="53" spans="1:25" ht="13.5" thickBot="1" x14ac:dyDescent="0.25">
      <c r="B53" s="319"/>
      <c r="C53" s="319"/>
      <c r="D53" s="320">
        <v>41</v>
      </c>
      <c r="E53" s="321" t="s">
        <v>403</v>
      </c>
      <c r="F53" s="331"/>
      <c r="G53" s="316"/>
      <c r="H53" s="332"/>
      <c r="I53" s="316"/>
      <c r="J53" s="332"/>
      <c r="K53" s="316"/>
      <c r="L53" s="316"/>
      <c r="M53" s="316"/>
      <c r="N53" s="316"/>
      <c r="O53" s="316"/>
      <c r="P53" s="332"/>
      <c r="Q53" s="316"/>
      <c r="R53" s="324"/>
      <c r="S53" s="324"/>
      <c r="T53" s="323">
        <v>300000</v>
      </c>
      <c r="U53" s="323">
        <v>1000000</v>
      </c>
      <c r="V53" s="323">
        <v>1000000</v>
      </c>
      <c r="W53" s="323">
        <v>1000000</v>
      </c>
      <c r="X53" s="327">
        <f>SUM(F53:W53)</f>
        <v>3300000</v>
      </c>
      <c r="Y53" s="328">
        <f>SUM(X48:X53)</f>
        <v>170248250</v>
      </c>
    </row>
    <row r="54" spans="1:25" ht="17.25" customHeight="1" thickBot="1" x14ac:dyDescent="0.25">
      <c r="B54" s="539" t="s">
        <v>400</v>
      </c>
      <c r="C54" s="540"/>
      <c r="D54" s="541"/>
      <c r="E54" s="333"/>
      <c r="F54" s="334">
        <f>SUM(F24:F53)</f>
        <v>0</v>
      </c>
      <c r="G54" s="335">
        <f>SUM(G24:G53)</f>
        <v>0</v>
      </c>
      <c r="H54" s="335">
        <f t="shared" ref="H54:W54" si="5">SUM(H24:H53)</f>
        <v>1500000</v>
      </c>
      <c r="I54" s="335">
        <f t="shared" si="5"/>
        <v>3848968.75</v>
      </c>
      <c r="J54" s="335">
        <f t="shared" si="5"/>
        <v>46371125</v>
      </c>
      <c r="K54" s="335">
        <f t="shared" si="5"/>
        <v>85595343.75</v>
      </c>
      <c r="L54" s="335">
        <f t="shared" si="5"/>
        <v>48660440.625</v>
      </c>
      <c r="M54" s="335">
        <f t="shared" si="5"/>
        <v>44700837.499999993</v>
      </c>
      <c r="N54" s="335">
        <f t="shared" si="5"/>
        <v>82433728.124999985</v>
      </c>
      <c r="O54" s="335">
        <f t="shared" si="5"/>
        <v>46911009.374999993</v>
      </c>
      <c r="P54" s="335">
        <f t="shared" si="5"/>
        <v>42484812.499999993</v>
      </c>
      <c r="Q54" s="335">
        <f t="shared" si="5"/>
        <v>78239109.374999985</v>
      </c>
      <c r="R54" s="335">
        <f t="shared" si="5"/>
        <v>44618596.874999993</v>
      </c>
      <c r="S54" s="335">
        <f t="shared" si="5"/>
        <v>41845962.5</v>
      </c>
      <c r="T54" s="335">
        <f t="shared" si="5"/>
        <v>76444646.875</v>
      </c>
      <c r="U54" s="335">
        <f t="shared" si="5"/>
        <v>82560062.5</v>
      </c>
      <c r="V54" s="335">
        <f t="shared" si="5"/>
        <v>79065975</v>
      </c>
      <c r="W54" s="335">
        <f t="shared" si="5"/>
        <v>42214100</v>
      </c>
      <c r="X54" s="336">
        <f>SUM(X24:X53)</f>
        <v>847494718.75</v>
      </c>
      <c r="Y54" s="183"/>
    </row>
    <row r="55" spans="1:25" ht="14.25" thickTop="1" thickBot="1" x14ac:dyDescent="0.25">
      <c r="B55" s="539" t="s">
        <v>417</v>
      </c>
      <c r="C55" s="540"/>
      <c r="D55" s="541"/>
      <c r="E55" s="337"/>
      <c r="F55" s="338"/>
      <c r="G55" s="338">
        <f>F55+G54</f>
        <v>0</v>
      </c>
      <c r="H55" s="338">
        <f>G55+H54</f>
        <v>1500000</v>
      </c>
      <c r="I55" s="338">
        <f>H55+I54</f>
        <v>5348968.75</v>
      </c>
      <c r="J55" s="338">
        <f>I55+J54</f>
        <v>51720093.75</v>
      </c>
      <c r="K55" s="338">
        <f t="shared" ref="K55:U55" si="6">J55+K54</f>
        <v>137315437.5</v>
      </c>
      <c r="L55" s="338">
        <f>K55+L54</f>
        <v>185975878.125</v>
      </c>
      <c r="M55" s="338">
        <f t="shared" si="6"/>
        <v>230676715.625</v>
      </c>
      <c r="N55" s="338">
        <f t="shared" si="6"/>
        <v>313110443.75</v>
      </c>
      <c r="O55" s="338">
        <f t="shared" si="6"/>
        <v>360021453.125</v>
      </c>
      <c r="P55" s="338">
        <f t="shared" si="6"/>
        <v>402506265.625</v>
      </c>
      <c r="Q55" s="338">
        <f t="shared" si="6"/>
        <v>480745375</v>
      </c>
      <c r="R55" s="338">
        <f t="shared" si="6"/>
        <v>525363971.875</v>
      </c>
      <c r="S55" s="338">
        <f t="shared" si="6"/>
        <v>567209934.375</v>
      </c>
      <c r="T55" s="338">
        <f t="shared" si="6"/>
        <v>643654581.25</v>
      </c>
      <c r="U55" s="338">
        <f t="shared" si="6"/>
        <v>726214643.75</v>
      </c>
      <c r="V55" s="338">
        <f>U55+V54</f>
        <v>805280618.75</v>
      </c>
      <c r="W55" s="338">
        <f>V55+W54</f>
        <v>847494718.75</v>
      </c>
      <c r="X55" s="338"/>
      <c r="Y55" s="183">
        <f>SUM(Y24:Y53)</f>
        <v>847494718.75</v>
      </c>
    </row>
    <row r="56" spans="1:25" ht="13.5" thickTop="1" x14ac:dyDescent="0.2">
      <c r="B56" s="339"/>
      <c r="C56" s="339"/>
      <c r="D56" s="339"/>
      <c r="E56" s="337"/>
      <c r="F56" s="338"/>
      <c r="G56" s="340">
        <v>10</v>
      </c>
      <c r="H56" s="341">
        <f t="shared" ref="H56:Q56" si="7">SUMIF($D$24:$D$53,"10",H$24:H$53)</f>
        <v>500000</v>
      </c>
      <c r="I56" s="341">
        <f t="shared" si="7"/>
        <v>1000000</v>
      </c>
      <c r="J56" s="341">
        <f t="shared" si="7"/>
        <v>1000000</v>
      </c>
      <c r="K56" s="341">
        <f t="shared" si="7"/>
        <v>1000000</v>
      </c>
      <c r="L56" s="341">
        <f t="shared" si="7"/>
        <v>1500000</v>
      </c>
      <c r="M56" s="341">
        <f t="shared" si="7"/>
        <v>1000000</v>
      </c>
      <c r="N56" s="341">
        <f t="shared" si="7"/>
        <v>1000000</v>
      </c>
      <c r="O56" s="341">
        <f t="shared" si="7"/>
        <v>1500000</v>
      </c>
      <c r="P56" s="341">
        <f t="shared" si="7"/>
        <v>1000000</v>
      </c>
      <c r="Q56" s="341">
        <f t="shared" si="7"/>
        <v>1000000</v>
      </c>
      <c r="R56" s="341">
        <f t="shared" ref="R56:W56" si="8">SUMIF($D$24:$D$53,"10",R$24:R$53)</f>
        <v>1500000</v>
      </c>
      <c r="S56" s="341">
        <f t="shared" si="8"/>
        <v>1500000</v>
      </c>
      <c r="T56" s="341">
        <f t="shared" si="8"/>
        <v>1500000</v>
      </c>
      <c r="U56" s="341">
        <f t="shared" si="8"/>
        <v>1500000</v>
      </c>
      <c r="V56" s="341">
        <f t="shared" si="8"/>
        <v>500000</v>
      </c>
      <c r="W56" s="341">
        <f t="shared" si="8"/>
        <v>500000</v>
      </c>
      <c r="X56" s="338"/>
      <c r="Y56" s="183"/>
    </row>
    <row r="57" spans="1:25" s="342" customFormat="1" x14ac:dyDescent="0.2">
      <c r="A57" s="173"/>
      <c r="C57" s="343"/>
      <c r="D57" s="343"/>
      <c r="E57" s="343"/>
      <c r="F57" s="343"/>
      <c r="G57" s="340">
        <v>37</v>
      </c>
      <c r="H57" s="341">
        <f t="shared" ref="H57:W57" si="9">SUMIF($D$24:$D$53,"37",H$24:H$53)</f>
        <v>1000000</v>
      </c>
      <c r="I57" s="341">
        <f t="shared" si="9"/>
        <v>2548968.75</v>
      </c>
      <c r="J57" s="341">
        <f t="shared" si="9"/>
        <v>5646906.25</v>
      </c>
      <c r="K57" s="341">
        <f t="shared" si="9"/>
        <v>6146906.25</v>
      </c>
      <c r="L57" s="341">
        <f t="shared" si="9"/>
        <v>7136221.875</v>
      </c>
      <c r="M57" s="341">
        <f t="shared" si="9"/>
        <v>5467946.875</v>
      </c>
      <c r="N57" s="341">
        <f t="shared" si="9"/>
        <v>5967946.8749999991</v>
      </c>
      <c r="O57" s="341">
        <f t="shared" si="9"/>
        <v>6878118.7499999991</v>
      </c>
      <c r="P57" s="341">
        <f t="shared" si="9"/>
        <v>5230515.625</v>
      </c>
      <c r="Q57" s="341">
        <f t="shared" si="9"/>
        <v>5730515.6249999991</v>
      </c>
      <c r="R57" s="341">
        <f t="shared" si="9"/>
        <v>6564299.9999999991</v>
      </c>
      <c r="S57" s="341">
        <f t="shared" si="9"/>
        <v>6001353.125</v>
      </c>
      <c r="T57" s="341">
        <f t="shared" si="9"/>
        <v>6955428.1249999991</v>
      </c>
      <c r="U57" s="341">
        <f t="shared" si="9"/>
        <v>9363578.125</v>
      </c>
      <c r="V57" s="341">
        <f t="shared" si="9"/>
        <v>4862225</v>
      </c>
      <c r="W57" s="341">
        <f t="shared" si="9"/>
        <v>4362225</v>
      </c>
      <c r="X57" s="343"/>
    </row>
    <row r="58" spans="1:25" s="342" customFormat="1" x14ac:dyDescent="0.2">
      <c r="A58" s="173"/>
      <c r="C58" s="343"/>
      <c r="D58" s="343"/>
      <c r="E58" s="343"/>
      <c r="F58" s="343"/>
      <c r="G58" s="340">
        <v>30</v>
      </c>
      <c r="H58" s="341">
        <f t="shared" ref="H58:W58" si="10">SUMIF($D$24:$D$53,"30",H$24:H$53)</f>
        <v>0</v>
      </c>
      <c r="I58" s="341">
        <f t="shared" si="10"/>
        <v>0</v>
      </c>
      <c r="J58" s="341">
        <f t="shared" si="10"/>
        <v>38724218.75</v>
      </c>
      <c r="K58" s="341">
        <f t="shared" si="10"/>
        <v>77448437.5</v>
      </c>
      <c r="L58" s="341">
        <f t="shared" si="10"/>
        <v>38724218.75</v>
      </c>
      <c r="M58" s="341">
        <f t="shared" si="10"/>
        <v>37232890.624999993</v>
      </c>
      <c r="N58" s="341">
        <f t="shared" si="10"/>
        <v>74465781.249999985</v>
      </c>
      <c r="O58" s="341">
        <f t="shared" si="10"/>
        <v>37232890.624999993</v>
      </c>
      <c r="P58" s="341">
        <f t="shared" si="10"/>
        <v>35254296.874999993</v>
      </c>
      <c r="Q58" s="341">
        <f t="shared" si="10"/>
        <v>70508593.749999985</v>
      </c>
      <c r="R58" s="341">
        <f t="shared" si="10"/>
        <v>35254296.874999993</v>
      </c>
      <c r="S58" s="341">
        <f t="shared" si="10"/>
        <v>33344609.374999996</v>
      </c>
      <c r="T58" s="341">
        <f t="shared" si="10"/>
        <v>66689218.749999993</v>
      </c>
      <c r="U58" s="341">
        <f t="shared" si="10"/>
        <v>69696484.375</v>
      </c>
      <c r="V58" s="341">
        <f t="shared" si="10"/>
        <v>72703750</v>
      </c>
      <c r="W58" s="341">
        <f t="shared" si="10"/>
        <v>36351875</v>
      </c>
      <c r="X58" s="343"/>
    </row>
    <row r="59" spans="1:25" s="342" customFormat="1" x14ac:dyDescent="0.2">
      <c r="A59" s="173"/>
      <c r="C59" s="343"/>
      <c r="D59" s="343"/>
      <c r="E59" s="343"/>
      <c r="F59" s="343"/>
      <c r="G59" s="340">
        <v>41</v>
      </c>
      <c r="H59" s="341">
        <f t="shared" ref="H59:W59" si="11">SUMIF($D$24:$D$53,"41",H$24:H$53)</f>
        <v>0</v>
      </c>
      <c r="I59" s="341">
        <f t="shared" si="11"/>
        <v>300000</v>
      </c>
      <c r="J59" s="341">
        <f t="shared" si="11"/>
        <v>1000000</v>
      </c>
      <c r="K59" s="341">
        <f t="shared" si="11"/>
        <v>1000000</v>
      </c>
      <c r="L59" s="341">
        <f t="shared" si="11"/>
        <v>1300000</v>
      </c>
      <c r="M59" s="341">
        <f t="shared" si="11"/>
        <v>1000000</v>
      </c>
      <c r="N59" s="341">
        <f t="shared" si="11"/>
        <v>1000000</v>
      </c>
      <c r="O59" s="341">
        <f t="shared" si="11"/>
        <v>1300000</v>
      </c>
      <c r="P59" s="341">
        <f t="shared" si="11"/>
        <v>1000000</v>
      </c>
      <c r="Q59" s="341">
        <f t="shared" si="11"/>
        <v>1000000</v>
      </c>
      <c r="R59" s="341">
        <f t="shared" si="11"/>
        <v>1300000</v>
      </c>
      <c r="S59" s="341">
        <f t="shared" si="11"/>
        <v>1000000</v>
      </c>
      <c r="T59" s="341">
        <f t="shared" si="11"/>
        <v>1300000</v>
      </c>
      <c r="U59" s="341">
        <f t="shared" si="11"/>
        <v>2000000</v>
      </c>
      <c r="V59" s="341">
        <f t="shared" si="11"/>
        <v>1000000</v>
      </c>
      <c r="W59" s="341">
        <f t="shared" si="11"/>
        <v>1000000</v>
      </c>
      <c r="X59" s="343"/>
    </row>
    <row r="60" spans="1:25" ht="22.5" hidden="1" customHeight="1" thickBot="1" x14ac:dyDescent="0.25">
      <c r="B60" s="542" t="s">
        <v>418</v>
      </c>
      <c r="C60" s="543"/>
      <c r="D60" s="543"/>
      <c r="E60" s="543"/>
      <c r="F60" s="543"/>
      <c r="G60" s="543"/>
      <c r="H60" s="543"/>
      <c r="I60" s="543"/>
      <c r="J60" s="543"/>
      <c r="K60" s="543"/>
      <c r="L60" s="543"/>
      <c r="M60" s="543"/>
      <c r="N60" s="543"/>
      <c r="O60" s="543"/>
      <c r="P60" s="543"/>
      <c r="Q60" s="543"/>
      <c r="R60" s="543"/>
      <c r="S60" s="543"/>
      <c r="T60" s="543"/>
      <c r="U60" s="543"/>
      <c r="V60" s="543"/>
      <c r="W60" s="543"/>
      <c r="X60" s="544"/>
      <c r="Y60" s="183"/>
    </row>
    <row r="61" spans="1:25" hidden="1" x14ac:dyDescent="0.2">
      <c r="A61" s="173" t="s">
        <v>419</v>
      </c>
      <c r="B61" s="532" t="s">
        <v>420</v>
      </c>
      <c r="C61" s="533"/>
      <c r="D61" s="344">
        <v>10</v>
      </c>
      <c r="E61" s="345" t="s">
        <v>408</v>
      </c>
      <c r="F61" s="346"/>
      <c r="G61" s="347"/>
      <c r="H61" s="347"/>
      <c r="I61" s="347"/>
      <c r="J61" s="347"/>
      <c r="K61" s="347"/>
      <c r="L61" s="347"/>
      <c r="M61" s="347"/>
      <c r="N61" s="347"/>
      <c r="O61" s="347"/>
      <c r="P61" s="348"/>
      <c r="Q61" s="348"/>
      <c r="R61" s="348"/>
      <c r="S61" s="348"/>
      <c r="T61" s="348"/>
      <c r="U61" s="348"/>
      <c r="V61" s="348"/>
      <c r="W61" s="349"/>
      <c r="X61" s="350">
        <f>SUM(F61:W61)</f>
        <v>0</v>
      </c>
      <c r="Y61" s="183"/>
    </row>
    <row r="62" spans="1:25" ht="25.5" hidden="1" x14ac:dyDescent="0.2">
      <c r="B62" s="268"/>
      <c r="C62" s="269"/>
      <c r="D62" s="270">
        <v>30</v>
      </c>
      <c r="E62" s="271" t="s">
        <v>396</v>
      </c>
      <c r="F62" s="272"/>
      <c r="G62" s="273"/>
      <c r="H62" s="273"/>
      <c r="I62" s="351">
        <f>5300*1000</f>
        <v>5300000</v>
      </c>
      <c r="J62" s="351">
        <f>9666*1000</f>
        <v>9666000</v>
      </c>
      <c r="K62" s="351">
        <f>9864*1000</f>
        <v>9864000</v>
      </c>
      <c r="L62" s="351">
        <f>10062*1000</f>
        <v>10062000</v>
      </c>
      <c r="M62" s="351">
        <f>5695*1000</f>
        <v>5695000</v>
      </c>
      <c r="N62" s="351">
        <f>9666*1000</f>
        <v>9666000</v>
      </c>
      <c r="O62" s="273"/>
      <c r="P62" s="274"/>
      <c r="Q62" s="274"/>
      <c r="R62" s="274"/>
      <c r="S62" s="274"/>
      <c r="T62" s="274"/>
      <c r="U62" s="274"/>
      <c r="V62" s="274"/>
      <c r="W62" s="275"/>
      <c r="X62" s="276">
        <f>SUM(F62:W62)</f>
        <v>50253000</v>
      </c>
      <c r="Y62" s="183"/>
    </row>
    <row r="63" spans="1:25" ht="25.5" hidden="1" x14ac:dyDescent="0.2">
      <c r="B63" s="268"/>
      <c r="C63" s="269"/>
      <c r="D63" s="270">
        <v>37</v>
      </c>
      <c r="E63" s="352" t="s">
        <v>421</v>
      </c>
      <c r="F63" s="272"/>
      <c r="G63" s="273"/>
      <c r="H63" s="273"/>
      <c r="I63" s="273"/>
      <c r="J63" s="273"/>
      <c r="K63" s="273"/>
      <c r="L63" s="273"/>
      <c r="M63" s="273"/>
      <c r="N63" s="273"/>
      <c r="O63" s="273"/>
      <c r="P63" s="274"/>
      <c r="Q63" s="274"/>
      <c r="R63" s="274"/>
      <c r="S63" s="274"/>
      <c r="T63" s="274"/>
      <c r="U63" s="274"/>
      <c r="V63" s="274"/>
      <c r="W63" s="275"/>
      <c r="X63" s="276"/>
      <c r="Y63" s="183"/>
    </row>
    <row r="64" spans="1:25" hidden="1" x14ac:dyDescent="0.2">
      <c r="B64" s="277" t="s">
        <v>402</v>
      </c>
      <c r="C64" s="278"/>
      <c r="D64" s="270">
        <v>41</v>
      </c>
      <c r="E64" s="352" t="s">
        <v>403</v>
      </c>
      <c r="F64" s="272"/>
      <c r="G64" s="273"/>
      <c r="H64" s="273"/>
      <c r="I64" s="273"/>
      <c r="J64" s="273"/>
      <c r="K64" s="273"/>
      <c r="L64" s="273"/>
      <c r="M64" s="273"/>
      <c r="N64" s="273"/>
      <c r="O64" s="273"/>
      <c r="P64" s="274"/>
      <c r="Q64" s="274"/>
      <c r="R64" s="274"/>
      <c r="S64" s="274"/>
      <c r="T64" s="274"/>
      <c r="U64" s="274"/>
      <c r="V64" s="274"/>
      <c r="W64" s="275"/>
      <c r="X64" s="276">
        <f>SUM(F64:W64)</f>
        <v>0</v>
      </c>
      <c r="Y64" s="183"/>
    </row>
    <row r="65" spans="1:25" ht="13.5" hidden="1" thickBot="1" x14ac:dyDescent="0.25">
      <c r="B65" s="281"/>
      <c r="C65" s="281"/>
      <c r="D65" s="282"/>
      <c r="E65" s="353"/>
      <c r="F65" s="354"/>
      <c r="G65" s="355"/>
      <c r="H65" s="355"/>
      <c r="I65" s="355"/>
      <c r="J65" s="355"/>
      <c r="K65" s="355"/>
      <c r="L65" s="355"/>
      <c r="M65" s="355"/>
      <c r="N65" s="355"/>
      <c r="O65" s="355"/>
      <c r="P65" s="356"/>
      <c r="Q65" s="356"/>
      <c r="R65" s="356"/>
      <c r="S65" s="356"/>
      <c r="T65" s="356"/>
      <c r="U65" s="356"/>
      <c r="V65" s="356"/>
      <c r="W65" s="357"/>
      <c r="X65" s="358">
        <f>SUM(F65:W65)</f>
        <v>0</v>
      </c>
      <c r="Y65" s="183"/>
    </row>
    <row r="66" spans="1:25" hidden="1" x14ac:dyDescent="0.2">
      <c r="A66" s="173" t="s">
        <v>419</v>
      </c>
      <c r="B66" s="530" t="s">
        <v>422</v>
      </c>
      <c r="C66" s="531"/>
      <c r="D66" s="344">
        <v>10</v>
      </c>
      <c r="E66" s="345" t="s">
        <v>408</v>
      </c>
      <c r="F66" s="359"/>
      <c r="G66" s="351"/>
      <c r="H66" s="351">
        <v>150000</v>
      </c>
      <c r="I66" s="351">
        <v>150000</v>
      </c>
      <c r="J66" s="351">
        <v>150000</v>
      </c>
      <c r="K66" s="351">
        <v>150000</v>
      </c>
      <c r="L66" s="351">
        <v>150000</v>
      </c>
      <c r="M66" s="351">
        <v>150000</v>
      </c>
      <c r="N66" s="351">
        <v>150000</v>
      </c>
      <c r="O66" s="351">
        <v>150000</v>
      </c>
      <c r="P66" s="351">
        <v>150000</v>
      </c>
      <c r="Q66" s="351">
        <v>150000</v>
      </c>
      <c r="R66" s="351"/>
      <c r="S66" s="351"/>
      <c r="T66" s="351"/>
      <c r="U66" s="351"/>
      <c r="V66" s="362"/>
      <c r="W66" s="360"/>
      <c r="X66" s="361">
        <f>SUM(F66:W66)</f>
        <v>1500000</v>
      </c>
      <c r="Y66" s="183"/>
    </row>
    <row r="67" spans="1:25" ht="25.5" hidden="1" x14ac:dyDescent="0.2">
      <c r="B67" s="268"/>
      <c r="C67" s="269"/>
      <c r="D67" s="270">
        <v>30</v>
      </c>
      <c r="E67" s="271" t="s">
        <v>396</v>
      </c>
      <c r="F67" s="272"/>
      <c r="G67" s="273"/>
      <c r="H67" s="273"/>
      <c r="I67" s="273"/>
      <c r="J67" s="273"/>
      <c r="K67" s="273"/>
      <c r="L67" s="273"/>
      <c r="M67" s="273"/>
      <c r="N67" s="273"/>
      <c r="O67" s="273"/>
      <c r="P67" s="274"/>
      <c r="Q67" s="274"/>
      <c r="R67" s="274"/>
      <c r="S67" s="274"/>
      <c r="T67" s="274"/>
      <c r="U67" s="274"/>
      <c r="V67" s="274"/>
      <c r="W67" s="275"/>
      <c r="X67" s="276">
        <f t="shared" ref="X67:X141" si="12">SUM(F67:W67)</f>
        <v>0</v>
      </c>
      <c r="Y67" s="183"/>
    </row>
    <row r="68" spans="1:25" ht="25.5" hidden="1" x14ac:dyDescent="0.2">
      <c r="B68" s="277"/>
      <c r="C68" s="278"/>
      <c r="D68" s="270">
        <v>37</v>
      </c>
      <c r="E68" s="352" t="s">
        <v>421</v>
      </c>
      <c r="F68" s="272"/>
      <c r="G68" s="273"/>
      <c r="H68" s="273"/>
      <c r="I68" s="273"/>
      <c r="J68" s="273"/>
      <c r="K68" s="273"/>
      <c r="L68" s="273"/>
      <c r="M68" s="273"/>
      <c r="N68" s="273"/>
      <c r="O68" s="273"/>
      <c r="P68" s="274"/>
      <c r="Q68" s="274"/>
      <c r="R68" s="274"/>
      <c r="S68" s="274"/>
      <c r="T68" s="274"/>
      <c r="U68" s="274"/>
      <c r="V68" s="274"/>
      <c r="W68" s="275"/>
      <c r="X68" s="276">
        <f t="shared" si="12"/>
        <v>0</v>
      </c>
      <c r="Y68" s="183"/>
    </row>
    <row r="69" spans="1:25" hidden="1" x14ac:dyDescent="0.2">
      <c r="B69" s="279" t="s">
        <v>402</v>
      </c>
      <c r="C69" s="279"/>
      <c r="D69" s="270">
        <v>41</v>
      </c>
      <c r="E69" s="271" t="s">
        <v>403</v>
      </c>
      <c r="F69" s="272"/>
      <c r="G69" s="273"/>
      <c r="H69" s="273"/>
      <c r="I69" s="273"/>
      <c r="J69" s="273"/>
      <c r="K69" s="273"/>
      <c r="L69" s="273"/>
      <c r="M69" s="273"/>
      <c r="N69" s="273"/>
      <c r="O69" s="273"/>
      <c r="P69" s="274"/>
      <c r="Q69" s="274"/>
      <c r="R69" s="274"/>
      <c r="S69" s="274"/>
      <c r="T69" s="274"/>
      <c r="U69" s="274"/>
      <c r="V69" s="274"/>
      <c r="W69" s="275"/>
      <c r="X69" s="276">
        <f t="shared" si="12"/>
        <v>0</v>
      </c>
      <c r="Y69" s="183"/>
    </row>
    <row r="70" spans="1:25" ht="13.5" hidden="1" thickBot="1" x14ac:dyDescent="0.25">
      <c r="B70" s="281"/>
      <c r="C70" s="281"/>
      <c r="D70" s="282"/>
      <c r="E70" s="353"/>
      <c r="F70" s="354"/>
      <c r="G70" s="355"/>
      <c r="H70" s="355"/>
      <c r="I70" s="355"/>
      <c r="J70" s="355"/>
      <c r="K70" s="355"/>
      <c r="L70" s="355"/>
      <c r="M70" s="355"/>
      <c r="N70" s="355"/>
      <c r="O70" s="355"/>
      <c r="P70" s="356"/>
      <c r="Q70" s="356"/>
      <c r="R70" s="356"/>
      <c r="S70" s="356"/>
      <c r="T70" s="356"/>
      <c r="U70" s="356"/>
      <c r="V70" s="356"/>
      <c r="W70" s="357"/>
      <c r="X70" s="358">
        <f t="shared" si="12"/>
        <v>0</v>
      </c>
      <c r="Y70" s="183"/>
    </row>
    <row r="71" spans="1:25" ht="24.75" hidden="1" customHeight="1" x14ac:dyDescent="0.2">
      <c r="A71" s="173" t="s">
        <v>423</v>
      </c>
      <c r="B71" s="530" t="s">
        <v>424</v>
      </c>
      <c r="C71" s="531"/>
      <c r="D71" s="344">
        <v>10</v>
      </c>
      <c r="E71" s="345" t="s">
        <v>408</v>
      </c>
      <c r="F71" s="359"/>
      <c r="G71" s="351"/>
      <c r="H71" s="351">
        <v>243000</v>
      </c>
      <c r="I71" s="351">
        <v>248000</v>
      </c>
      <c r="J71" s="351">
        <v>253000</v>
      </c>
      <c r="K71" s="351">
        <v>258000</v>
      </c>
      <c r="L71" s="351"/>
      <c r="M71" s="351"/>
      <c r="N71" s="351"/>
      <c r="O71" s="351"/>
      <c r="P71" s="362"/>
      <c r="Q71" s="362"/>
      <c r="R71" s="362"/>
      <c r="S71" s="362"/>
      <c r="T71" s="362"/>
      <c r="U71" s="362"/>
      <c r="V71" s="362"/>
      <c r="W71" s="360"/>
      <c r="X71" s="361">
        <f t="shared" si="12"/>
        <v>1002000</v>
      </c>
      <c r="Y71" s="183"/>
    </row>
    <row r="72" spans="1:25" ht="25.5" hidden="1" x14ac:dyDescent="0.2">
      <c r="B72" s="268"/>
      <c r="C72" s="269"/>
      <c r="D72" s="270">
        <v>30</v>
      </c>
      <c r="E72" s="271" t="s">
        <v>396</v>
      </c>
      <c r="F72" s="272"/>
      <c r="G72" s="273"/>
      <c r="H72" s="273">
        <v>2640000</v>
      </c>
      <c r="I72" s="273"/>
      <c r="J72" s="351">
        <v>2255000</v>
      </c>
      <c r="K72" s="351">
        <v>767000</v>
      </c>
      <c r="L72" s="351"/>
      <c r="M72" s="351"/>
      <c r="N72" s="273"/>
      <c r="O72" s="273"/>
      <c r="P72" s="274"/>
      <c r="Q72" s="274"/>
      <c r="R72" s="274"/>
      <c r="S72" s="274"/>
      <c r="T72" s="274"/>
      <c r="U72" s="274"/>
      <c r="V72" s="274"/>
      <c r="W72" s="275"/>
      <c r="X72" s="276">
        <f t="shared" si="12"/>
        <v>5662000</v>
      </c>
      <c r="Y72" s="183"/>
    </row>
    <row r="73" spans="1:25" ht="25.5" hidden="1" x14ac:dyDescent="0.2">
      <c r="B73" s="277"/>
      <c r="C73" s="278"/>
      <c r="D73" s="270">
        <v>37</v>
      </c>
      <c r="E73" s="352" t="s">
        <v>421</v>
      </c>
      <c r="F73" s="272"/>
      <c r="G73" s="273"/>
      <c r="H73" s="273">
        <v>400000</v>
      </c>
      <c r="I73" s="273">
        <v>400000</v>
      </c>
      <c r="J73" s="273">
        <v>400000</v>
      </c>
      <c r="K73" s="273">
        <v>400000</v>
      </c>
      <c r="L73" s="273"/>
      <c r="M73" s="273"/>
      <c r="N73" s="273"/>
      <c r="O73" s="273"/>
      <c r="P73" s="274"/>
      <c r="Q73" s="274"/>
      <c r="R73" s="274"/>
      <c r="S73" s="274"/>
      <c r="T73" s="274"/>
      <c r="U73" s="274"/>
      <c r="V73" s="274"/>
      <c r="W73" s="275"/>
      <c r="X73" s="276">
        <f t="shared" si="12"/>
        <v>1600000</v>
      </c>
      <c r="Y73" s="183"/>
    </row>
    <row r="74" spans="1:25" hidden="1" x14ac:dyDescent="0.2">
      <c r="B74" s="279" t="s">
        <v>402</v>
      </c>
      <c r="C74" s="279"/>
      <c r="D74" s="270">
        <v>41</v>
      </c>
      <c r="E74" s="271" t="s">
        <v>403</v>
      </c>
      <c r="F74" s="272"/>
      <c r="G74" s="273"/>
      <c r="H74" s="273"/>
      <c r="I74" s="273">
        <v>200000</v>
      </c>
      <c r="J74" s="273">
        <v>100000</v>
      </c>
      <c r="K74" s="273">
        <v>100000</v>
      </c>
      <c r="L74" s="273"/>
      <c r="M74" s="273"/>
      <c r="N74" s="273"/>
      <c r="O74" s="273"/>
      <c r="P74" s="274"/>
      <c r="Q74" s="274"/>
      <c r="R74" s="274"/>
      <c r="S74" s="274"/>
      <c r="T74" s="274"/>
      <c r="U74" s="274"/>
      <c r="V74" s="274"/>
      <c r="W74" s="275"/>
      <c r="X74" s="276">
        <f t="shared" si="12"/>
        <v>400000</v>
      </c>
      <c r="Y74" s="183"/>
    </row>
    <row r="75" spans="1:25" ht="13.5" hidden="1" thickBot="1" x14ac:dyDescent="0.25">
      <c r="B75" s="281"/>
      <c r="C75" s="281"/>
      <c r="D75" s="282"/>
      <c r="E75" s="353"/>
      <c r="F75" s="354"/>
      <c r="G75" s="355"/>
      <c r="H75" s="355"/>
      <c r="I75" s="355"/>
      <c r="J75" s="355"/>
      <c r="K75" s="355"/>
      <c r="L75" s="355"/>
      <c r="M75" s="355"/>
      <c r="N75" s="355"/>
      <c r="O75" s="355"/>
      <c r="P75" s="356"/>
      <c r="Q75" s="356"/>
      <c r="R75" s="356"/>
      <c r="S75" s="356"/>
      <c r="T75" s="356"/>
      <c r="U75" s="356"/>
      <c r="V75" s="356"/>
      <c r="W75" s="357"/>
      <c r="X75" s="358">
        <f t="shared" si="12"/>
        <v>0</v>
      </c>
      <c r="Y75" s="183"/>
    </row>
    <row r="76" spans="1:25" hidden="1" x14ac:dyDescent="0.2">
      <c r="A76" s="173" t="s">
        <v>425</v>
      </c>
      <c r="B76" s="530" t="s">
        <v>426</v>
      </c>
      <c r="C76" s="531"/>
      <c r="D76" s="344">
        <v>10</v>
      </c>
      <c r="E76" s="345" t="s">
        <v>408</v>
      </c>
      <c r="F76" s="359"/>
      <c r="G76" s="351"/>
      <c r="H76" s="351">
        <v>200000</v>
      </c>
      <c r="I76" s="351">
        <v>206000</v>
      </c>
      <c r="J76" s="351">
        <v>212000</v>
      </c>
      <c r="K76" s="351">
        <v>218000</v>
      </c>
      <c r="L76" s="351"/>
      <c r="M76" s="351"/>
      <c r="N76" s="351"/>
      <c r="O76" s="351"/>
      <c r="P76" s="362"/>
      <c r="Q76" s="362"/>
      <c r="R76" s="362"/>
      <c r="S76" s="362"/>
      <c r="T76" s="362"/>
      <c r="U76" s="362"/>
      <c r="V76" s="362"/>
      <c r="W76" s="360"/>
      <c r="X76" s="361">
        <f t="shared" si="12"/>
        <v>836000</v>
      </c>
      <c r="Y76" s="183"/>
    </row>
    <row r="77" spans="1:25" ht="25.5" hidden="1" x14ac:dyDescent="0.2">
      <c r="B77" s="268"/>
      <c r="C77" s="269"/>
      <c r="D77" s="270">
        <v>30</v>
      </c>
      <c r="E77" s="271" t="s">
        <v>396</v>
      </c>
      <c r="F77" s="272"/>
      <c r="G77" s="273"/>
      <c r="H77" s="273"/>
      <c r="I77" s="273"/>
      <c r="J77" s="273"/>
      <c r="K77" s="273"/>
      <c r="L77" s="273"/>
      <c r="M77" s="273"/>
      <c r="N77" s="273"/>
      <c r="O77" s="273"/>
      <c r="P77" s="274"/>
      <c r="Q77" s="274"/>
      <c r="R77" s="274"/>
      <c r="S77" s="274"/>
      <c r="T77" s="274"/>
      <c r="U77" s="274"/>
      <c r="V77" s="274"/>
      <c r="W77" s="275"/>
      <c r="X77" s="276">
        <f t="shared" si="12"/>
        <v>0</v>
      </c>
      <c r="Y77" s="183"/>
    </row>
    <row r="78" spans="1:25" ht="25.5" hidden="1" x14ac:dyDescent="0.2">
      <c r="B78" s="277"/>
      <c r="C78" s="278"/>
      <c r="D78" s="270">
        <v>37</v>
      </c>
      <c r="E78" s="352" t="s">
        <v>421</v>
      </c>
      <c r="F78" s="272"/>
      <c r="G78" s="273"/>
      <c r="H78" s="273">
        <v>1100000</v>
      </c>
      <c r="I78" s="273">
        <v>1100000</v>
      </c>
      <c r="J78" s="273">
        <v>1100000</v>
      </c>
      <c r="K78" s="273">
        <v>1100000</v>
      </c>
      <c r="L78" s="273"/>
      <c r="M78" s="273"/>
      <c r="N78" s="273"/>
      <c r="O78" s="273"/>
      <c r="P78" s="274"/>
      <c r="Q78" s="274"/>
      <c r="R78" s="274"/>
      <c r="S78" s="274"/>
      <c r="T78" s="274"/>
      <c r="U78" s="274"/>
      <c r="V78" s="274"/>
      <c r="W78" s="275"/>
      <c r="X78" s="276">
        <f t="shared" si="12"/>
        <v>4400000</v>
      </c>
      <c r="Y78" s="183"/>
    </row>
    <row r="79" spans="1:25" hidden="1" x14ac:dyDescent="0.2">
      <c r="B79" s="279" t="s">
        <v>402</v>
      </c>
      <c r="C79" s="279"/>
      <c r="D79" s="270">
        <v>41</v>
      </c>
      <c r="E79" s="271" t="s">
        <v>403</v>
      </c>
      <c r="F79" s="272"/>
      <c r="G79" s="273"/>
      <c r="H79" s="273"/>
      <c r="I79" s="273"/>
      <c r="J79" s="273"/>
      <c r="K79" s="273"/>
      <c r="L79" s="273"/>
      <c r="M79" s="273"/>
      <c r="N79" s="273"/>
      <c r="O79" s="273"/>
      <c r="P79" s="274"/>
      <c r="Q79" s="274"/>
      <c r="R79" s="274"/>
      <c r="S79" s="274"/>
      <c r="T79" s="274"/>
      <c r="U79" s="274"/>
      <c r="V79" s="274"/>
      <c r="W79" s="275"/>
      <c r="X79" s="276">
        <f t="shared" si="12"/>
        <v>0</v>
      </c>
      <c r="Y79" s="183"/>
    </row>
    <row r="80" spans="1:25" ht="13.5" hidden="1" thickBot="1" x14ac:dyDescent="0.25">
      <c r="B80" s="281"/>
      <c r="C80" s="281"/>
      <c r="D80" s="282"/>
      <c r="E80" s="353"/>
      <c r="F80" s="354"/>
      <c r="G80" s="355"/>
      <c r="H80" s="355"/>
      <c r="I80" s="355"/>
      <c r="J80" s="355"/>
      <c r="K80" s="355"/>
      <c r="L80" s="355"/>
      <c r="M80" s="355"/>
      <c r="N80" s="355"/>
      <c r="O80" s="355"/>
      <c r="P80" s="356"/>
      <c r="Q80" s="356"/>
      <c r="R80" s="356"/>
      <c r="S80" s="356"/>
      <c r="T80" s="356"/>
      <c r="U80" s="356"/>
      <c r="V80" s="356"/>
      <c r="W80" s="357"/>
      <c r="X80" s="358">
        <f t="shared" si="12"/>
        <v>0</v>
      </c>
      <c r="Y80" s="183"/>
    </row>
    <row r="81" spans="1:25" hidden="1" x14ac:dyDescent="0.2">
      <c r="A81" s="173" t="s">
        <v>427</v>
      </c>
      <c r="B81" s="530" t="s">
        <v>428</v>
      </c>
      <c r="C81" s="531"/>
      <c r="D81" s="344">
        <v>10</v>
      </c>
      <c r="E81" s="345" t="s">
        <v>408</v>
      </c>
      <c r="F81" s="359"/>
      <c r="G81" s="351"/>
      <c r="H81" s="351">
        <v>207000</v>
      </c>
      <c r="I81" s="351">
        <v>215000</v>
      </c>
      <c r="J81" s="351">
        <v>222000</v>
      </c>
      <c r="K81" s="351">
        <v>230000</v>
      </c>
      <c r="L81" s="351">
        <v>238000</v>
      </c>
      <c r="M81" s="351">
        <v>246000</v>
      </c>
      <c r="N81" s="351">
        <v>255000</v>
      </c>
      <c r="O81" s="351">
        <v>264000</v>
      </c>
      <c r="P81" s="362">
        <v>273000</v>
      </c>
      <c r="Q81" s="362">
        <v>283000</v>
      </c>
      <c r="R81" s="362"/>
      <c r="S81" s="362"/>
      <c r="T81" s="362"/>
      <c r="U81" s="362"/>
      <c r="V81" s="362"/>
      <c r="W81" s="360"/>
      <c r="X81" s="361">
        <f t="shared" si="12"/>
        <v>2433000</v>
      </c>
      <c r="Y81" s="183"/>
    </row>
    <row r="82" spans="1:25" ht="25.5" hidden="1" x14ac:dyDescent="0.2">
      <c r="B82" s="268"/>
      <c r="C82" s="269"/>
      <c r="D82" s="270">
        <v>30</v>
      </c>
      <c r="E82" s="271" t="s">
        <v>396</v>
      </c>
      <c r="F82" s="272"/>
      <c r="G82" s="273"/>
      <c r="H82" s="273"/>
      <c r="I82" s="273"/>
      <c r="J82" s="273"/>
      <c r="K82" s="273"/>
      <c r="L82" s="273"/>
      <c r="M82" s="273"/>
      <c r="N82" s="273"/>
      <c r="O82" s="273"/>
      <c r="P82" s="274"/>
      <c r="Q82" s="274"/>
      <c r="R82" s="274"/>
      <c r="S82" s="274"/>
      <c r="T82" s="274"/>
      <c r="U82" s="274"/>
      <c r="V82" s="274"/>
      <c r="W82" s="275"/>
      <c r="X82" s="276">
        <f t="shared" si="12"/>
        <v>0</v>
      </c>
      <c r="Y82" s="183"/>
    </row>
    <row r="83" spans="1:25" ht="25.5" hidden="1" x14ac:dyDescent="0.2">
      <c r="B83" s="277"/>
      <c r="C83" s="278"/>
      <c r="D83" s="270">
        <v>37</v>
      </c>
      <c r="E83" s="352" t="s">
        <v>421</v>
      </c>
      <c r="F83" s="272"/>
      <c r="G83" s="273"/>
      <c r="H83" s="273">
        <v>780000</v>
      </c>
      <c r="I83" s="273">
        <v>808000</v>
      </c>
      <c r="J83" s="273">
        <v>836000</v>
      </c>
      <c r="K83" s="273">
        <v>864000</v>
      </c>
      <c r="L83" s="273">
        <v>896000</v>
      </c>
      <c r="M83" s="273">
        <v>927000</v>
      </c>
      <c r="N83" s="273">
        <v>959000</v>
      </c>
      <c r="O83" s="273">
        <v>993000</v>
      </c>
      <c r="P83" s="274">
        <v>1028000</v>
      </c>
      <c r="Q83" s="274">
        <v>1063000</v>
      </c>
      <c r="R83" s="274"/>
      <c r="S83" s="274"/>
      <c r="T83" s="274"/>
      <c r="U83" s="274"/>
      <c r="V83" s="274"/>
      <c r="W83" s="275"/>
      <c r="X83" s="276">
        <f t="shared" si="12"/>
        <v>9154000</v>
      </c>
      <c r="Y83" s="183"/>
    </row>
    <row r="84" spans="1:25" hidden="1" x14ac:dyDescent="0.2">
      <c r="B84" s="279" t="s">
        <v>402</v>
      </c>
      <c r="C84" s="279"/>
      <c r="D84" s="280">
        <v>41</v>
      </c>
      <c r="E84" s="271" t="s">
        <v>403</v>
      </c>
      <c r="F84" s="272"/>
      <c r="G84" s="273"/>
      <c r="H84" s="273"/>
      <c r="I84" s="273"/>
      <c r="J84" s="273"/>
      <c r="K84" s="273"/>
      <c r="L84" s="273"/>
      <c r="M84" s="273"/>
      <c r="N84" s="273"/>
      <c r="O84" s="273"/>
      <c r="P84" s="274"/>
      <c r="Q84" s="274"/>
      <c r="R84" s="274"/>
      <c r="S84" s="274"/>
      <c r="T84" s="274"/>
      <c r="U84" s="274"/>
      <c r="V84" s="274"/>
      <c r="W84" s="275"/>
      <c r="X84" s="276">
        <f t="shared" si="12"/>
        <v>0</v>
      </c>
      <c r="Y84" s="183"/>
    </row>
    <row r="85" spans="1:25" ht="39" hidden="1" thickBot="1" x14ac:dyDescent="0.25">
      <c r="B85" s="281"/>
      <c r="C85" s="281"/>
      <c r="D85" s="282">
        <v>99</v>
      </c>
      <c r="E85" s="353" t="s">
        <v>429</v>
      </c>
      <c r="F85" s="354"/>
      <c r="G85" s="355"/>
      <c r="H85" s="355">
        <v>6500000</v>
      </c>
      <c r="I85" s="355">
        <v>6728000</v>
      </c>
      <c r="J85" s="355">
        <v>6963000</v>
      </c>
      <c r="K85" s="355">
        <v>7207000</v>
      </c>
      <c r="L85" s="355">
        <v>7459000</v>
      </c>
      <c r="M85" s="355">
        <v>7720000</v>
      </c>
      <c r="N85" s="355">
        <v>7990000</v>
      </c>
      <c r="O85" s="355">
        <v>8270000</v>
      </c>
      <c r="P85" s="356">
        <v>8560000</v>
      </c>
      <c r="Q85" s="356">
        <v>8860000</v>
      </c>
      <c r="R85" s="356"/>
      <c r="S85" s="356"/>
      <c r="T85" s="356"/>
      <c r="U85" s="356"/>
      <c r="V85" s="356"/>
      <c r="W85" s="357"/>
      <c r="X85" s="358">
        <f t="shared" si="12"/>
        <v>76257000</v>
      </c>
      <c r="Y85" s="183"/>
    </row>
    <row r="86" spans="1:25" hidden="1" x14ac:dyDescent="0.2">
      <c r="A86" s="173" t="s">
        <v>427</v>
      </c>
      <c r="B86" s="530" t="s">
        <v>430</v>
      </c>
      <c r="C86" s="531"/>
      <c r="D86" s="344">
        <v>10</v>
      </c>
      <c r="E86" s="345" t="s">
        <v>408</v>
      </c>
      <c r="F86" s="359"/>
      <c r="G86" s="351"/>
      <c r="H86" s="351">
        <v>160000</v>
      </c>
      <c r="I86" s="351">
        <v>166000</v>
      </c>
      <c r="J86" s="351"/>
      <c r="K86" s="351"/>
      <c r="L86" s="351"/>
      <c r="M86" s="351"/>
      <c r="N86" s="351"/>
      <c r="O86" s="351"/>
      <c r="P86" s="362"/>
      <c r="Q86" s="362"/>
      <c r="R86" s="362"/>
      <c r="S86" s="362"/>
      <c r="T86" s="362"/>
      <c r="U86" s="362"/>
      <c r="V86" s="362"/>
      <c r="W86" s="360"/>
      <c r="X86" s="361">
        <f t="shared" si="12"/>
        <v>326000</v>
      </c>
      <c r="Y86" s="183"/>
    </row>
    <row r="87" spans="1:25" ht="25.5" hidden="1" x14ac:dyDescent="0.2">
      <c r="B87" s="268"/>
      <c r="C87" s="269"/>
      <c r="D87" s="270">
        <v>30</v>
      </c>
      <c r="E87" s="271" t="s">
        <v>396</v>
      </c>
      <c r="F87" s="272"/>
      <c r="G87" s="273"/>
      <c r="H87" s="273"/>
      <c r="I87" s="273"/>
      <c r="J87" s="273"/>
      <c r="K87" s="273"/>
      <c r="L87" s="273"/>
      <c r="M87" s="273"/>
      <c r="N87" s="273"/>
      <c r="O87" s="273"/>
      <c r="P87" s="274"/>
      <c r="Q87" s="274"/>
      <c r="R87" s="274"/>
      <c r="S87" s="274"/>
      <c r="T87" s="274"/>
      <c r="U87" s="274"/>
      <c r="V87" s="274"/>
      <c r="W87" s="275"/>
      <c r="X87" s="276">
        <f t="shared" si="12"/>
        <v>0</v>
      </c>
      <c r="Y87" s="183"/>
    </row>
    <row r="88" spans="1:25" ht="38.25" hidden="1" x14ac:dyDescent="0.2">
      <c r="B88" s="277"/>
      <c r="C88" s="278"/>
      <c r="D88" s="270">
        <v>37</v>
      </c>
      <c r="E88" s="352" t="s">
        <v>431</v>
      </c>
      <c r="F88" s="272"/>
      <c r="G88" s="273"/>
      <c r="H88" s="273">
        <v>130000</v>
      </c>
      <c r="I88" s="273">
        <v>135000</v>
      </c>
      <c r="J88" s="273"/>
      <c r="K88" s="273"/>
      <c r="L88" s="273"/>
      <c r="M88" s="273"/>
      <c r="N88" s="273"/>
      <c r="O88" s="273"/>
      <c r="P88" s="274"/>
      <c r="Q88" s="274"/>
      <c r="R88" s="274"/>
      <c r="S88" s="274"/>
      <c r="T88" s="274"/>
      <c r="U88" s="274"/>
      <c r="V88" s="274"/>
      <c r="W88" s="275"/>
      <c r="X88" s="276">
        <f t="shared" si="12"/>
        <v>265000</v>
      </c>
      <c r="Y88" s="183"/>
    </row>
    <row r="89" spans="1:25" hidden="1" x14ac:dyDescent="0.2">
      <c r="B89" s="279" t="s">
        <v>402</v>
      </c>
      <c r="C89" s="279"/>
      <c r="D89" s="270">
        <v>41</v>
      </c>
      <c r="E89" s="271" t="s">
        <v>403</v>
      </c>
      <c r="F89" s="272"/>
      <c r="G89" s="273"/>
      <c r="H89" s="273">
        <v>871000</v>
      </c>
      <c r="I89" s="273"/>
      <c r="J89" s="273"/>
      <c r="K89" s="273"/>
      <c r="L89" s="273"/>
      <c r="M89" s="273"/>
      <c r="N89" s="273"/>
      <c r="O89" s="273"/>
      <c r="P89" s="274"/>
      <c r="Q89" s="274"/>
      <c r="R89" s="274"/>
      <c r="S89" s="274"/>
      <c r="T89" s="274"/>
      <c r="U89" s="274"/>
      <c r="V89" s="274"/>
      <c r="W89" s="275"/>
      <c r="X89" s="276">
        <f t="shared" si="12"/>
        <v>871000</v>
      </c>
      <c r="Y89" s="183"/>
    </row>
    <row r="90" spans="1:25" ht="13.5" hidden="1" thickBot="1" x14ac:dyDescent="0.25">
      <c r="B90" s="281"/>
      <c r="C90" s="281"/>
      <c r="D90" s="282"/>
      <c r="E90" s="353"/>
      <c r="F90" s="354"/>
      <c r="G90" s="355"/>
      <c r="H90" s="355"/>
      <c r="I90" s="355"/>
      <c r="J90" s="355"/>
      <c r="K90" s="355"/>
      <c r="L90" s="355"/>
      <c r="M90" s="355"/>
      <c r="N90" s="355"/>
      <c r="O90" s="355"/>
      <c r="P90" s="356"/>
      <c r="Q90" s="356"/>
      <c r="R90" s="356"/>
      <c r="S90" s="356"/>
      <c r="T90" s="356"/>
      <c r="U90" s="356"/>
      <c r="V90" s="356"/>
      <c r="W90" s="357"/>
      <c r="X90" s="358">
        <f t="shared" si="12"/>
        <v>0</v>
      </c>
      <c r="Y90" s="183"/>
    </row>
    <row r="91" spans="1:25" hidden="1" x14ac:dyDescent="0.2">
      <c r="A91" s="173" t="s">
        <v>425</v>
      </c>
      <c r="B91" s="530" t="s">
        <v>432</v>
      </c>
      <c r="C91" s="531"/>
      <c r="D91" s="344">
        <v>10</v>
      </c>
      <c r="E91" s="345" t="s">
        <v>408</v>
      </c>
      <c r="F91" s="359"/>
      <c r="G91" s="351"/>
      <c r="H91" s="351">
        <v>280000</v>
      </c>
      <c r="I91" s="351">
        <v>290000</v>
      </c>
      <c r="J91" s="351"/>
      <c r="K91" s="351"/>
      <c r="L91" s="351"/>
      <c r="M91" s="351"/>
      <c r="N91" s="351"/>
      <c r="O91" s="351"/>
      <c r="P91" s="362"/>
      <c r="Q91" s="362"/>
      <c r="R91" s="362"/>
      <c r="S91" s="362"/>
      <c r="T91" s="362"/>
      <c r="U91" s="362"/>
      <c r="V91" s="362"/>
      <c r="W91" s="360"/>
      <c r="X91" s="361">
        <f>SUM(F91:W91)</f>
        <v>570000</v>
      </c>
      <c r="Y91" s="183"/>
    </row>
    <row r="92" spans="1:25" ht="25.5" hidden="1" x14ac:dyDescent="0.2">
      <c r="B92" s="268"/>
      <c r="C92" s="269"/>
      <c r="D92" s="270">
        <v>30</v>
      </c>
      <c r="E92" s="271" t="s">
        <v>396</v>
      </c>
      <c r="F92" s="272"/>
      <c r="G92" s="273"/>
      <c r="H92" s="273"/>
      <c r="I92" s="273"/>
      <c r="J92" s="273"/>
      <c r="K92" s="273"/>
      <c r="L92" s="273"/>
      <c r="M92" s="273"/>
      <c r="N92" s="273"/>
      <c r="O92" s="273"/>
      <c r="P92" s="274"/>
      <c r="Q92" s="274"/>
      <c r="R92" s="274"/>
      <c r="S92" s="274"/>
      <c r="T92" s="274"/>
      <c r="U92" s="274"/>
      <c r="V92" s="274"/>
      <c r="W92" s="275"/>
      <c r="X92" s="276">
        <f>SUM(F92:W92)</f>
        <v>0</v>
      </c>
      <c r="Y92" s="183"/>
    </row>
    <row r="93" spans="1:25" ht="26.25" hidden="1" customHeight="1" x14ac:dyDescent="0.2">
      <c r="B93" s="277"/>
      <c r="C93" s="278"/>
      <c r="D93" s="270">
        <v>37</v>
      </c>
      <c r="E93" s="352" t="s">
        <v>433</v>
      </c>
      <c r="F93" s="272"/>
      <c r="G93" s="273"/>
      <c r="H93" s="273">
        <v>130000</v>
      </c>
      <c r="I93" s="273">
        <v>135000</v>
      </c>
      <c r="J93" s="273"/>
      <c r="K93" s="273"/>
      <c r="L93" s="273"/>
      <c r="M93" s="273"/>
      <c r="N93" s="273"/>
      <c r="O93" s="273"/>
      <c r="P93" s="274"/>
      <c r="Q93" s="274"/>
      <c r="R93" s="274"/>
      <c r="S93" s="274"/>
      <c r="T93" s="274"/>
      <c r="U93" s="274"/>
      <c r="V93" s="274"/>
      <c r="W93" s="275"/>
      <c r="X93" s="276">
        <f>SUM(F93:W93)</f>
        <v>265000</v>
      </c>
      <c r="Y93" s="183"/>
    </row>
    <row r="94" spans="1:25" hidden="1" x14ac:dyDescent="0.2">
      <c r="B94" s="279" t="s">
        <v>402</v>
      </c>
      <c r="C94" s="279"/>
      <c r="D94" s="270">
        <v>41</v>
      </c>
      <c r="E94" s="271" t="s">
        <v>434</v>
      </c>
      <c r="F94" s="272"/>
      <c r="G94" s="273"/>
      <c r="H94" s="273">
        <v>850000</v>
      </c>
      <c r="I94" s="273"/>
      <c r="J94" s="273"/>
      <c r="K94" s="273"/>
      <c r="L94" s="273"/>
      <c r="M94" s="273"/>
      <c r="N94" s="273"/>
      <c r="O94" s="273"/>
      <c r="P94" s="274"/>
      <c r="Q94" s="274"/>
      <c r="R94" s="274"/>
      <c r="S94" s="274"/>
      <c r="T94" s="274"/>
      <c r="U94" s="274"/>
      <c r="V94" s="274"/>
      <c r="W94" s="275"/>
      <c r="X94" s="276">
        <f>SUM(F94:W94)</f>
        <v>850000</v>
      </c>
      <c r="Y94" s="183"/>
    </row>
    <row r="95" spans="1:25" ht="13.5" hidden="1" thickBot="1" x14ac:dyDescent="0.25">
      <c r="B95" s="281"/>
      <c r="C95" s="281"/>
      <c r="D95" s="282"/>
      <c r="E95" s="353"/>
      <c r="F95" s="354"/>
      <c r="G95" s="355"/>
      <c r="H95" s="355"/>
      <c r="I95" s="355"/>
      <c r="J95" s="355"/>
      <c r="K95" s="355"/>
      <c r="L95" s="355"/>
      <c r="M95" s="355"/>
      <c r="N95" s="355"/>
      <c r="O95" s="355"/>
      <c r="P95" s="356"/>
      <c r="Q95" s="356"/>
      <c r="R95" s="356"/>
      <c r="S95" s="356"/>
      <c r="T95" s="356"/>
      <c r="U95" s="356"/>
      <c r="V95" s="356"/>
      <c r="W95" s="357"/>
      <c r="X95" s="358">
        <f>SUM(F95:W95)</f>
        <v>0</v>
      </c>
      <c r="Y95" s="183"/>
    </row>
    <row r="96" spans="1:25" hidden="1" x14ac:dyDescent="0.2">
      <c r="A96" s="173" t="s">
        <v>427</v>
      </c>
      <c r="B96" s="530" t="s">
        <v>232</v>
      </c>
      <c r="C96" s="531"/>
      <c r="D96" s="344">
        <v>10</v>
      </c>
      <c r="E96" s="345" t="s">
        <v>408</v>
      </c>
      <c r="F96" s="359"/>
      <c r="G96" s="351"/>
      <c r="H96" s="351">
        <v>160000</v>
      </c>
      <c r="I96" s="351">
        <v>166000</v>
      </c>
      <c r="J96" s="351"/>
      <c r="K96" s="351"/>
      <c r="L96" s="351"/>
      <c r="M96" s="351"/>
      <c r="N96" s="351"/>
      <c r="O96" s="351"/>
      <c r="P96" s="362"/>
      <c r="Q96" s="362"/>
      <c r="R96" s="362"/>
      <c r="S96" s="362"/>
      <c r="T96" s="362"/>
      <c r="U96" s="362"/>
      <c r="V96" s="362"/>
      <c r="W96" s="360"/>
      <c r="X96" s="361">
        <f t="shared" si="12"/>
        <v>326000</v>
      </c>
      <c r="Y96" s="183"/>
    </row>
    <row r="97" spans="1:25" ht="25.5" hidden="1" x14ac:dyDescent="0.2">
      <c r="B97" s="268"/>
      <c r="C97" s="269"/>
      <c r="D97" s="270">
        <v>30</v>
      </c>
      <c r="E97" s="271" t="s">
        <v>396</v>
      </c>
      <c r="F97" s="272"/>
      <c r="G97" s="273"/>
      <c r="H97" s="273"/>
      <c r="I97" s="273"/>
      <c r="J97" s="273"/>
      <c r="K97" s="273"/>
      <c r="L97" s="273"/>
      <c r="M97" s="273"/>
      <c r="N97" s="273"/>
      <c r="O97" s="273"/>
      <c r="P97" s="274"/>
      <c r="Q97" s="274"/>
      <c r="R97" s="274"/>
      <c r="S97" s="274"/>
      <c r="T97" s="274"/>
      <c r="U97" s="274"/>
      <c r="V97" s="274"/>
      <c r="W97" s="275"/>
      <c r="X97" s="276">
        <f t="shared" si="12"/>
        <v>0</v>
      </c>
      <c r="Y97" s="183"/>
    </row>
    <row r="98" spans="1:25" ht="26.25" hidden="1" customHeight="1" x14ac:dyDescent="0.2">
      <c r="B98" s="277"/>
      <c r="C98" s="278"/>
      <c r="D98" s="270">
        <v>37</v>
      </c>
      <c r="E98" s="352" t="s">
        <v>433</v>
      </c>
      <c r="F98" s="272"/>
      <c r="G98" s="273"/>
      <c r="H98" s="273">
        <v>130000</v>
      </c>
      <c r="I98" s="273">
        <v>135000</v>
      </c>
      <c r="J98" s="273"/>
      <c r="K98" s="273"/>
      <c r="L98" s="273"/>
      <c r="M98" s="273"/>
      <c r="N98" s="273"/>
      <c r="O98" s="273"/>
      <c r="P98" s="274"/>
      <c r="Q98" s="274"/>
      <c r="R98" s="274"/>
      <c r="S98" s="274"/>
      <c r="T98" s="274"/>
      <c r="U98" s="274"/>
      <c r="V98" s="274"/>
      <c r="W98" s="275"/>
      <c r="X98" s="276">
        <f t="shared" si="12"/>
        <v>265000</v>
      </c>
      <c r="Y98" s="183"/>
    </row>
    <row r="99" spans="1:25" hidden="1" x14ac:dyDescent="0.2">
      <c r="B99" s="279" t="s">
        <v>402</v>
      </c>
      <c r="C99" s="279"/>
      <c r="D99" s="270">
        <v>41</v>
      </c>
      <c r="E99" s="271" t="s">
        <v>403</v>
      </c>
      <c r="F99" s="272"/>
      <c r="G99" s="273"/>
      <c r="H99" s="273">
        <v>533000</v>
      </c>
      <c r="I99" s="273"/>
      <c r="J99" s="273"/>
      <c r="K99" s="273"/>
      <c r="L99" s="273"/>
      <c r="M99" s="273"/>
      <c r="N99" s="273"/>
      <c r="O99" s="273"/>
      <c r="P99" s="274"/>
      <c r="Q99" s="274"/>
      <c r="R99" s="274"/>
      <c r="S99" s="274"/>
      <c r="T99" s="274"/>
      <c r="U99" s="274"/>
      <c r="V99" s="274"/>
      <c r="W99" s="275"/>
      <c r="X99" s="276">
        <f t="shared" si="12"/>
        <v>533000</v>
      </c>
      <c r="Y99" s="183"/>
    </row>
    <row r="100" spans="1:25" ht="13.5" hidden="1" thickBot="1" x14ac:dyDescent="0.25">
      <c r="B100" s="281"/>
      <c r="C100" s="281"/>
      <c r="D100" s="282"/>
      <c r="E100" s="363"/>
      <c r="F100" s="354"/>
      <c r="G100" s="355"/>
      <c r="H100" s="355"/>
      <c r="I100" s="355"/>
      <c r="J100" s="355"/>
      <c r="K100" s="355"/>
      <c r="L100" s="355"/>
      <c r="M100" s="355"/>
      <c r="N100" s="355"/>
      <c r="O100" s="355"/>
      <c r="P100" s="356"/>
      <c r="Q100" s="356"/>
      <c r="R100" s="356"/>
      <c r="S100" s="356"/>
      <c r="T100" s="356"/>
      <c r="U100" s="356"/>
      <c r="V100" s="356"/>
      <c r="W100" s="357"/>
      <c r="X100" s="358">
        <f t="shared" si="12"/>
        <v>0</v>
      </c>
      <c r="Y100" s="183"/>
    </row>
    <row r="101" spans="1:25" hidden="1" x14ac:dyDescent="0.2">
      <c r="A101" s="173" t="s">
        <v>435</v>
      </c>
      <c r="B101" s="530" t="s">
        <v>436</v>
      </c>
      <c r="C101" s="531"/>
      <c r="D101" s="344">
        <v>10</v>
      </c>
      <c r="E101" s="345" t="s">
        <v>408</v>
      </c>
      <c r="F101" s="359"/>
      <c r="G101" s="351"/>
      <c r="H101" s="351">
        <v>527000</v>
      </c>
      <c r="I101" s="351">
        <v>545000</v>
      </c>
      <c r="J101" s="351">
        <v>564000</v>
      </c>
      <c r="K101" s="351">
        <v>584000</v>
      </c>
      <c r="L101" s="351">
        <v>604000</v>
      </c>
      <c r="M101" s="351">
        <v>626000</v>
      </c>
      <c r="N101" s="351">
        <v>647000</v>
      </c>
      <c r="O101" s="351">
        <v>670000</v>
      </c>
      <c r="P101" s="362">
        <v>693000</v>
      </c>
      <c r="Q101" s="362">
        <v>718000</v>
      </c>
      <c r="R101" s="362"/>
      <c r="S101" s="362"/>
      <c r="T101" s="362"/>
      <c r="U101" s="362"/>
      <c r="V101" s="362"/>
      <c r="W101" s="360"/>
      <c r="X101" s="361">
        <f t="shared" si="12"/>
        <v>6178000</v>
      </c>
      <c r="Y101" s="183"/>
    </row>
    <row r="102" spans="1:25" ht="25.5" hidden="1" x14ac:dyDescent="0.2">
      <c r="A102" s="173" t="s">
        <v>427</v>
      </c>
      <c r="B102" s="268"/>
      <c r="C102" s="269"/>
      <c r="D102" s="270">
        <v>30</v>
      </c>
      <c r="E102" s="271" t="s">
        <v>396</v>
      </c>
      <c r="F102" s="272"/>
      <c r="G102" s="273"/>
      <c r="H102" s="273"/>
      <c r="I102" s="273"/>
      <c r="J102" s="273"/>
      <c r="K102" s="273"/>
      <c r="L102" s="273"/>
      <c r="M102" s="273"/>
      <c r="N102" s="273"/>
      <c r="O102" s="273"/>
      <c r="P102" s="274"/>
      <c r="Q102" s="274"/>
      <c r="R102" s="274"/>
      <c r="S102" s="274"/>
      <c r="T102" s="274"/>
      <c r="U102" s="274"/>
      <c r="V102" s="274"/>
      <c r="W102" s="275"/>
      <c r="X102" s="276">
        <f t="shared" si="12"/>
        <v>0</v>
      </c>
      <c r="Y102" s="183"/>
    </row>
    <row r="103" spans="1:25" ht="38.25" hidden="1" x14ac:dyDescent="0.2">
      <c r="B103" s="277"/>
      <c r="C103" s="278"/>
      <c r="D103" s="270">
        <v>37</v>
      </c>
      <c r="E103" s="352" t="s">
        <v>437</v>
      </c>
      <c r="F103" s="272"/>
      <c r="G103" s="273"/>
      <c r="H103" s="273">
        <v>975000</v>
      </c>
      <c r="I103" s="273">
        <v>1010000</v>
      </c>
      <c r="J103" s="273">
        <v>1045000</v>
      </c>
      <c r="K103" s="273">
        <v>1081000</v>
      </c>
      <c r="L103" s="273">
        <v>1119000</v>
      </c>
      <c r="M103" s="273">
        <v>1158000</v>
      </c>
      <c r="N103" s="273">
        <v>1200000</v>
      </c>
      <c r="O103" s="273">
        <v>1240000</v>
      </c>
      <c r="P103" s="274">
        <v>1284000</v>
      </c>
      <c r="Q103" s="274">
        <v>1330000</v>
      </c>
      <c r="R103" s="274"/>
      <c r="S103" s="274"/>
      <c r="T103" s="274"/>
      <c r="U103" s="274"/>
      <c r="V103" s="274"/>
      <c r="W103" s="275"/>
      <c r="X103" s="276">
        <f t="shared" si="12"/>
        <v>11442000</v>
      </c>
      <c r="Y103" s="183"/>
    </row>
    <row r="104" spans="1:25" hidden="1" x14ac:dyDescent="0.2">
      <c r="B104" s="279" t="s">
        <v>402</v>
      </c>
      <c r="C104" s="279"/>
      <c r="D104" s="270">
        <v>41</v>
      </c>
      <c r="E104" s="352" t="s">
        <v>403</v>
      </c>
      <c r="F104" s="272"/>
      <c r="G104" s="273"/>
      <c r="H104" s="273"/>
      <c r="I104" s="273"/>
      <c r="J104" s="273"/>
      <c r="K104" s="273"/>
      <c r="L104" s="273"/>
      <c r="M104" s="273"/>
      <c r="N104" s="273"/>
      <c r="O104" s="273"/>
      <c r="P104" s="274"/>
      <c r="Q104" s="274"/>
      <c r="R104" s="274"/>
      <c r="S104" s="274"/>
      <c r="T104" s="274"/>
      <c r="U104" s="274"/>
      <c r="V104" s="274"/>
      <c r="W104" s="275"/>
      <c r="X104" s="276">
        <f t="shared" si="12"/>
        <v>0</v>
      </c>
      <c r="Y104" s="183"/>
    </row>
    <row r="105" spans="1:25" ht="13.5" hidden="1" thickBot="1" x14ac:dyDescent="0.25">
      <c r="B105" s="281"/>
      <c r="C105" s="281"/>
      <c r="D105" s="282"/>
      <c r="E105" s="353"/>
      <c r="F105" s="354"/>
      <c r="G105" s="355"/>
      <c r="H105" s="355"/>
      <c r="I105" s="355"/>
      <c r="J105" s="355"/>
      <c r="K105" s="355"/>
      <c r="L105" s="355"/>
      <c r="M105" s="355"/>
      <c r="N105" s="355"/>
      <c r="O105" s="355"/>
      <c r="P105" s="356"/>
      <c r="Q105" s="356"/>
      <c r="R105" s="356"/>
      <c r="S105" s="356"/>
      <c r="T105" s="356"/>
      <c r="U105" s="356"/>
      <c r="V105" s="356"/>
      <c r="W105" s="357"/>
      <c r="X105" s="358">
        <f t="shared" si="12"/>
        <v>0</v>
      </c>
      <c r="Y105" s="183"/>
    </row>
    <row r="106" spans="1:25" hidden="1" x14ac:dyDescent="0.2">
      <c r="A106" s="173" t="s">
        <v>427</v>
      </c>
      <c r="B106" s="530" t="s">
        <v>438</v>
      </c>
      <c r="C106" s="531"/>
      <c r="D106" s="344">
        <v>10</v>
      </c>
      <c r="E106" s="345" t="s">
        <v>408</v>
      </c>
      <c r="F106" s="359"/>
      <c r="G106" s="351"/>
      <c r="H106" s="351">
        <v>162000</v>
      </c>
      <c r="I106" s="351">
        <v>118000</v>
      </c>
      <c r="J106" s="351">
        <v>122000</v>
      </c>
      <c r="K106" s="351">
        <v>126000</v>
      </c>
      <c r="L106" s="351">
        <v>130000</v>
      </c>
      <c r="M106" s="351">
        <v>135000</v>
      </c>
      <c r="N106" s="351"/>
      <c r="O106" s="351"/>
      <c r="P106" s="362"/>
      <c r="Q106" s="362"/>
      <c r="R106" s="362"/>
      <c r="S106" s="362"/>
      <c r="T106" s="362"/>
      <c r="U106" s="362"/>
      <c r="V106" s="362"/>
      <c r="W106" s="360"/>
      <c r="X106" s="361">
        <f t="shared" si="12"/>
        <v>793000</v>
      </c>
      <c r="Y106" s="183"/>
    </row>
    <row r="107" spans="1:25" ht="25.5" hidden="1" x14ac:dyDescent="0.2">
      <c r="B107" s="268"/>
      <c r="C107" s="269"/>
      <c r="D107" s="270">
        <v>30</v>
      </c>
      <c r="E107" s="271" t="s">
        <v>396</v>
      </c>
      <c r="F107" s="272"/>
      <c r="G107" s="273"/>
      <c r="H107" s="273"/>
      <c r="I107" s="273"/>
      <c r="J107" s="273"/>
      <c r="K107" s="273"/>
      <c r="L107" s="273"/>
      <c r="M107" s="273"/>
      <c r="N107" s="273"/>
      <c r="O107" s="273"/>
      <c r="P107" s="274"/>
      <c r="Q107" s="274"/>
      <c r="R107" s="274"/>
      <c r="S107" s="274"/>
      <c r="T107" s="274"/>
      <c r="U107" s="274"/>
      <c r="V107" s="274"/>
      <c r="W107" s="275"/>
      <c r="X107" s="276">
        <f t="shared" si="12"/>
        <v>0</v>
      </c>
      <c r="Y107" s="183"/>
    </row>
    <row r="108" spans="1:25" ht="38.25" hidden="1" x14ac:dyDescent="0.2">
      <c r="B108" s="277"/>
      <c r="C108" s="278"/>
      <c r="D108" s="270">
        <v>37</v>
      </c>
      <c r="E108" s="352" t="s">
        <v>439</v>
      </c>
      <c r="F108" s="272"/>
      <c r="G108" s="273"/>
      <c r="H108" s="273">
        <v>520000</v>
      </c>
      <c r="I108" s="273">
        <v>539000</v>
      </c>
      <c r="J108" s="273">
        <v>558000</v>
      </c>
      <c r="K108" s="273">
        <v>577000</v>
      </c>
      <c r="L108" s="273">
        <v>597000</v>
      </c>
      <c r="M108" s="273">
        <v>618000</v>
      </c>
      <c r="N108" s="273"/>
      <c r="O108" s="273"/>
      <c r="P108" s="274"/>
      <c r="Q108" s="274"/>
      <c r="R108" s="274"/>
      <c r="S108" s="274"/>
      <c r="T108" s="274"/>
      <c r="U108" s="274"/>
      <c r="V108" s="274"/>
      <c r="W108" s="275"/>
      <c r="X108" s="276">
        <f t="shared" si="12"/>
        <v>3409000</v>
      </c>
      <c r="Y108" s="183"/>
    </row>
    <row r="109" spans="1:25" hidden="1" x14ac:dyDescent="0.2">
      <c r="B109" s="279" t="s">
        <v>402</v>
      </c>
      <c r="C109" s="279"/>
      <c r="D109" s="270">
        <v>41</v>
      </c>
      <c r="E109" s="271" t="s">
        <v>403</v>
      </c>
      <c r="F109" s="272"/>
      <c r="G109" s="273"/>
      <c r="H109" s="273">
        <v>208000</v>
      </c>
      <c r="I109" s="273"/>
      <c r="J109" s="273">
        <v>223000</v>
      </c>
      <c r="K109" s="273"/>
      <c r="L109" s="273">
        <v>239000</v>
      </c>
      <c r="M109" s="273"/>
      <c r="N109" s="273"/>
      <c r="O109" s="273"/>
      <c r="P109" s="274"/>
      <c r="Q109" s="274"/>
      <c r="R109" s="274"/>
      <c r="S109" s="274"/>
      <c r="T109" s="274"/>
      <c r="U109" s="274"/>
      <c r="V109" s="274"/>
      <c r="W109" s="275"/>
      <c r="X109" s="276">
        <f t="shared" si="12"/>
        <v>670000</v>
      </c>
      <c r="Y109" s="183"/>
    </row>
    <row r="110" spans="1:25" ht="13.5" hidden="1" thickBot="1" x14ac:dyDescent="0.25">
      <c r="B110" s="281"/>
      <c r="C110" s="281"/>
      <c r="D110" s="282"/>
      <c r="E110" s="364"/>
      <c r="F110" s="354"/>
      <c r="G110" s="355"/>
      <c r="H110" s="355"/>
      <c r="I110" s="355"/>
      <c r="J110" s="355"/>
      <c r="K110" s="355"/>
      <c r="L110" s="355"/>
      <c r="M110" s="355"/>
      <c r="N110" s="355"/>
      <c r="O110" s="355"/>
      <c r="P110" s="356"/>
      <c r="Q110" s="356"/>
      <c r="R110" s="356"/>
      <c r="S110" s="356"/>
      <c r="T110" s="356"/>
      <c r="U110" s="356"/>
      <c r="V110" s="356"/>
      <c r="W110" s="357"/>
      <c r="X110" s="358">
        <f t="shared" si="12"/>
        <v>0</v>
      </c>
      <c r="Y110" s="183"/>
    </row>
    <row r="111" spans="1:25" hidden="1" x14ac:dyDescent="0.2">
      <c r="A111" s="173" t="s">
        <v>440</v>
      </c>
      <c r="B111" s="530" t="s">
        <v>441</v>
      </c>
      <c r="C111" s="531"/>
      <c r="D111" s="344">
        <v>10</v>
      </c>
      <c r="E111" s="345" t="s">
        <v>408</v>
      </c>
      <c r="F111" s="359"/>
      <c r="G111" s="351"/>
      <c r="H111" s="351">
        <v>2000000</v>
      </c>
      <c r="I111" s="351">
        <v>1000000</v>
      </c>
      <c r="J111" s="351">
        <v>1000000</v>
      </c>
      <c r="K111" s="351">
        <v>500000</v>
      </c>
      <c r="L111" s="351">
        <v>500000</v>
      </c>
      <c r="M111" s="351">
        <v>500000</v>
      </c>
      <c r="N111" s="351">
        <v>500000</v>
      </c>
      <c r="O111" s="351">
        <v>500000</v>
      </c>
      <c r="P111" s="351">
        <v>500000</v>
      </c>
      <c r="Q111" s="351">
        <v>500000</v>
      </c>
      <c r="R111" s="351"/>
      <c r="S111" s="351"/>
      <c r="T111" s="351"/>
      <c r="U111" s="351"/>
      <c r="V111" s="351"/>
      <c r="W111" s="351"/>
      <c r="X111" s="361">
        <f t="shared" si="12"/>
        <v>7500000</v>
      </c>
      <c r="Y111" s="183"/>
    </row>
    <row r="112" spans="1:25" ht="25.5" hidden="1" x14ac:dyDescent="0.2">
      <c r="B112" s="268"/>
      <c r="C112" s="269"/>
      <c r="D112" s="270">
        <v>30</v>
      </c>
      <c r="E112" s="271" t="s">
        <v>396</v>
      </c>
      <c r="F112" s="272"/>
      <c r="G112" s="273"/>
      <c r="H112" s="273"/>
      <c r="I112" s="273"/>
      <c r="J112" s="273"/>
      <c r="K112" s="273"/>
      <c r="L112" s="273"/>
      <c r="M112" s="273"/>
      <c r="N112" s="273"/>
      <c r="O112" s="273"/>
      <c r="P112" s="274"/>
      <c r="Q112" s="274"/>
      <c r="R112" s="274"/>
      <c r="S112" s="274"/>
      <c r="T112" s="274"/>
      <c r="U112" s="274"/>
      <c r="V112" s="274"/>
      <c r="W112" s="275"/>
      <c r="X112" s="276">
        <f t="shared" si="12"/>
        <v>0</v>
      </c>
      <c r="Y112" s="183"/>
    </row>
    <row r="113" spans="1:25" ht="25.5" hidden="1" x14ac:dyDescent="0.2">
      <c r="B113" s="277"/>
      <c r="C113" s="278"/>
      <c r="D113" s="270">
        <v>37</v>
      </c>
      <c r="E113" s="352" t="s">
        <v>421</v>
      </c>
      <c r="F113" s="272"/>
      <c r="G113" s="273"/>
      <c r="H113" s="273">
        <v>2000000</v>
      </c>
      <c r="I113" s="273">
        <v>1000000</v>
      </c>
      <c r="J113" s="273">
        <v>1000000</v>
      </c>
      <c r="K113" s="273">
        <v>500000</v>
      </c>
      <c r="L113" s="273">
        <v>500000</v>
      </c>
      <c r="M113" s="273">
        <v>500000</v>
      </c>
      <c r="N113" s="273">
        <v>500000</v>
      </c>
      <c r="O113" s="273">
        <v>500000</v>
      </c>
      <c r="P113" s="273">
        <v>500000</v>
      </c>
      <c r="Q113" s="273">
        <v>500000</v>
      </c>
      <c r="R113" s="273"/>
      <c r="S113" s="274"/>
      <c r="T113" s="274"/>
      <c r="U113" s="274"/>
      <c r="V113" s="274"/>
      <c r="W113" s="275"/>
      <c r="X113" s="276">
        <f t="shared" si="12"/>
        <v>7500000</v>
      </c>
      <c r="Y113" s="183"/>
    </row>
    <row r="114" spans="1:25" hidden="1" x14ac:dyDescent="0.2">
      <c r="B114" s="279" t="s">
        <v>402</v>
      </c>
      <c r="C114" s="279"/>
      <c r="D114" s="270">
        <v>41</v>
      </c>
      <c r="E114" s="271" t="s">
        <v>403</v>
      </c>
      <c r="F114" s="272"/>
      <c r="G114" s="273"/>
      <c r="H114" s="273"/>
      <c r="I114" s="273"/>
      <c r="J114" s="273"/>
      <c r="K114" s="273"/>
      <c r="L114" s="273"/>
      <c r="M114" s="273"/>
      <c r="N114" s="273"/>
      <c r="O114" s="273"/>
      <c r="P114" s="274"/>
      <c r="Q114" s="274"/>
      <c r="R114" s="274"/>
      <c r="S114" s="274"/>
      <c r="T114" s="274"/>
      <c r="U114" s="274"/>
      <c r="V114" s="274"/>
      <c r="W114" s="275"/>
      <c r="X114" s="276">
        <f t="shared" si="12"/>
        <v>0</v>
      </c>
      <c r="Y114" s="183"/>
    </row>
    <row r="115" spans="1:25" ht="13.5" hidden="1" thickBot="1" x14ac:dyDescent="0.25">
      <c r="B115" s="281"/>
      <c r="C115" s="281"/>
      <c r="D115" s="282"/>
      <c r="E115" s="363"/>
      <c r="F115" s="354"/>
      <c r="G115" s="355"/>
      <c r="H115" s="355"/>
      <c r="I115" s="355"/>
      <c r="J115" s="355"/>
      <c r="K115" s="355"/>
      <c r="L115" s="355"/>
      <c r="M115" s="355"/>
      <c r="N115" s="355"/>
      <c r="O115" s="355"/>
      <c r="P115" s="356"/>
      <c r="Q115" s="356"/>
      <c r="R115" s="356"/>
      <c r="S115" s="356"/>
      <c r="T115" s="356"/>
      <c r="U115" s="356"/>
      <c r="V115" s="356"/>
      <c r="W115" s="357"/>
      <c r="X115" s="358">
        <f t="shared" si="12"/>
        <v>0</v>
      </c>
      <c r="Y115" s="183"/>
    </row>
    <row r="116" spans="1:25" hidden="1" x14ac:dyDescent="0.2">
      <c r="A116" s="173" t="s">
        <v>427</v>
      </c>
      <c r="B116" s="530" t="s">
        <v>442</v>
      </c>
      <c r="C116" s="531"/>
      <c r="D116" s="344">
        <v>10</v>
      </c>
      <c r="E116" s="345" t="s">
        <v>408</v>
      </c>
      <c r="F116" s="359"/>
      <c r="G116" s="351"/>
      <c r="H116" s="351">
        <v>329000</v>
      </c>
      <c r="I116" s="351">
        <v>341000</v>
      </c>
      <c r="J116" s="351">
        <v>353000</v>
      </c>
      <c r="K116" s="351">
        <v>365000</v>
      </c>
      <c r="L116" s="351">
        <v>378000</v>
      </c>
      <c r="M116" s="351">
        <v>391000</v>
      </c>
      <c r="N116" s="351">
        <v>405000</v>
      </c>
      <c r="O116" s="351">
        <v>419000</v>
      </c>
      <c r="P116" s="362">
        <v>431000</v>
      </c>
      <c r="Q116" s="362">
        <v>449000</v>
      </c>
      <c r="R116" s="362"/>
      <c r="S116" s="362"/>
      <c r="T116" s="362"/>
      <c r="U116" s="362"/>
      <c r="V116" s="362"/>
      <c r="W116" s="360"/>
      <c r="X116" s="361">
        <f t="shared" si="12"/>
        <v>3861000</v>
      </c>
      <c r="Y116" s="183"/>
    </row>
    <row r="117" spans="1:25" ht="25.5" hidden="1" x14ac:dyDescent="0.2">
      <c r="B117" s="268"/>
      <c r="C117" s="269"/>
      <c r="D117" s="270">
        <v>30</v>
      </c>
      <c r="E117" s="271" t="s">
        <v>396</v>
      </c>
      <c r="F117" s="272"/>
      <c r="G117" s="273"/>
      <c r="H117" s="273"/>
      <c r="I117" s="273"/>
      <c r="J117" s="273"/>
      <c r="K117" s="273"/>
      <c r="L117" s="273"/>
      <c r="M117" s="273"/>
      <c r="N117" s="273"/>
      <c r="O117" s="273"/>
      <c r="P117" s="274"/>
      <c r="Q117" s="274"/>
      <c r="R117" s="274"/>
      <c r="S117" s="274"/>
      <c r="T117" s="274"/>
      <c r="U117" s="274"/>
      <c r="V117" s="274"/>
      <c r="W117" s="275"/>
      <c r="X117" s="276">
        <f t="shared" si="12"/>
        <v>0</v>
      </c>
      <c r="Y117" s="183"/>
    </row>
    <row r="118" spans="1:25" ht="38.25" hidden="1" x14ac:dyDescent="0.2">
      <c r="B118" s="277"/>
      <c r="C118" s="278"/>
      <c r="D118" s="270">
        <v>37</v>
      </c>
      <c r="E118" s="352" t="s">
        <v>439</v>
      </c>
      <c r="F118" s="272"/>
      <c r="G118" s="273"/>
      <c r="H118" s="273">
        <v>6500000</v>
      </c>
      <c r="I118" s="273">
        <v>6728000</v>
      </c>
      <c r="J118" s="273">
        <v>6963000</v>
      </c>
      <c r="K118" s="273">
        <v>7207000</v>
      </c>
      <c r="L118" s="273">
        <v>7459000</v>
      </c>
      <c r="M118" s="273">
        <v>7720000</v>
      </c>
      <c r="N118" s="273">
        <v>7991000</v>
      </c>
      <c r="O118" s="273">
        <v>8270000</v>
      </c>
      <c r="P118" s="274">
        <v>8560000</v>
      </c>
      <c r="Q118" s="274">
        <v>8860000</v>
      </c>
      <c r="R118" s="274"/>
      <c r="S118" s="274"/>
      <c r="T118" s="274"/>
      <c r="U118" s="274"/>
      <c r="V118" s="274"/>
      <c r="W118" s="275"/>
      <c r="X118" s="276">
        <f t="shared" si="12"/>
        <v>76258000</v>
      </c>
      <c r="Y118" s="183"/>
    </row>
    <row r="119" spans="1:25" hidden="1" x14ac:dyDescent="0.2">
      <c r="B119" s="279" t="s">
        <v>402</v>
      </c>
      <c r="C119" s="279"/>
      <c r="D119" s="270">
        <v>41</v>
      </c>
      <c r="E119" s="271" t="s">
        <v>403</v>
      </c>
      <c r="F119" s="272"/>
      <c r="G119" s="273"/>
      <c r="H119" s="273"/>
      <c r="I119" s="273"/>
      <c r="J119" s="273"/>
      <c r="K119" s="273"/>
      <c r="L119" s="273"/>
      <c r="M119" s="273"/>
      <c r="N119" s="273"/>
      <c r="O119" s="273"/>
      <c r="P119" s="274"/>
      <c r="Q119" s="274"/>
      <c r="R119" s="274"/>
      <c r="S119" s="274"/>
      <c r="T119" s="274"/>
      <c r="U119" s="274"/>
      <c r="V119" s="274"/>
      <c r="W119" s="275"/>
      <c r="X119" s="276">
        <f t="shared" si="12"/>
        <v>0</v>
      </c>
      <c r="Y119" s="183"/>
    </row>
    <row r="120" spans="1:25" ht="13.5" hidden="1" thickBot="1" x14ac:dyDescent="0.25">
      <c r="B120" s="281"/>
      <c r="C120" s="281"/>
      <c r="D120" s="282"/>
      <c r="E120" s="353"/>
      <c r="F120" s="354"/>
      <c r="G120" s="355"/>
      <c r="H120" s="355"/>
      <c r="I120" s="355"/>
      <c r="J120" s="355"/>
      <c r="K120" s="355"/>
      <c r="L120" s="355"/>
      <c r="M120" s="355"/>
      <c r="N120" s="355"/>
      <c r="O120" s="355"/>
      <c r="P120" s="356"/>
      <c r="Q120" s="356"/>
      <c r="R120" s="356"/>
      <c r="S120" s="356"/>
      <c r="T120" s="356"/>
      <c r="U120" s="356"/>
      <c r="V120" s="356"/>
      <c r="W120" s="357"/>
      <c r="X120" s="358">
        <f t="shared" si="12"/>
        <v>0</v>
      </c>
      <c r="Y120" s="183"/>
    </row>
    <row r="121" spans="1:25" hidden="1" x14ac:dyDescent="0.2">
      <c r="A121" s="173" t="s">
        <v>419</v>
      </c>
      <c r="B121" s="530" t="s">
        <v>443</v>
      </c>
      <c r="C121" s="531"/>
      <c r="D121" s="344">
        <v>10</v>
      </c>
      <c r="E121" s="345" t="s">
        <v>408</v>
      </c>
      <c r="F121" s="359"/>
      <c r="G121" s="351"/>
      <c r="H121" s="351"/>
      <c r="I121" s="351"/>
      <c r="J121" s="351"/>
      <c r="K121" s="351"/>
      <c r="L121" s="351"/>
      <c r="M121" s="351"/>
      <c r="N121" s="351"/>
      <c r="O121" s="351"/>
      <c r="P121" s="362"/>
      <c r="Q121" s="362"/>
      <c r="R121" s="362"/>
      <c r="S121" s="362"/>
      <c r="T121" s="362"/>
      <c r="U121" s="362"/>
      <c r="V121" s="362"/>
      <c r="W121" s="360"/>
      <c r="X121" s="361">
        <f t="shared" si="12"/>
        <v>0</v>
      </c>
      <c r="Y121" s="183"/>
    </row>
    <row r="122" spans="1:25" ht="25.5" hidden="1" x14ac:dyDescent="0.2">
      <c r="B122" s="268"/>
      <c r="C122" s="269"/>
      <c r="D122" s="270">
        <v>30</v>
      </c>
      <c r="E122" s="271" t="s">
        <v>396</v>
      </c>
      <c r="F122" s="272"/>
      <c r="G122" s="273"/>
      <c r="H122" s="273"/>
      <c r="I122" s="273"/>
      <c r="J122" s="273"/>
      <c r="K122" s="273"/>
      <c r="L122" s="273"/>
      <c r="M122" s="273"/>
      <c r="N122" s="273"/>
      <c r="O122" s="273"/>
      <c r="P122" s="274"/>
      <c r="Q122" s="274"/>
      <c r="R122" s="274"/>
      <c r="S122" s="274"/>
      <c r="T122" s="274"/>
      <c r="U122" s="274"/>
      <c r="V122" s="274"/>
      <c r="W122" s="275"/>
      <c r="X122" s="276">
        <f t="shared" si="12"/>
        <v>0</v>
      </c>
      <c r="Y122" s="183"/>
    </row>
    <row r="123" spans="1:25" ht="25.5" hidden="1" x14ac:dyDescent="0.2">
      <c r="B123" s="277"/>
      <c r="C123" s="278"/>
      <c r="D123" s="270">
        <v>37</v>
      </c>
      <c r="E123" s="352" t="s">
        <v>421</v>
      </c>
      <c r="F123" s="272"/>
      <c r="G123" s="273"/>
      <c r="H123" s="273"/>
      <c r="I123" s="273"/>
      <c r="J123" s="273"/>
      <c r="K123" s="273"/>
      <c r="L123" s="273"/>
      <c r="M123" s="273"/>
      <c r="N123" s="273"/>
      <c r="O123" s="273"/>
      <c r="P123" s="274"/>
      <c r="Q123" s="274"/>
      <c r="R123" s="274"/>
      <c r="S123" s="274"/>
      <c r="T123" s="274"/>
      <c r="U123" s="274"/>
      <c r="V123" s="274"/>
      <c r="W123" s="275"/>
      <c r="X123" s="276">
        <f t="shared" si="12"/>
        <v>0</v>
      </c>
      <c r="Y123" s="183"/>
    </row>
    <row r="124" spans="1:25" hidden="1" x14ac:dyDescent="0.2">
      <c r="B124" s="279" t="s">
        <v>402</v>
      </c>
      <c r="C124" s="279"/>
      <c r="D124" s="270">
        <v>41</v>
      </c>
      <c r="E124" s="271" t="s">
        <v>403</v>
      </c>
      <c r="F124" s="272"/>
      <c r="G124" s="273"/>
      <c r="H124" s="273"/>
      <c r="I124" s="273"/>
      <c r="J124" s="273"/>
      <c r="K124" s="273"/>
      <c r="L124" s="273"/>
      <c r="M124" s="273"/>
      <c r="N124" s="273"/>
      <c r="O124" s="273"/>
      <c r="P124" s="274"/>
      <c r="Q124" s="274"/>
      <c r="R124" s="274"/>
      <c r="S124" s="274"/>
      <c r="T124" s="274"/>
      <c r="U124" s="274"/>
      <c r="V124" s="274"/>
      <c r="W124" s="275"/>
      <c r="X124" s="276">
        <f t="shared" si="12"/>
        <v>0</v>
      </c>
      <c r="Y124" s="183"/>
    </row>
    <row r="125" spans="1:25" ht="13.5" hidden="1" thickBot="1" x14ac:dyDescent="0.25">
      <c r="B125" s="281"/>
      <c r="C125" s="281"/>
      <c r="D125" s="282"/>
      <c r="E125" s="353"/>
      <c r="F125" s="354"/>
      <c r="G125" s="355"/>
      <c r="H125" s="355"/>
      <c r="I125" s="355"/>
      <c r="J125" s="355"/>
      <c r="K125" s="355"/>
      <c r="L125" s="355"/>
      <c r="M125" s="355"/>
      <c r="N125" s="355"/>
      <c r="O125" s="355"/>
      <c r="P125" s="356"/>
      <c r="Q125" s="356"/>
      <c r="R125" s="356"/>
      <c r="S125" s="356"/>
      <c r="T125" s="356"/>
      <c r="U125" s="356"/>
      <c r="V125" s="356"/>
      <c r="W125" s="357"/>
      <c r="X125" s="358">
        <f t="shared" si="12"/>
        <v>0</v>
      </c>
      <c r="Y125" s="183"/>
    </row>
    <row r="126" spans="1:25" hidden="1" x14ac:dyDescent="0.2">
      <c r="A126" s="173" t="s">
        <v>444</v>
      </c>
      <c r="B126" s="530" t="s">
        <v>445</v>
      </c>
      <c r="C126" s="531"/>
      <c r="D126" s="344">
        <v>10</v>
      </c>
      <c r="E126" s="345" t="s">
        <v>408</v>
      </c>
      <c r="F126" s="359"/>
      <c r="G126" s="351"/>
      <c r="H126" s="351">
        <v>500000</v>
      </c>
      <c r="I126" s="351">
        <v>500000</v>
      </c>
      <c r="J126" s="351">
        <v>500000</v>
      </c>
      <c r="K126" s="351">
        <v>500000</v>
      </c>
      <c r="L126" s="351">
        <v>500000</v>
      </c>
      <c r="M126" s="351">
        <v>500000</v>
      </c>
      <c r="N126" s="351">
        <v>500000</v>
      </c>
      <c r="O126" s="351">
        <v>500000</v>
      </c>
      <c r="P126" s="351">
        <v>500000</v>
      </c>
      <c r="Q126" s="351">
        <v>500000</v>
      </c>
      <c r="R126" s="362"/>
      <c r="S126" s="362"/>
      <c r="T126" s="362"/>
      <c r="U126" s="362"/>
      <c r="V126" s="362"/>
      <c r="W126" s="360"/>
      <c r="X126" s="361">
        <f t="shared" si="12"/>
        <v>5000000</v>
      </c>
      <c r="Y126" s="183"/>
    </row>
    <row r="127" spans="1:25" ht="25.5" hidden="1" x14ac:dyDescent="0.2">
      <c r="B127" s="268"/>
      <c r="C127" s="269"/>
      <c r="D127" s="270">
        <v>30</v>
      </c>
      <c r="E127" s="271" t="s">
        <v>396</v>
      </c>
      <c r="F127" s="272"/>
      <c r="G127" s="273"/>
      <c r="H127" s="273"/>
      <c r="I127" s="273"/>
      <c r="J127" s="273"/>
      <c r="K127" s="273"/>
      <c r="L127" s="273"/>
      <c r="M127" s="273"/>
      <c r="N127" s="273"/>
      <c r="O127" s="273"/>
      <c r="P127" s="274"/>
      <c r="Q127" s="274"/>
      <c r="R127" s="274"/>
      <c r="S127" s="274"/>
      <c r="T127" s="274"/>
      <c r="U127" s="274"/>
      <c r="V127" s="274"/>
      <c r="W127" s="275"/>
      <c r="X127" s="276">
        <f t="shared" si="12"/>
        <v>0</v>
      </c>
      <c r="Y127" s="183"/>
    </row>
    <row r="128" spans="1:25" ht="25.5" hidden="1" customHeight="1" x14ac:dyDescent="0.2">
      <c r="B128" s="277"/>
      <c r="C128" s="278"/>
      <c r="D128" s="270">
        <v>37</v>
      </c>
      <c r="E128" s="352" t="s">
        <v>433</v>
      </c>
      <c r="F128" s="272"/>
      <c r="G128" s="273"/>
      <c r="H128" s="273">
        <v>400000</v>
      </c>
      <c r="I128" s="273">
        <v>400000</v>
      </c>
      <c r="J128" s="273">
        <v>400000</v>
      </c>
      <c r="K128" s="273">
        <v>400000</v>
      </c>
      <c r="L128" s="273">
        <v>400000</v>
      </c>
      <c r="M128" s="273">
        <v>400000</v>
      </c>
      <c r="N128" s="273">
        <v>400000</v>
      </c>
      <c r="O128" s="273">
        <v>400000</v>
      </c>
      <c r="P128" s="273">
        <v>400000</v>
      </c>
      <c r="Q128" s="273">
        <v>400000</v>
      </c>
      <c r="R128" s="274"/>
      <c r="S128" s="274"/>
      <c r="T128" s="274"/>
      <c r="U128" s="274"/>
      <c r="V128" s="274"/>
      <c r="W128" s="275"/>
      <c r="X128" s="276">
        <f t="shared" si="12"/>
        <v>4000000</v>
      </c>
      <c r="Y128" s="183"/>
    </row>
    <row r="129" spans="1:25" hidden="1" x14ac:dyDescent="0.2">
      <c r="B129" s="279" t="s">
        <v>402</v>
      </c>
      <c r="C129" s="279"/>
      <c r="D129" s="270">
        <v>41</v>
      </c>
      <c r="E129" s="271" t="s">
        <v>403</v>
      </c>
      <c r="F129" s="272"/>
      <c r="G129" s="273"/>
      <c r="H129" s="273"/>
      <c r="I129" s="273"/>
      <c r="J129" s="273"/>
      <c r="K129" s="273"/>
      <c r="L129" s="273"/>
      <c r="M129" s="273"/>
      <c r="N129" s="273"/>
      <c r="O129" s="273"/>
      <c r="P129" s="274"/>
      <c r="Q129" s="274"/>
      <c r="R129" s="274"/>
      <c r="S129" s="274"/>
      <c r="T129" s="274"/>
      <c r="U129" s="274"/>
      <c r="V129" s="274"/>
      <c r="W129" s="275"/>
      <c r="X129" s="276">
        <f t="shared" si="12"/>
        <v>0</v>
      </c>
      <c r="Y129" s="183"/>
    </row>
    <row r="130" spans="1:25" ht="13.5" hidden="1" thickBot="1" x14ac:dyDescent="0.25">
      <c r="B130" s="281"/>
      <c r="C130" s="281"/>
      <c r="D130" s="282"/>
      <c r="E130" s="353"/>
      <c r="F130" s="354"/>
      <c r="G130" s="355"/>
      <c r="H130" s="355"/>
      <c r="I130" s="355"/>
      <c r="J130" s="355"/>
      <c r="K130" s="355"/>
      <c r="L130" s="355"/>
      <c r="M130" s="355"/>
      <c r="N130" s="355"/>
      <c r="O130" s="355"/>
      <c r="P130" s="356"/>
      <c r="Q130" s="356"/>
      <c r="R130" s="356"/>
      <c r="S130" s="356"/>
      <c r="T130" s="356"/>
      <c r="U130" s="356"/>
      <c r="V130" s="356"/>
      <c r="W130" s="357"/>
      <c r="X130" s="358">
        <f t="shared" si="12"/>
        <v>0</v>
      </c>
      <c r="Y130" s="183"/>
    </row>
    <row r="131" spans="1:25" hidden="1" x14ac:dyDescent="0.2">
      <c r="A131" s="173" t="s">
        <v>446</v>
      </c>
      <c r="B131" s="530" t="s">
        <v>447</v>
      </c>
      <c r="C131" s="531"/>
      <c r="D131" s="344">
        <v>10</v>
      </c>
      <c r="E131" s="345" t="s">
        <v>408</v>
      </c>
      <c r="F131" s="359"/>
      <c r="G131" s="351"/>
      <c r="H131" s="351">
        <v>400000</v>
      </c>
      <c r="I131" s="351">
        <v>400000</v>
      </c>
      <c r="J131" s="351">
        <v>400000</v>
      </c>
      <c r="K131" s="351">
        <v>400000</v>
      </c>
      <c r="L131" s="351">
        <v>400000</v>
      </c>
      <c r="M131" s="351">
        <v>400000</v>
      </c>
      <c r="N131" s="351">
        <v>400000</v>
      </c>
      <c r="O131" s="351">
        <v>400000</v>
      </c>
      <c r="P131" s="351">
        <v>400000</v>
      </c>
      <c r="Q131" s="351">
        <v>400000</v>
      </c>
      <c r="R131" s="362"/>
      <c r="S131" s="362"/>
      <c r="T131" s="362"/>
      <c r="U131" s="362"/>
      <c r="V131" s="362"/>
      <c r="W131" s="360"/>
      <c r="X131" s="361">
        <f t="shared" si="12"/>
        <v>4000000</v>
      </c>
      <c r="Y131" s="183"/>
    </row>
    <row r="132" spans="1:25" ht="25.5" hidden="1" x14ac:dyDescent="0.2">
      <c r="B132" s="268"/>
      <c r="C132" s="269"/>
      <c r="D132" s="270">
        <v>30</v>
      </c>
      <c r="E132" s="271" t="s">
        <v>396</v>
      </c>
      <c r="F132" s="272"/>
      <c r="G132" s="273"/>
      <c r="H132" s="273"/>
      <c r="I132" s="273"/>
      <c r="J132" s="273"/>
      <c r="K132" s="273"/>
      <c r="L132" s="273"/>
      <c r="M132" s="273"/>
      <c r="N132" s="273"/>
      <c r="O132" s="273"/>
      <c r="P132" s="274"/>
      <c r="Q132" s="274"/>
      <c r="R132" s="274"/>
      <c r="S132" s="274"/>
      <c r="T132" s="274"/>
      <c r="U132" s="274"/>
      <c r="V132" s="274"/>
      <c r="W132" s="275"/>
      <c r="X132" s="276">
        <f t="shared" si="12"/>
        <v>0</v>
      </c>
      <c r="Y132" s="183"/>
    </row>
    <row r="133" spans="1:25" ht="27" hidden="1" customHeight="1" x14ac:dyDescent="0.2">
      <c r="B133" s="277"/>
      <c r="C133" s="278"/>
      <c r="D133" s="270">
        <v>37</v>
      </c>
      <c r="E133" s="352" t="s">
        <v>433</v>
      </c>
      <c r="F133" s="272"/>
      <c r="G133" s="273"/>
      <c r="H133" s="273">
        <v>500000</v>
      </c>
      <c r="I133" s="273">
        <v>500000</v>
      </c>
      <c r="J133" s="273">
        <v>1000000</v>
      </c>
      <c r="K133" s="273">
        <v>1000000</v>
      </c>
      <c r="L133" s="273">
        <v>1000000</v>
      </c>
      <c r="M133" s="273">
        <v>2000000</v>
      </c>
      <c r="N133" s="273">
        <v>2000000</v>
      </c>
      <c r="O133" s="273">
        <v>1000000</v>
      </c>
      <c r="P133" s="273">
        <v>1000000</v>
      </c>
      <c r="Q133" s="273">
        <v>1000000</v>
      </c>
      <c r="R133" s="274"/>
      <c r="S133" s="274"/>
      <c r="T133" s="274"/>
      <c r="U133" s="274"/>
      <c r="V133" s="274"/>
      <c r="W133" s="275"/>
      <c r="X133" s="276">
        <f t="shared" si="12"/>
        <v>11000000</v>
      </c>
      <c r="Y133" s="183"/>
    </row>
    <row r="134" spans="1:25" hidden="1" x14ac:dyDescent="0.2">
      <c r="B134" s="279" t="s">
        <v>402</v>
      </c>
      <c r="C134" s="279"/>
      <c r="D134" s="270">
        <v>41</v>
      </c>
      <c r="E134" s="271" t="s">
        <v>403</v>
      </c>
      <c r="F134" s="272"/>
      <c r="G134" s="273"/>
      <c r="H134" s="273"/>
      <c r="I134" s="273"/>
      <c r="J134" s="273"/>
      <c r="K134" s="273"/>
      <c r="L134" s="273"/>
      <c r="M134" s="273"/>
      <c r="N134" s="273"/>
      <c r="O134" s="273"/>
      <c r="P134" s="274"/>
      <c r="Q134" s="274"/>
      <c r="R134" s="274"/>
      <c r="S134" s="274"/>
      <c r="T134" s="274"/>
      <c r="U134" s="274"/>
      <c r="V134" s="274"/>
      <c r="W134" s="275"/>
      <c r="X134" s="276">
        <f t="shared" si="12"/>
        <v>0</v>
      </c>
      <c r="Y134" s="183"/>
    </row>
    <row r="135" spans="1:25" ht="13.5" hidden="1" thickBot="1" x14ac:dyDescent="0.25">
      <c r="B135" s="281"/>
      <c r="C135" s="281"/>
      <c r="D135" s="282"/>
      <c r="E135" s="353"/>
      <c r="F135" s="354"/>
      <c r="G135" s="355"/>
      <c r="H135" s="355"/>
      <c r="I135" s="355"/>
      <c r="J135" s="355"/>
      <c r="K135" s="355"/>
      <c r="L135" s="355"/>
      <c r="M135" s="355"/>
      <c r="N135" s="355"/>
      <c r="O135" s="355"/>
      <c r="P135" s="356"/>
      <c r="Q135" s="356"/>
      <c r="R135" s="356"/>
      <c r="S135" s="356"/>
      <c r="T135" s="356"/>
      <c r="U135" s="356"/>
      <c r="V135" s="356"/>
      <c r="W135" s="357"/>
      <c r="X135" s="358">
        <f t="shared" si="12"/>
        <v>0</v>
      </c>
      <c r="Y135" s="183"/>
    </row>
    <row r="136" spans="1:25" hidden="1" x14ac:dyDescent="0.2">
      <c r="A136" s="173" t="s">
        <v>446</v>
      </c>
      <c r="B136" s="530" t="s">
        <v>448</v>
      </c>
      <c r="C136" s="531"/>
      <c r="D136" s="344">
        <v>10</v>
      </c>
      <c r="E136" s="345" t="s">
        <v>408</v>
      </c>
      <c r="F136" s="359"/>
      <c r="G136" s="351"/>
      <c r="H136" s="351">
        <v>500000</v>
      </c>
      <c r="I136" s="351">
        <v>500000</v>
      </c>
      <c r="J136" s="351">
        <v>500000</v>
      </c>
      <c r="K136" s="351">
        <v>500000</v>
      </c>
      <c r="L136" s="351">
        <v>500000</v>
      </c>
      <c r="M136" s="351">
        <v>500000</v>
      </c>
      <c r="N136" s="351">
        <v>500000</v>
      </c>
      <c r="O136" s="351">
        <v>500000</v>
      </c>
      <c r="P136" s="351">
        <v>500000</v>
      </c>
      <c r="Q136" s="351">
        <v>500000</v>
      </c>
      <c r="R136" s="362"/>
      <c r="S136" s="362"/>
      <c r="T136" s="362"/>
      <c r="U136" s="362"/>
      <c r="V136" s="362"/>
      <c r="W136" s="360"/>
      <c r="X136" s="361">
        <f t="shared" si="12"/>
        <v>5000000</v>
      </c>
      <c r="Y136" s="183"/>
    </row>
    <row r="137" spans="1:25" ht="25.5" hidden="1" x14ac:dyDescent="0.2">
      <c r="B137" s="268"/>
      <c r="C137" s="269"/>
      <c r="D137" s="270">
        <v>30</v>
      </c>
      <c r="E137" s="271" t="s">
        <v>396</v>
      </c>
      <c r="F137" s="272"/>
      <c r="G137" s="273"/>
      <c r="H137" s="273"/>
      <c r="I137" s="273"/>
      <c r="J137" s="273"/>
      <c r="K137" s="273"/>
      <c r="L137" s="273"/>
      <c r="M137" s="273"/>
      <c r="N137" s="273"/>
      <c r="O137" s="273"/>
      <c r="P137" s="274"/>
      <c r="Q137" s="274"/>
      <c r="R137" s="274"/>
      <c r="S137" s="274"/>
      <c r="T137" s="274"/>
      <c r="U137" s="274"/>
      <c r="V137" s="274"/>
      <c r="W137" s="275"/>
      <c r="X137" s="276">
        <f t="shared" si="12"/>
        <v>0</v>
      </c>
      <c r="Y137" s="183"/>
    </row>
    <row r="138" spans="1:25" ht="26.25" hidden="1" customHeight="1" x14ac:dyDescent="0.2">
      <c r="B138" s="277"/>
      <c r="C138" s="278"/>
      <c r="D138" s="270">
        <v>37</v>
      </c>
      <c r="E138" s="352" t="s">
        <v>433</v>
      </c>
      <c r="F138" s="272"/>
      <c r="G138" s="273"/>
      <c r="H138" s="273">
        <v>300000</v>
      </c>
      <c r="I138" s="273">
        <v>300000</v>
      </c>
      <c r="J138" s="273">
        <v>300000</v>
      </c>
      <c r="K138" s="273">
        <v>300000</v>
      </c>
      <c r="L138" s="273">
        <v>300000</v>
      </c>
      <c r="M138" s="273">
        <v>300000</v>
      </c>
      <c r="N138" s="273">
        <v>300000</v>
      </c>
      <c r="O138" s="273">
        <v>300000</v>
      </c>
      <c r="P138" s="273">
        <v>300000</v>
      </c>
      <c r="Q138" s="273">
        <v>300000</v>
      </c>
      <c r="R138" s="274"/>
      <c r="S138" s="274"/>
      <c r="T138" s="274"/>
      <c r="U138" s="274"/>
      <c r="V138" s="274"/>
      <c r="W138" s="275"/>
      <c r="X138" s="276">
        <f t="shared" si="12"/>
        <v>3000000</v>
      </c>
      <c r="Y138" s="183"/>
    </row>
    <row r="139" spans="1:25" hidden="1" x14ac:dyDescent="0.2">
      <c r="B139" s="279" t="s">
        <v>402</v>
      </c>
      <c r="C139" s="279"/>
      <c r="D139" s="270">
        <v>41</v>
      </c>
      <c r="E139" s="271" t="s">
        <v>403</v>
      </c>
      <c r="F139" s="272"/>
      <c r="G139" s="273"/>
      <c r="H139" s="273"/>
      <c r="I139" s="273"/>
      <c r="J139" s="273"/>
      <c r="K139" s="273"/>
      <c r="L139" s="273"/>
      <c r="M139" s="273"/>
      <c r="N139" s="273"/>
      <c r="O139" s="273"/>
      <c r="P139" s="274"/>
      <c r="Q139" s="274"/>
      <c r="R139" s="274"/>
      <c r="S139" s="274"/>
      <c r="T139" s="274"/>
      <c r="U139" s="274"/>
      <c r="V139" s="274"/>
      <c r="W139" s="275"/>
      <c r="X139" s="276">
        <f t="shared" si="12"/>
        <v>0</v>
      </c>
      <c r="Y139" s="183"/>
    </row>
    <row r="140" spans="1:25" ht="13.5" hidden="1" thickBot="1" x14ac:dyDescent="0.25">
      <c r="B140" s="281"/>
      <c r="C140" s="281"/>
      <c r="D140" s="282"/>
      <c r="E140" s="353"/>
      <c r="F140" s="354"/>
      <c r="G140" s="355"/>
      <c r="H140" s="355"/>
      <c r="I140" s="355"/>
      <c r="J140" s="355"/>
      <c r="K140" s="355"/>
      <c r="L140" s="355"/>
      <c r="M140" s="355"/>
      <c r="N140" s="355"/>
      <c r="O140" s="355"/>
      <c r="P140" s="356"/>
      <c r="Q140" s="356"/>
      <c r="R140" s="356"/>
      <c r="S140" s="356"/>
      <c r="T140" s="356"/>
      <c r="U140" s="356"/>
      <c r="V140" s="356"/>
      <c r="W140" s="357"/>
      <c r="X140" s="358">
        <f t="shared" si="12"/>
        <v>0</v>
      </c>
      <c r="Y140" s="183"/>
    </row>
    <row r="141" spans="1:25" hidden="1" x14ac:dyDescent="0.2">
      <c r="A141" s="173" t="s">
        <v>446</v>
      </c>
      <c r="B141" s="530" t="s">
        <v>449</v>
      </c>
      <c r="C141" s="531"/>
      <c r="D141" s="344">
        <v>10</v>
      </c>
      <c r="E141" s="345" t="s">
        <v>408</v>
      </c>
      <c r="F141" s="359"/>
      <c r="G141" s="351"/>
      <c r="H141" s="351">
        <v>200000</v>
      </c>
      <c r="I141" s="351">
        <v>200000</v>
      </c>
      <c r="J141" s="351">
        <v>200000</v>
      </c>
      <c r="K141" s="351">
        <v>200000</v>
      </c>
      <c r="L141" s="351">
        <v>200000</v>
      </c>
      <c r="M141" s="351">
        <v>200000</v>
      </c>
      <c r="N141" s="351">
        <v>200000</v>
      </c>
      <c r="O141" s="351">
        <v>200000</v>
      </c>
      <c r="P141" s="351">
        <v>200000</v>
      </c>
      <c r="Q141" s="351">
        <v>200000</v>
      </c>
      <c r="R141" s="362"/>
      <c r="S141" s="362"/>
      <c r="T141" s="362"/>
      <c r="U141" s="362"/>
      <c r="V141" s="362"/>
      <c r="W141" s="360"/>
      <c r="X141" s="361">
        <f t="shared" si="12"/>
        <v>2000000</v>
      </c>
      <c r="Y141" s="183"/>
    </row>
    <row r="142" spans="1:25" ht="25.5" hidden="1" x14ac:dyDescent="0.2">
      <c r="B142" s="268"/>
      <c r="C142" s="269"/>
      <c r="D142" s="270">
        <v>30</v>
      </c>
      <c r="E142" s="271" t="s">
        <v>396</v>
      </c>
      <c r="F142" s="272"/>
      <c r="G142" s="273"/>
      <c r="H142" s="273"/>
      <c r="I142" s="273"/>
      <c r="J142" s="273"/>
      <c r="K142" s="273"/>
      <c r="L142" s="273"/>
      <c r="M142" s="273"/>
      <c r="N142" s="273"/>
      <c r="O142" s="273"/>
      <c r="P142" s="274"/>
      <c r="Q142" s="274"/>
      <c r="R142" s="274"/>
      <c r="S142" s="274"/>
      <c r="T142" s="274"/>
      <c r="U142" s="274"/>
      <c r="V142" s="274"/>
      <c r="W142" s="275"/>
      <c r="X142" s="276">
        <f t="shared" ref="X142:X159" si="13">SUM(F142:W142)</f>
        <v>0</v>
      </c>
      <c r="Y142" s="183"/>
    </row>
    <row r="143" spans="1:25" ht="25.5" hidden="1" x14ac:dyDescent="0.2">
      <c r="B143" s="277"/>
      <c r="C143" s="278"/>
      <c r="D143" s="270">
        <v>37</v>
      </c>
      <c r="E143" s="352" t="s">
        <v>421</v>
      </c>
      <c r="F143" s="272"/>
      <c r="G143" s="273"/>
      <c r="H143" s="273">
        <v>300000</v>
      </c>
      <c r="I143" s="273">
        <v>300000</v>
      </c>
      <c r="J143" s="273">
        <v>300000</v>
      </c>
      <c r="K143" s="273">
        <v>300000</v>
      </c>
      <c r="L143" s="273">
        <v>300000</v>
      </c>
      <c r="M143" s="273">
        <v>300000</v>
      </c>
      <c r="N143" s="273">
        <v>300000</v>
      </c>
      <c r="O143" s="273">
        <v>300000</v>
      </c>
      <c r="P143" s="273">
        <v>300000</v>
      </c>
      <c r="Q143" s="273">
        <v>300000</v>
      </c>
      <c r="R143" s="274"/>
      <c r="S143" s="274"/>
      <c r="T143" s="274"/>
      <c r="U143" s="274"/>
      <c r="V143" s="274"/>
      <c r="W143" s="275"/>
      <c r="X143" s="276">
        <f t="shared" si="13"/>
        <v>3000000</v>
      </c>
      <c r="Y143" s="183"/>
    </row>
    <row r="144" spans="1:25" hidden="1" x14ac:dyDescent="0.2">
      <c r="B144" s="279" t="s">
        <v>402</v>
      </c>
      <c r="C144" s="279"/>
      <c r="D144" s="270">
        <v>41</v>
      </c>
      <c r="E144" s="271" t="s">
        <v>403</v>
      </c>
      <c r="F144" s="272"/>
      <c r="G144" s="273"/>
      <c r="H144" s="273"/>
      <c r="I144" s="273"/>
      <c r="J144" s="273"/>
      <c r="K144" s="273"/>
      <c r="L144" s="273"/>
      <c r="M144" s="273"/>
      <c r="N144" s="273"/>
      <c r="O144" s="273"/>
      <c r="P144" s="274"/>
      <c r="Q144" s="274"/>
      <c r="R144" s="274"/>
      <c r="S144" s="274"/>
      <c r="T144" s="274"/>
      <c r="U144" s="274"/>
      <c r="V144" s="274"/>
      <c r="W144" s="275"/>
      <c r="X144" s="276">
        <f t="shared" si="13"/>
        <v>0</v>
      </c>
      <c r="Y144" s="183"/>
    </row>
    <row r="145" spans="1:25" ht="13.5" hidden="1" thickBot="1" x14ac:dyDescent="0.25">
      <c r="B145" s="281"/>
      <c r="C145" s="281"/>
      <c r="D145" s="282"/>
      <c r="E145" s="353"/>
      <c r="F145" s="354"/>
      <c r="G145" s="355"/>
      <c r="H145" s="355"/>
      <c r="I145" s="355"/>
      <c r="J145" s="355"/>
      <c r="K145" s="355"/>
      <c r="L145" s="355"/>
      <c r="M145" s="355"/>
      <c r="N145" s="355"/>
      <c r="O145" s="355"/>
      <c r="P145" s="356"/>
      <c r="Q145" s="356"/>
      <c r="R145" s="356"/>
      <c r="S145" s="356"/>
      <c r="T145" s="356"/>
      <c r="U145" s="356"/>
      <c r="V145" s="356"/>
      <c r="W145" s="357"/>
      <c r="X145" s="358">
        <f t="shared" si="13"/>
        <v>0</v>
      </c>
      <c r="Y145" s="183"/>
    </row>
    <row r="146" spans="1:25" hidden="1" x14ac:dyDescent="0.2">
      <c r="A146" s="173" t="s">
        <v>419</v>
      </c>
      <c r="B146" s="530" t="s">
        <v>450</v>
      </c>
      <c r="C146" s="531"/>
      <c r="D146" s="365">
        <v>10</v>
      </c>
      <c r="E146" s="366" t="s">
        <v>408</v>
      </c>
      <c r="F146" s="359"/>
      <c r="G146" s="351"/>
      <c r="H146" s="351"/>
      <c r="I146" s="351"/>
      <c r="J146" s="351"/>
      <c r="K146" s="351"/>
      <c r="L146" s="351"/>
      <c r="M146" s="351"/>
      <c r="N146" s="351"/>
      <c r="O146" s="351"/>
      <c r="P146" s="362"/>
      <c r="Q146" s="362"/>
      <c r="R146" s="362"/>
      <c r="S146" s="362"/>
      <c r="T146" s="362"/>
      <c r="U146" s="362"/>
      <c r="V146" s="362"/>
      <c r="W146" s="360"/>
      <c r="X146" s="361">
        <f t="shared" si="13"/>
        <v>0</v>
      </c>
      <c r="Y146" s="183"/>
    </row>
    <row r="147" spans="1:25" ht="25.5" hidden="1" x14ac:dyDescent="0.2">
      <c r="B147" s="268"/>
      <c r="C147" s="269"/>
      <c r="D147" s="270">
        <v>30</v>
      </c>
      <c r="E147" s="271" t="s">
        <v>396</v>
      </c>
      <c r="F147" s="272"/>
      <c r="G147" s="273"/>
      <c r="H147" s="273"/>
      <c r="I147" s="273"/>
      <c r="J147" s="273"/>
      <c r="K147" s="273"/>
      <c r="L147" s="273"/>
      <c r="M147" s="273"/>
      <c r="N147" s="273"/>
      <c r="O147" s="273"/>
      <c r="P147" s="274"/>
      <c r="Q147" s="274"/>
      <c r="R147" s="274"/>
      <c r="S147" s="274"/>
      <c r="T147" s="274"/>
      <c r="U147" s="274"/>
      <c r="V147" s="274"/>
      <c r="W147" s="275"/>
      <c r="X147" s="276">
        <f t="shared" si="13"/>
        <v>0</v>
      </c>
      <c r="Y147" s="183"/>
    </row>
    <row r="148" spans="1:25" ht="38.25" hidden="1" x14ac:dyDescent="0.2">
      <c r="B148" s="277" t="s">
        <v>402</v>
      </c>
      <c r="C148" s="367" t="s">
        <v>451</v>
      </c>
      <c r="D148" s="270">
        <v>39</v>
      </c>
      <c r="E148" s="352" t="s">
        <v>452</v>
      </c>
      <c r="F148" s="272"/>
      <c r="G148" s="273"/>
      <c r="H148" s="273">
        <v>100000</v>
      </c>
      <c r="I148" s="273">
        <v>200000</v>
      </c>
      <c r="J148" s="273">
        <v>800000</v>
      </c>
      <c r="K148" s="273">
        <v>800000</v>
      </c>
      <c r="L148" s="273">
        <v>200000</v>
      </c>
      <c r="M148" s="273">
        <v>100000</v>
      </c>
      <c r="N148" s="273">
        <v>100000</v>
      </c>
      <c r="O148" s="273">
        <v>100000</v>
      </c>
      <c r="P148" s="274">
        <v>100000</v>
      </c>
      <c r="Q148" s="274">
        <v>100000</v>
      </c>
      <c r="R148" s="274"/>
      <c r="S148" s="274"/>
      <c r="T148" s="274"/>
      <c r="U148" s="274"/>
      <c r="V148" s="274"/>
      <c r="W148" s="275"/>
      <c r="X148" s="276">
        <f t="shared" si="13"/>
        <v>2600000</v>
      </c>
      <c r="Y148" s="183"/>
    </row>
    <row r="149" spans="1:25" ht="38.25" hidden="1" x14ac:dyDescent="0.2">
      <c r="B149" s="279"/>
      <c r="C149" s="367" t="s">
        <v>453</v>
      </c>
      <c r="D149" s="280">
        <v>39</v>
      </c>
      <c r="E149" s="352" t="s">
        <v>452</v>
      </c>
      <c r="F149" s="272"/>
      <c r="G149" s="273"/>
      <c r="H149" s="273">
        <v>6000000</v>
      </c>
      <c r="I149" s="273">
        <v>6000000</v>
      </c>
      <c r="J149" s="273">
        <v>6000000</v>
      </c>
      <c r="K149" s="273">
        <v>6000000</v>
      </c>
      <c r="L149" s="273">
        <v>6000000</v>
      </c>
      <c r="M149" s="273">
        <v>6000000</v>
      </c>
      <c r="N149" s="273">
        <v>600000</v>
      </c>
      <c r="O149" s="273">
        <v>600000</v>
      </c>
      <c r="P149" s="273">
        <v>600000</v>
      </c>
      <c r="Q149" s="273">
        <v>600000</v>
      </c>
      <c r="R149" s="274"/>
      <c r="S149" s="274"/>
      <c r="T149" s="274"/>
      <c r="U149" s="274"/>
      <c r="V149" s="274"/>
      <c r="W149" s="275"/>
      <c r="X149" s="276">
        <f t="shared" si="13"/>
        <v>38400000</v>
      </c>
      <c r="Y149" s="183"/>
    </row>
    <row r="150" spans="1:25" ht="13.5" hidden="1" thickBot="1" x14ac:dyDescent="0.25">
      <c r="B150" s="281"/>
      <c r="C150" s="281"/>
      <c r="D150" s="282">
        <v>41</v>
      </c>
      <c r="E150" s="368" t="s">
        <v>403</v>
      </c>
      <c r="F150" s="354"/>
      <c r="G150" s="355"/>
      <c r="H150" s="355"/>
      <c r="I150" s="355"/>
      <c r="J150" s="355"/>
      <c r="K150" s="355"/>
      <c r="L150" s="355"/>
      <c r="M150" s="355"/>
      <c r="N150" s="355"/>
      <c r="O150" s="355"/>
      <c r="P150" s="356"/>
      <c r="Q150" s="356"/>
      <c r="R150" s="356"/>
      <c r="S150" s="356"/>
      <c r="T150" s="356"/>
      <c r="U150" s="356"/>
      <c r="V150" s="356"/>
      <c r="W150" s="357"/>
      <c r="X150" s="358">
        <f t="shared" si="13"/>
        <v>0</v>
      </c>
      <c r="Y150" s="183"/>
    </row>
    <row r="151" spans="1:25" hidden="1" x14ac:dyDescent="0.2">
      <c r="B151" s="530" t="s">
        <v>454</v>
      </c>
      <c r="C151" s="531"/>
      <c r="D151" s="365">
        <v>10</v>
      </c>
      <c r="E151" s="369" t="s">
        <v>408</v>
      </c>
      <c r="F151" s="359"/>
      <c r="G151" s="351"/>
      <c r="H151" s="351">
        <v>150000</v>
      </c>
      <c r="I151" s="351">
        <v>150000</v>
      </c>
      <c r="J151" s="351">
        <v>150000</v>
      </c>
      <c r="K151" s="351">
        <v>150000</v>
      </c>
      <c r="L151" s="351">
        <v>150000</v>
      </c>
      <c r="M151" s="351">
        <v>150000</v>
      </c>
      <c r="N151" s="351">
        <v>150000</v>
      </c>
      <c r="O151" s="351">
        <v>150000</v>
      </c>
      <c r="P151" s="351">
        <v>150000</v>
      </c>
      <c r="Q151" s="351">
        <v>150000</v>
      </c>
      <c r="R151" s="362"/>
      <c r="S151" s="362"/>
      <c r="T151" s="362"/>
      <c r="U151" s="362"/>
      <c r="V151" s="362"/>
      <c r="W151" s="360"/>
      <c r="X151" s="361">
        <f t="shared" si="13"/>
        <v>1500000</v>
      </c>
      <c r="Y151" s="183"/>
    </row>
    <row r="152" spans="1:25" hidden="1" x14ac:dyDescent="0.2">
      <c r="B152" s="370" t="s">
        <v>395</v>
      </c>
      <c r="C152" s="371"/>
      <c r="D152" s="372">
        <v>41</v>
      </c>
      <c r="E152" s="373" t="s">
        <v>403</v>
      </c>
      <c r="F152" s="284"/>
      <c r="G152" s="285">
        <v>5000000</v>
      </c>
      <c r="H152" s="285">
        <v>6000000</v>
      </c>
      <c r="I152" s="285">
        <v>6000000</v>
      </c>
      <c r="J152" s="285"/>
      <c r="K152" s="285"/>
      <c r="L152" s="285"/>
      <c r="M152" s="285"/>
      <c r="N152" s="285"/>
      <c r="O152" s="285"/>
      <c r="P152" s="286"/>
      <c r="Q152" s="286"/>
      <c r="R152" s="286"/>
      <c r="S152" s="286"/>
      <c r="T152" s="286"/>
      <c r="U152" s="286"/>
      <c r="V152" s="286"/>
      <c r="W152" s="287"/>
      <c r="X152" s="288">
        <f t="shared" si="13"/>
        <v>17000000</v>
      </c>
      <c r="Y152" s="183"/>
    </row>
    <row r="153" spans="1:25" hidden="1" x14ac:dyDescent="0.2">
      <c r="B153" s="532" t="s">
        <v>455</v>
      </c>
      <c r="C153" s="533"/>
      <c r="D153" s="344">
        <v>10</v>
      </c>
      <c r="E153" s="374" t="s">
        <v>408</v>
      </c>
      <c r="F153" s="346"/>
      <c r="G153" s="347"/>
      <c r="H153" s="347"/>
      <c r="I153" s="347"/>
      <c r="J153" s="347"/>
      <c r="K153" s="347"/>
      <c r="L153" s="347"/>
      <c r="M153" s="347"/>
      <c r="N153" s="347"/>
      <c r="O153" s="347"/>
      <c r="P153" s="348"/>
      <c r="Q153" s="348"/>
      <c r="R153" s="348"/>
      <c r="S153" s="348"/>
      <c r="T153" s="348"/>
      <c r="U153" s="348"/>
      <c r="V153" s="348"/>
      <c r="W153" s="349"/>
      <c r="X153" s="350">
        <f t="shared" si="13"/>
        <v>0</v>
      </c>
      <c r="Y153" s="183"/>
    </row>
    <row r="154" spans="1:25" ht="13.5" hidden="1" thickBot="1" x14ac:dyDescent="0.25">
      <c r="B154" s="375" t="s">
        <v>395</v>
      </c>
      <c r="C154" s="376"/>
      <c r="D154" s="377">
        <v>41</v>
      </c>
      <c r="E154" s="368" t="s">
        <v>403</v>
      </c>
      <c r="F154" s="354"/>
      <c r="G154" s="355">
        <v>5000000</v>
      </c>
      <c r="H154" s="355">
        <v>6000000</v>
      </c>
      <c r="I154" s="355">
        <v>6000000</v>
      </c>
      <c r="J154" s="355"/>
      <c r="K154" s="355"/>
      <c r="L154" s="355"/>
      <c r="M154" s="355"/>
      <c r="N154" s="355"/>
      <c r="O154" s="355"/>
      <c r="P154" s="356"/>
      <c r="Q154" s="356"/>
      <c r="R154" s="356"/>
      <c r="S154" s="356"/>
      <c r="T154" s="356"/>
      <c r="U154" s="356"/>
      <c r="V154" s="356"/>
      <c r="W154" s="357"/>
      <c r="X154" s="358">
        <f t="shared" si="13"/>
        <v>17000000</v>
      </c>
      <c r="Y154" s="183"/>
    </row>
    <row r="155" spans="1:25" hidden="1" x14ac:dyDescent="0.2">
      <c r="A155" s="173" t="s">
        <v>456</v>
      </c>
      <c r="B155" s="532" t="s">
        <v>457</v>
      </c>
      <c r="C155" s="533"/>
      <c r="D155" s="344">
        <v>10</v>
      </c>
      <c r="E155" s="345" t="s">
        <v>408</v>
      </c>
      <c r="F155" s="346"/>
      <c r="G155" s="347"/>
      <c r="H155" s="347">
        <v>200000</v>
      </c>
      <c r="I155" s="347">
        <v>200000</v>
      </c>
      <c r="J155" s="347">
        <v>200000</v>
      </c>
      <c r="K155" s="347">
        <v>200000</v>
      </c>
      <c r="L155" s="347">
        <v>200000</v>
      </c>
      <c r="M155" s="347">
        <v>200000</v>
      </c>
      <c r="N155" s="347">
        <v>200000</v>
      </c>
      <c r="O155" s="347">
        <v>200000</v>
      </c>
      <c r="P155" s="347">
        <v>200000</v>
      </c>
      <c r="Q155" s="347">
        <v>200000</v>
      </c>
      <c r="R155" s="348"/>
      <c r="S155" s="348"/>
      <c r="T155" s="348"/>
      <c r="U155" s="348"/>
      <c r="V155" s="348"/>
      <c r="W155" s="349"/>
      <c r="X155" s="350">
        <f t="shared" si="13"/>
        <v>2000000</v>
      </c>
      <c r="Y155" s="183"/>
    </row>
    <row r="156" spans="1:25" ht="13.5" hidden="1" thickBot="1" x14ac:dyDescent="0.25">
      <c r="B156" s="375" t="s">
        <v>395</v>
      </c>
      <c r="C156" s="376"/>
      <c r="D156" s="377">
        <v>41</v>
      </c>
      <c r="E156" s="368" t="s">
        <v>403</v>
      </c>
      <c r="F156" s="354">
        <v>5075324</v>
      </c>
      <c r="G156" s="355">
        <v>32608</v>
      </c>
      <c r="H156" s="378">
        <f>6400000</f>
        <v>6400000</v>
      </c>
      <c r="I156" s="355">
        <v>5000000</v>
      </c>
      <c r="J156" s="355">
        <v>4000000</v>
      </c>
      <c r="K156" s="355"/>
      <c r="L156" s="355"/>
      <c r="M156" s="355"/>
      <c r="N156" s="355"/>
      <c r="O156" s="355"/>
      <c r="P156" s="356"/>
      <c r="Q156" s="356"/>
      <c r="R156" s="356"/>
      <c r="S156" s="356"/>
      <c r="T156" s="356"/>
      <c r="U156" s="356"/>
      <c r="V156" s="356"/>
      <c r="W156" s="357"/>
      <c r="X156" s="358">
        <f t="shared" si="13"/>
        <v>20507932</v>
      </c>
      <c r="Y156" s="183"/>
    </row>
    <row r="157" spans="1:25" hidden="1" x14ac:dyDescent="0.2">
      <c r="B157" s="532" t="s">
        <v>458</v>
      </c>
      <c r="C157" s="533"/>
      <c r="D157" s="344">
        <v>10</v>
      </c>
      <c r="E157" s="374" t="s">
        <v>408</v>
      </c>
      <c r="F157" s="346"/>
      <c r="G157" s="347"/>
      <c r="H157" s="347">
        <v>150000</v>
      </c>
      <c r="I157" s="347">
        <v>150000</v>
      </c>
      <c r="J157" s="347">
        <v>150000</v>
      </c>
      <c r="K157" s="347">
        <v>150000</v>
      </c>
      <c r="L157" s="347">
        <v>150000</v>
      </c>
      <c r="M157" s="347">
        <v>150000</v>
      </c>
      <c r="N157" s="347">
        <v>150000</v>
      </c>
      <c r="O157" s="347">
        <v>150000</v>
      </c>
      <c r="P157" s="347">
        <v>150000</v>
      </c>
      <c r="Q157" s="347">
        <v>150000</v>
      </c>
      <c r="R157" s="348"/>
      <c r="S157" s="348"/>
      <c r="T157" s="348"/>
      <c r="U157" s="348"/>
      <c r="V157" s="348"/>
      <c r="W157" s="349"/>
      <c r="X157" s="350">
        <f t="shared" si="13"/>
        <v>1500000</v>
      </c>
      <c r="Y157" s="183"/>
    </row>
    <row r="158" spans="1:25" ht="13.5" hidden="1" thickBot="1" x14ac:dyDescent="0.25">
      <c r="B158" s="375" t="s">
        <v>395</v>
      </c>
      <c r="C158" s="376"/>
      <c r="D158" s="377">
        <v>41</v>
      </c>
      <c r="E158" s="368" t="s">
        <v>403</v>
      </c>
      <c r="F158" s="354"/>
      <c r="G158" s="355">
        <v>938000</v>
      </c>
      <c r="H158" s="378">
        <v>1000000</v>
      </c>
      <c r="I158" s="355">
        <v>1100000</v>
      </c>
      <c r="J158" s="355"/>
      <c r="K158" s="355"/>
      <c r="L158" s="355"/>
      <c r="M158" s="355"/>
      <c r="N158" s="355"/>
      <c r="O158" s="355"/>
      <c r="P158" s="356"/>
      <c r="Q158" s="356"/>
      <c r="R158" s="356"/>
      <c r="S158" s="356"/>
      <c r="T158" s="356"/>
      <c r="U158" s="356"/>
      <c r="V158" s="356"/>
      <c r="W158" s="357"/>
      <c r="X158" s="358">
        <f t="shared" si="13"/>
        <v>3038000</v>
      </c>
      <c r="Y158" s="183"/>
    </row>
    <row r="159" spans="1:25" hidden="1" x14ac:dyDescent="0.2">
      <c r="B159" s="379"/>
      <c r="C159" s="379"/>
      <c r="D159" s="380"/>
      <c r="E159" s="283"/>
      <c r="F159" s="284"/>
      <c r="G159" s="285"/>
      <c r="H159" s="285"/>
      <c r="I159" s="285"/>
      <c r="J159" s="285"/>
      <c r="K159" s="285"/>
      <c r="L159" s="285"/>
      <c r="M159" s="285"/>
      <c r="N159" s="285"/>
      <c r="O159" s="285"/>
      <c r="P159" s="286"/>
      <c r="Q159" s="286"/>
      <c r="R159" s="286"/>
      <c r="S159" s="286"/>
      <c r="T159" s="286"/>
      <c r="U159" s="286"/>
      <c r="V159" s="286"/>
      <c r="W159" s="287"/>
      <c r="X159" s="288">
        <f t="shared" si="13"/>
        <v>0</v>
      </c>
      <c r="Y159" s="183"/>
    </row>
    <row r="160" spans="1:25" ht="13.5" hidden="1" thickBot="1" x14ac:dyDescent="0.25">
      <c r="B160" s="534" t="s">
        <v>400</v>
      </c>
      <c r="C160" s="535"/>
      <c r="D160" s="535"/>
      <c r="E160" s="536"/>
      <c r="F160" s="381">
        <f t="shared" ref="F160:W160" si="14">SUM(F61:F159)</f>
        <v>5075324</v>
      </c>
      <c r="G160" s="382">
        <f t="shared" si="14"/>
        <v>10970608</v>
      </c>
      <c r="H160" s="382">
        <f t="shared" si="14"/>
        <v>57785000</v>
      </c>
      <c r="I160" s="382">
        <f t="shared" si="14"/>
        <v>55563000</v>
      </c>
      <c r="J160" s="382">
        <f t="shared" si="14"/>
        <v>48885000</v>
      </c>
      <c r="K160" s="382">
        <f t="shared" si="14"/>
        <v>42998000</v>
      </c>
      <c r="L160" s="382">
        <f t="shared" si="14"/>
        <v>40631000</v>
      </c>
      <c r="M160" s="382">
        <f t="shared" si="14"/>
        <v>37586000</v>
      </c>
      <c r="N160" s="382">
        <f t="shared" si="14"/>
        <v>36063000</v>
      </c>
      <c r="O160" s="382">
        <f t="shared" si="14"/>
        <v>26076000</v>
      </c>
      <c r="P160" s="382">
        <f t="shared" si="14"/>
        <v>26779000</v>
      </c>
      <c r="Q160" s="382">
        <f t="shared" si="14"/>
        <v>27513000</v>
      </c>
      <c r="R160" s="382">
        <f t="shared" si="14"/>
        <v>0</v>
      </c>
      <c r="S160" s="382">
        <f t="shared" si="14"/>
        <v>0</v>
      </c>
      <c r="T160" s="382">
        <f t="shared" si="14"/>
        <v>0</v>
      </c>
      <c r="U160" s="382">
        <f t="shared" si="14"/>
        <v>0</v>
      </c>
      <c r="V160" s="457"/>
      <c r="W160" s="383">
        <f t="shared" si="14"/>
        <v>0</v>
      </c>
      <c r="X160" s="384">
        <f>SUM(X61:X159)</f>
        <v>415924932</v>
      </c>
      <c r="Y160" s="183"/>
    </row>
    <row r="161" spans="2:30" hidden="1" x14ac:dyDescent="0.2">
      <c r="B161" s="385"/>
      <c r="C161" s="385"/>
      <c r="D161" s="385"/>
      <c r="E161" s="386"/>
      <c r="F161" s="387"/>
      <c r="G161" s="388">
        <v>10</v>
      </c>
      <c r="H161" s="389">
        <f>SUMIF($D$61:$D$158,"10",H$61:H$158)</f>
        <v>6518000</v>
      </c>
      <c r="I161" s="389">
        <f t="shared" ref="I161:W161" si="15">SUMIF($D$61:$D$158,"10",I$61:I$158)</f>
        <v>5545000</v>
      </c>
      <c r="J161" s="389">
        <f t="shared" si="15"/>
        <v>4976000</v>
      </c>
      <c r="K161" s="389">
        <f t="shared" si="15"/>
        <v>4531000</v>
      </c>
      <c r="L161" s="389">
        <f t="shared" si="15"/>
        <v>4100000</v>
      </c>
      <c r="M161" s="389">
        <f t="shared" si="15"/>
        <v>4148000</v>
      </c>
      <c r="N161" s="389">
        <f t="shared" si="15"/>
        <v>4057000</v>
      </c>
      <c r="O161" s="389">
        <f t="shared" si="15"/>
        <v>4103000</v>
      </c>
      <c r="P161" s="389">
        <f t="shared" si="15"/>
        <v>4147000</v>
      </c>
      <c r="Q161" s="389">
        <f t="shared" si="15"/>
        <v>4200000</v>
      </c>
      <c r="R161" s="389">
        <f t="shared" si="15"/>
        <v>0</v>
      </c>
      <c r="S161" s="389">
        <f t="shared" si="15"/>
        <v>0</v>
      </c>
      <c r="T161" s="389">
        <f t="shared" si="15"/>
        <v>0</v>
      </c>
      <c r="U161" s="389">
        <f t="shared" si="15"/>
        <v>0</v>
      </c>
      <c r="V161" s="389"/>
      <c r="W161" s="389">
        <f t="shared" si="15"/>
        <v>0</v>
      </c>
      <c r="X161" s="387"/>
      <c r="Y161" s="328">
        <f t="shared" ref="Y161:Y166" si="16">SUM(H161:W161)</f>
        <v>46325000</v>
      </c>
    </row>
    <row r="162" spans="2:30" hidden="1" x14ac:dyDescent="0.2">
      <c r="B162" s="385"/>
      <c r="C162" s="385"/>
      <c r="D162" s="385"/>
      <c r="E162" s="386"/>
      <c r="F162" s="387"/>
      <c r="G162" s="388">
        <v>37</v>
      </c>
      <c r="H162" s="389">
        <f>SUMIF($D$61:$D$158,"37",H$61:H$158)</f>
        <v>14165000</v>
      </c>
      <c r="I162" s="389">
        <f t="shared" ref="I162:W162" si="17">SUMIF($D$61:$D$158,"37",I$61:I$158)</f>
        <v>13490000</v>
      </c>
      <c r="J162" s="389">
        <f t="shared" si="17"/>
        <v>13902000</v>
      </c>
      <c r="K162" s="389">
        <f t="shared" si="17"/>
        <v>13729000</v>
      </c>
      <c r="L162" s="389">
        <f t="shared" si="17"/>
        <v>12571000</v>
      </c>
      <c r="M162" s="389">
        <f t="shared" si="17"/>
        <v>13923000</v>
      </c>
      <c r="N162" s="389">
        <f t="shared" si="17"/>
        <v>13650000</v>
      </c>
      <c r="O162" s="389">
        <f t="shared" si="17"/>
        <v>13003000</v>
      </c>
      <c r="P162" s="389">
        <f t="shared" si="17"/>
        <v>13372000</v>
      </c>
      <c r="Q162" s="389">
        <f t="shared" si="17"/>
        <v>13753000</v>
      </c>
      <c r="R162" s="389">
        <f t="shared" si="17"/>
        <v>0</v>
      </c>
      <c r="S162" s="389">
        <f t="shared" si="17"/>
        <v>0</v>
      </c>
      <c r="T162" s="389">
        <f t="shared" si="17"/>
        <v>0</v>
      </c>
      <c r="U162" s="389">
        <f t="shared" si="17"/>
        <v>0</v>
      </c>
      <c r="V162" s="389"/>
      <c r="W162" s="389">
        <f t="shared" si="17"/>
        <v>0</v>
      </c>
      <c r="X162" s="387"/>
      <c r="Y162" s="328">
        <f t="shared" si="16"/>
        <v>135558000</v>
      </c>
    </row>
    <row r="163" spans="2:30" hidden="1" x14ac:dyDescent="0.2">
      <c r="B163" s="385"/>
      <c r="C163" s="385"/>
      <c r="D163" s="385"/>
      <c r="E163" s="386"/>
      <c r="F163" s="387"/>
      <c r="G163" s="388">
        <v>30</v>
      </c>
      <c r="H163" s="389">
        <f>SUMIF($D$61:$D$158,"30",H$61:H$158)</f>
        <v>2640000</v>
      </c>
      <c r="I163" s="389">
        <f t="shared" ref="I163:W163" si="18">SUMIF($D$61:$D$158,"30",I$61:I$158)</f>
        <v>5300000</v>
      </c>
      <c r="J163" s="389">
        <f t="shared" si="18"/>
        <v>11921000</v>
      </c>
      <c r="K163" s="389">
        <f t="shared" si="18"/>
        <v>10631000</v>
      </c>
      <c r="L163" s="389">
        <f t="shared" si="18"/>
        <v>10062000</v>
      </c>
      <c r="M163" s="389">
        <f t="shared" si="18"/>
        <v>5695000</v>
      </c>
      <c r="N163" s="389">
        <f t="shared" si="18"/>
        <v>9666000</v>
      </c>
      <c r="O163" s="389">
        <f t="shared" si="18"/>
        <v>0</v>
      </c>
      <c r="P163" s="389">
        <f t="shared" si="18"/>
        <v>0</v>
      </c>
      <c r="Q163" s="389">
        <f t="shared" si="18"/>
        <v>0</v>
      </c>
      <c r="R163" s="389">
        <f t="shared" si="18"/>
        <v>0</v>
      </c>
      <c r="S163" s="389">
        <f t="shared" si="18"/>
        <v>0</v>
      </c>
      <c r="T163" s="389">
        <f t="shared" si="18"/>
        <v>0</v>
      </c>
      <c r="U163" s="389">
        <f t="shared" si="18"/>
        <v>0</v>
      </c>
      <c r="V163" s="389"/>
      <c r="W163" s="389">
        <f t="shared" si="18"/>
        <v>0</v>
      </c>
      <c r="X163" s="387"/>
      <c r="Y163" s="328">
        <f t="shared" si="16"/>
        <v>55915000</v>
      </c>
    </row>
    <row r="164" spans="2:30" hidden="1" x14ac:dyDescent="0.2">
      <c r="B164" s="385"/>
      <c r="C164" s="385"/>
      <c r="D164" s="385"/>
      <c r="E164" s="386"/>
      <c r="F164" s="387"/>
      <c r="G164" s="388">
        <v>41</v>
      </c>
      <c r="H164" s="389">
        <f>SUMIF($D$61:$D$158,"41",H$61:H$158)</f>
        <v>21862000</v>
      </c>
      <c r="I164" s="389">
        <f t="shared" ref="I164:W164" si="19">SUMIF($D$61:$D$158,"41",I$61:I$158)</f>
        <v>18300000</v>
      </c>
      <c r="J164" s="389">
        <f t="shared" si="19"/>
        <v>4323000</v>
      </c>
      <c r="K164" s="389">
        <f t="shared" si="19"/>
        <v>100000</v>
      </c>
      <c r="L164" s="389">
        <f t="shared" si="19"/>
        <v>239000</v>
      </c>
      <c r="M164" s="389">
        <f t="shared" si="19"/>
        <v>0</v>
      </c>
      <c r="N164" s="389">
        <f t="shared" si="19"/>
        <v>0</v>
      </c>
      <c r="O164" s="389">
        <f t="shared" si="19"/>
        <v>0</v>
      </c>
      <c r="P164" s="389">
        <f t="shared" si="19"/>
        <v>0</v>
      </c>
      <c r="Q164" s="389">
        <f t="shared" si="19"/>
        <v>0</v>
      </c>
      <c r="R164" s="389">
        <f t="shared" si="19"/>
        <v>0</v>
      </c>
      <c r="S164" s="389">
        <f t="shared" si="19"/>
        <v>0</v>
      </c>
      <c r="T164" s="389">
        <f t="shared" si="19"/>
        <v>0</v>
      </c>
      <c r="U164" s="389">
        <f t="shared" si="19"/>
        <v>0</v>
      </c>
      <c r="V164" s="389"/>
      <c r="W164" s="389">
        <f t="shared" si="19"/>
        <v>0</v>
      </c>
      <c r="X164" s="387"/>
      <c r="Y164" s="328">
        <f t="shared" si="16"/>
        <v>44824000</v>
      </c>
    </row>
    <row r="165" spans="2:30" hidden="1" x14ac:dyDescent="0.2">
      <c r="B165" s="385"/>
      <c r="C165" s="385"/>
      <c r="D165" s="385"/>
      <c r="E165" s="386"/>
      <c r="F165" s="387"/>
      <c r="G165" s="388">
        <v>39</v>
      </c>
      <c r="H165" s="389">
        <f>SUMIF($D$61:$D$158,"39",H$61:H$158)</f>
        <v>6100000</v>
      </c>
      <c r="I165" s="389">
        <f t="shared" ref="I165:W165" si="20">SUMIF($D$61:$D$158,"39",I$61:I$158)</f>
        <v>6200000</v>
      </c>
      <c r="J165" s="389">
        <f t="shared" si="20"/>
        <v>6800000</v>
      </c>
      <c r="K165" s="389">
        <f t="shared" si="20"/>
        <v>6800000</v>
      </c>
      <c r="L165" s="389">
        <f t="shared" si="20"/>
        <v>6200000</v>
      </c>
      <c r="M165" s="389">
        <f t="shared" si="20"/>
        <v>6100000</v>
      </c>
      <c r="N165" s="389">
        <f t="shared" si="20"/>
        <v>700000</v>
      </c>
      <c r="O165" s="389">
        <f t="shared" si="20"/>
        <v>700000</v>
      </c>
      <c r="P165" s="389">
        <f t="shared" si="20"/>
        <v>700000</v>
      </c>
      <c r="Q165" s="389">
        <f t="shared" si="20"/>
        <v>700000</v>
      </c>
      <c r="R165" s="389">
        <f t="shared" si="20"/>
        <v>0</v>
      </c>
      <c r="S165" s="389">
        <f t="shared" si="20"/>
        <v>0</v>
      </c>
      <c r="T165" s="389">
        <f t="shared" si="20"/>
        <v>0</v>
      </c>
      <c r="U165" s="389">
        <f t="shared" si="20"/>
        <v>0</v>
      </c>
      <c r="V165" s="389"/>
      <c r="W165" s="389">
        <f t="shared" si="20"/>
        <v>0</v>
      </c>
      <c r="X165" s="387"/>
      <c r="Y165" s="328">
        <f t="shared" si="16"/>
        <v>41000000</v>
      </c>
    </row>
    <row r="166" spans="2:30" hidden="1" x14ac:dyDescent="0.2">
      <c r="B166" s="385"/>
      <c r="C166" s="385"/>
      <c r="D166" s="385"/>
      <c r="E166" s="386"/>
      <c r="F166" s="387"/>
      <c r="G166" s="388">
        <v>99</v>
      </c>
      <c r="H166" s="389">
        <f>SUMIF($D$61:$D$158,"99",H$61:H$158)</f>
        <v>6500000</v>
      </c>
      <c r="I166" s="389">
        <f t="shared" ref="I166:W166" si="21">SUMIF($D$61:$D$158,"99",I$61:I$158)</f>
        <v>6728000</v>
      </c>
      <c r="J166" s="389">
        <f t="shared" si="21"/>
        <v>6963000</v>
      </c>
      <c r="K166" s="389">
        <f t="shared" si="21"/>
        <v>7207000</v>
      </c>
      <c r="L166" s="389">
        <f t="shared" si="21"/>
        <v>7459000</v>
      </c>
      <c r="M166" s="389">
        <f t="shared" si="21"/>
        <v>7720000</v>
      </c>
      <c r="N166" s="389">
        <f t="shared" si="21"/>
        <v>7990000</v>
      </c>
      <c r="O166" s="389">
        <f t="shared" si="21"/>
        <v>8270000</v>
      </c>
      <c r="P166" s="389">
        <f t="shared" si="21"/>
        <v>8560000</v>
      </c>
      <c r="Q166" s="389">
        <f t="shared" si="21"/>
        <v>8860000</v>
      </c>
      <c r="R166" s="389">
        <f t="shared" si="21"/>
        <v>0</v>
      </c>
      <c r="S166" s="389">
        <f t="shared" si="21"/>
        <v>0</v>
      </c>
      <c r="T166" s="389">
        <f t="shared" si="21"/>
        <v>0</v>
      </c>
      <c r="U166" s="389">
        <f t="shared" si="21"/>
        <v>0</v>
      </c>
      <c r="V166" s="389"/>
      <c r="W166" s="389">
        <f t="shared" si="21"/>
        <v>0</v>
      </c>
      <c r="X166" s="387"/>
      <c r="Y166" s="328">
        <f t="shared" si="16"/>
        <v>76257000</v>
      </c>
    </row>
    <row r="167" spans="2:30" hidden="1" x14ac:dyDescent="0.2">
      <c r="B167" s="385"/>
      <c r="C167" s="385"/>
      <c r="D167" s="385"/>
      <c r="E167" s="386"/>
      <c r="F167" s="387"/>
      <c r="G167" s="387"/>
      <c r="H167" s="387"/>
      <c r="I167" s="387"/>
      <c r="J167" s="387"/>
      <c r="K167" s="387"/>
      <c r="L167" s="387"/>
      <c r="M167" s="387"/>
      <c r="N167" s="387"/>
      <c r="O167" s="387"/>
      <c r="P167" s="387"/>
      <c r="Q167" s="387"/>
      <c r="R167" s="387"/>
      <c r="S167" s="387"/>
      <c r="T167" s="387"/>
      <c r="U167" s="387"/>
      <c r="V167" s="387"/>
      <c r="W167" s="387"/>
      <c r="X167" s="387"/>
      <c r="Y167" s="390">
        <f>SUM(Y161:Y166)</f>
        <v>399879000</v>
      </c>
    </row>
    <row r="168" spans="2:30" ht="13.15" customHeight="1" x14ac:dyDescent="0.2">
      <c r="B168" s="391" t="s">
        <v>459</v>
      </c>
      <c r="C168" s="392"/>
      <c r="D168" s="393"/>
      <c r="E168" s="392"/>
      <c r="F168" s="392"/>
      <c r="G168" s="392"/>
      <c r="H168" s="392"/>
      <c r="I168" s="392"/>
      <c r="J168" s="392"/>
      <c r="K168" s="183"/>
      <c r="L168" s="183"/>
      <c r="M168" s="183"/>
      <c r="N168" s="183"/>
      <c r="O168" s="183"/>
      <c r="P168" s="183"/>
      <c r="Q168" s="183"/>
      <c r="R168" s="183"/>
      <c r="S168" s="183"/>
      <c r="T168" s="183"/>
      <c r="U168" s="183"/>
      <c r="V168" s="183"/>
      <c r="W168" s="183"/>
      <c r="X168" s="394"/>
      <c r="Y168" s="183"/>
    </row>
    <row r="169" spans="2:30" x14ac:dyDescent="0.2">
      <c r="B169" s="395" t="s">
        <v>460</v>
      </c>
      <c r="C169" s="396"/>
      <c r="D169" s="397"/>
      <c r="E169" s="396"/>
      <c r="F169" s="396"/>
      <c r="G169" s="396"/>
      <c r="H169" s="396"/>
      <c r="I169" s="396"/>
      <c r="J169" s="396"/>
      <c r="X169" s="398">
        <f>SUM(F160:W160)</f>
        <v>415924932</v>
      </c>
    </row>
    <row r="170" spans="2:30" x14ac:dyDescent="0.2">
      <c r="B170" s="174" t="s">
        <v>12</v>
      </c>
      <c r="F170" s="399">
        <f t="shared" ref="F170:O170" si="22">SUM(F6:F53,F158)</f>
        <v>289448251.41999996</v>
      </c>
      <c r="G170" s="399">
        <f t="shared" si="22"/>
        <v>252088950</v>
      </c>
      <c r="H170" s="399">
        <f t="shared" si="22"/>
        <v>176617400</v>
      </c>
      <c r="I170" s="399">
        <f t="shared" si="22"/>
        <v>34588968.75</v>
      </c>
      <c r="J170" s="399">
        <f t="shared" si="22"/>
        <v>46371125</v>
      </c>
      <c r="K170" s="399">
        <f t="shared" si="22"/>
        <v>85595343.75</v>
      </c>
      <c r="L170" s="399">
        <f t="shared" si="22"/>
        <v>48660440.625</v>
      </c>
      <c r="M170" s="399">
        <f t="shared" si="22"/>
        <v>44700837.499999993</v>
      </c>
      <c r="N170" s="399">
        <f t="shared" si="22"/>
        <v>82433728.124999985</v>
      </c>
      <c r="O170" s="399">
        <f t="shared" si="22"/>
        <v>46911009.374999993</v>
      </c>
      <c r="P170" s="399"/>
      <c r="Q170" s="399"/>
      <c r="R170" s="399"/>
      <c r="S170" s="399"/>
      <c r="T170" s="399"/>
      <c r="U170" s="399"/>
      <c r="V170" s="399"/>
      <c r="W170" s="399">
        <f>SUM(W6:W53,W158)</f>
        <v>42214100</v>
      </c>
    </row>
    <row r="171" spans="2:30" x14ac:dyDescent="0.2">
      <c r="B171" s="174" t="s">
        <v>13</v>
      </c>
      <c r="F171" s="399">
        <f>SUM(F153:F156)</f>
        <v>5075324</v>
      </c>
      <c r="G171" s="399">
        <f t="shared" ref="G171:W171" si="23">SUM(G153:G156)</f>
        <v>5032608</v>
      </c>
      <c r="H171" s="399">
        <f t="shared" si="23"/>
        <v>12600000</v>
      </c>
      <c r="I171" s="399">
        <f t="shared" si="23"/>
        <v>11200000</v>
      </c>
      <c r="J171" s="399">
        <f t="shared" si="23"/>
        <v>4200000</v>
      </c>
      <c r="K171" s="399">
        <f t="shared" si="23"/>
        <v>200000</v>
      </c>
      <c r="L171" s="399">
        <f t="shared" si="23"/>
        <v>200000</v>
      </c>
      <c r="M171" s="399">
        <f t="shared" si="23"/>
        <v>200000</v>
      </c>
      <c r="N171" s="399">
        <f t="shared" si="23"/>
        <v>200000</v>
      </c>
      <c r="O171" s="399">
        <f t="shared" si="23"/>
        <v>200000</v>
      </c>
      <c r="P171" s="399"/>
      <c r="Q171" s="399"/>
      <c r="R171" s="399"/>
      <c r="S171" s="399"/>
      <c r="T171" s="399"/>
      <c r="U171" s="399"/>
      <c r="V171" s="399"/>
      <c r="W171" s="399">
        <f t="shared" si="23"/>
        <v>0</v>
      </c>
    </row>
    <row r="172" spans="2:30" x14ac:dyDescent="0.2">
      <c r="B172" s="400" t="s">
        <v>461</v>
      </c>
      <c r="F172" s="399">
        <f>SUM(F5:F15,  F146:F150,F157:F158)</f>
        <v>214978150.10999998</v>
      </c>
      <c r="G172" s="399">
        <f>SUM(G5:G15,  G146:G150,G157:G158)</f>
        <v>126513475</v>
      </c>
    </row>
    <row r="175" spans="2:30" x14ac:dyDescent="0.2">
      <c r="F175" s="400" t="s">
        <v>462</v>
      </c>
    </row>
    <row r="176" spans="2:30" x14ac:dyDescent="0.2">
      <c r="F176" s="400" t="s">
        <v>463</v>
      </c>
      <c r="G176" s="400" t="s">
        <v>464</v>
      </c>
      <c r="H176" s="400" t="s">
        <v>465</v>
      </c>
      <c r="I176" s="400" t="s">
        <v>466</v>
      </c>
      <c r="J176" s="400" t="s">
        <v>467</v>
      </c>
      <c r="K176" s="400" t="s">
        <v>468</v>
      </c>
      <c r="L176" s="400" t="s">
        <v>469</v>
      </c>
      <c r="M176" s="400" t="s">
        <v>470</v>
      </c>
      <c r="N176" s="400" t="s">
        <v>471</v>
      </c>
      <c r="O176" s="400" t="s">
        <v>472</v>
      </c>
      <c r="P176" s="400"/>
      <c r="Q176" s="400"/>
      <c r="R176" s="400"/>
      <c r="S176" s="400"/>
      <c r="T176" s="400"/>
      <c r="U176" s="400"/>
      <c r="V176" s="400"/>
      <c r="W176" s="400" t="s">
        <v>473</v>
      </c>
      <c r="X176" s="400" t="s">
        <v>474</v>
      </c>
      <c r="Y176" s="400" t="s">
        <v>475</v>
      </c>
      <c r="Z176" s="400" t="s">
        <v>464</v>
      </c>
      <c r="AA176" s="400" t="s">
        <v>465</v>
      </c>
      <c r="AB176" s="400" t="s">
        <v>466</v>
      </c>
      <c r="AC176" s="400" t="s">
        <v>467</v>
      </c>
      <c r="AD176" s="400" t="s">
        <v>468</v>
      </c>
    </row>
    <row r="177" spans="2:32" x14ac:dyDescent="0.2">
      <c r="F177" s="401">
        <v>3.4704536855895196E-2</v>
      </c>
      <c r="G177" s="401">
        <v>4.4048583755458504E-2</v>
      </c>
      <c r="H177" s="401">
        <v>9.0523622663755438E-2</v>
      </c>
      <c r="I177" s="401">
        <v>7.4717043318777307E-2</v>
      </c>
      <c r="J177" s="401">
        <v>8.9392467991266378E-2</v>
      </c>
      <c r="K177" s="401">
        <v>9.1825035589519641E-2</v>
      </c>
      <c r="L177" s="401">
        <v>9.2724725895196508E-2</v>
      </c>
      <c r="M177" s="401">
        <v>8.992031960698689E-2</v>
      </c>
      <c r="N177" s="401">
        <v>8.5313075633187768E-2</v>
      </c>
      <c r="O177" s="401">
        <v>6.7285247205240178E-2</v>
      </c>
      <c r="P177" s="401"/>
      <c r="Q177" s="401"/>
      <c r="R177" s="401"/>
      <c r="S177" s="401"/>
      <c r="T177" s="401"/>
      <c r="U177" s="401"/>
      <c r="V177" s="401"/>
      <c r="W177" s="401">
        <v>6.0812212707423582E-2</v>
      </c>
      <c r="X177" s="401">
        <v>5.5810178646288219E-2</v>
      </c>
      <c r="Y177" s="401">
        <v>2.4117473668122273E-2</v>
      </c>
      <c r="Z177" s="401">
        <v>1.4497059781659388E-2</v>
      </c>
      <c r="AA177" s="401">
        <v>1.1296400829694324E-2</v>
      </c>
      <c r="AB177" s="401">
        <v>3.6501494323144105E-3</v>
      </c>
      <c r="AC177" s="401">
        <v>8.5904366812227073E-6</v>
      </c>
      <c r="AD177" s="401">
        <v>6.7907532751091699E-3</v>
      </c>
    </row>
    <row r="179" spans="2:32" x14ac:dyDescent="0.2">
      <c r="W179" s="401">
        <f>SUM(F177:W177)</f>
        <v>0.82126687122270736</v>
      </c>
      <c r="AD179" s="401">
        <f>SUM(X177:AD177)+0.07</f>
        <v>0.18617060606986902</v>
      </c>
      <c r="AF179" s="401">
        <f>AD179+W179</f>
        <v>1.0074374772925765</v>
      </c>
    </row>
    <row r="183" spans="2:32" ht="17.25" x14ac:dyDescent="0.2">
      <c r="B183" s="402" t="s">
        <v>476</v>
      </c>
    </row>
    <row r="184" spans="2:32" ht="17.25" x14ac:dyDescent="0.2">
      <c r="B184" s="402" t="s">
        <v>477</v>
      </c>
    </row>
    <row r="185" spans="2:32" ht="17.25" x14ac:dyDescent="0.2">
      <c r="B185" s="402" t="s">
        <v>478</v>
      </c>
    </row>
    <row r="186" spans="2:32" ht="17.25" x14ac:dyDescent="0.2">
      <c r="B186" s="402" t="s">
        <v>479</v>
      </c>
    </row>
    <row r="187" spans="2:32" ht="17.25" x14ac:dyDescent="0.2">
      <c r="B187" s="402" t="s">
        <v>480</v>
      </c>
    </row>
    <row r="188" spans="2:32" ht="15" x14ac:dyDescent="0.2">
      <c r="B188" s="402" t="s">
        <v>481</v>
      </c>
    </row>
  </sheetData>
  <mergeCells count="41">
    <mergeCell ref="B30:C30"/>
    <mergeCell ref="B3:C4"/>
    <mergeCell ref="E3:E4"/>
    <mergeCell ref="F3:X3"/>
    <mergeCell ref="B5:C5"/>
    <mergeCell ref="B10:D10"/>
    <mergeCell ref="B11:C11"/>
    <mergeCell ref="B16:D16"/>
    <mergeCell ref="B17:C17"/>
    <mergeCell ref="B22:D22"/>
    <mergeCell ref="B23:X23"/>
    <mergeCell ref="B24:C24"/>
    <mergeCell ref="B86:C86"/>
    <mergeCell ref="B36:C36"/>
    <mergeCell ref="B42:C42"/>
    <mergeCell ref="B48:C48"/>
    <mergeCell ref="B54:D54"/>
    <mergeCell ref="B55:D55"/>
    <mergeCell ref="B60:X60"/>
    <mergeCell ref="B61:C61"/>
    <mergeCell ref="B66:C66"/>
    <mergeCell ref="B71:C71"/>
    <mergeCell ref="B76:C76"/>
    <mergeCell ref="B81:C81"/>
    <mergeCell ref="B146:C146"/>
    <mergeCell ref="B91:C91"/>
    <mergeCell ref="B96:C96"/>
    <mergeCell ref="B101:C101"/>
    <mergeCell ref="B106:C106"/>
    <mergeCell ref="B111:C111"/>
    <mergeCell ref="B116:C116"/>
    <mergeCell ref="B121:C121"/>
    <mergeCell ref="B126:C126"/>
    <mergeCell ref="B131:C131"/>
    <mergeCell ref="B136:C136"/>
    <mergeCell ref="B141:C141"/>
    <mergeCell ref="B151:C151"/>
    <mergeCell ref="B153:C153"/>
    <mergeCell ref="B155:C155"/>
    <mergeCell ref="B157:C157"/>
    <mergeCell ref="B160:E160"/>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election activeCell="M26" sqref="M26"/>
    </sheetView>
    <sheetView workbookViewId="1"/>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621</v>
      </c>
      <c r="B1" s="56"/>
      <c r="D1" s="137"/>
      <c r="E1" s="41"/>
    </row>
    <row r="2" spans="1:13" ht="33" customHeight="1" thickBot="1" x14ac:dyDescent="0.3">
      <c r="A2" s="630" t="s">
        <v>72</v>
      </c>
      <c r="B2" s="631"/>
      <c r="D2" s="643" t="s">
        <v>73</v>
      </c>
      <c r="E2" s="644"/>
      <c r="F2" s="644"/>
      <c r="G2" s="645"/>
    </row>
    <row r="3" spans="1:13" ht="36" customHeight="1" x14ac:dyDescent="0.25">
      <c r="A3" s="21" t="s">
        <v>103</v>
      </c>
      <c r="B3" s="23" t="str">
        <f>IF('NPV Summary'!O5= "Treated","Tier 1 Treated     ($/Acre-Ft)", IF('NPV Summary'!O5 = "Untreated", "Tier 1 Untreated         ($/Acre-Ft)",0))</f>
        <v>Tier 1 Treated     ($/Acre-Ft)</v>
      </c>
      <c r="D3" s="21" t="s">
        <v>103</v>
      </c>
      <c r="E3" s="22" t="s">
        <v>104</v>
      </c>
      <c r="F3" s="22" t="s">
        <v>105</v>
      </c>
      <c r="G3" s="23" t="s">
        <v>106</v>
      </c>
    </row>
    <row r="4" spans="1:13" ht="15.75" customHeight="1" thickBot="1" x14ac:dyDescent="0.3">
      <c r="A4" s="24"/>
      <c r="B4" s="27"/>
      <c r="D4" s="24"/>
      <c r="E4" s="25"/>
      <c r="F4" s="25"/>
      <c r="G4" s="26"/>
    </row>
    <row r="5" spans="1:13" x14ac:dyDescent="0.25">
      <c r="A5" s="28">
        <v>2007</v>
      </c>
      <c r="B5" s="690">
        <f>IF('NPV Summary'!$O$5= "Treated",F5, IF('NPV Summary'!$O$5 = "Untreated",G5,0))</f>
        <v>478</v>
      </c>
      <c r="D5" s="28">
        <v>2007</v>
      </c>
      <c r="E5" s="32" t="s">
        <v>121</v>
      </c>
      <c r="F5" s="681">
        <v>478</v>
      </c>
      <c r="G5" s="682">
        <v>331</v>
      </c>
      <c r="I5" s="417" t="s">
        <v>500</v>
      </c>
      <c r="J5" s="417"/>
      <c r="K5" s="417"/>
      <c r="L5" s="417"/>
      <c r="M5" s="417"/>
    </row>
    <row r="6" spans="1:13" x14ac:dyDescent="0.25">
      <c r="A6" s="43">
        <f t="shared" ref="A6:A37" si="0">A5+1</f>
        <v>2008</v>
      </c>
      <c r="B6" s="690">
        <f>IF('NPV Summary'!$O$5= "Treated",F6, IF('NPV Summary'!$O$5 = "Untreated",G6,0))</f>
        <v>508</v>
      </c>
      <c r="D6" s="44">
        <f t="shared" ref="D6:D37" si="1">D5+1</f>
        <v>2008</v>
      </c>
      <c r="E6" s="45" t="s">
        <v>121</v>
      </c>
      <c r="F6" s="681">
        <v>508</v>
      </c>
      <c r="G6" s="682">
        <v>351</v>
      </c>
      <c r="I6" s="424" t="s">
        <v>505</v>
      </c>
      <c r="J6" s="425"/>
      <c r="K6" s="424"/>
      <c r="L6" s="425"/>
      <c r="M6" s="424"/>
    </row>
    <row r="7" spans="1:13" x14ac:dyDescent="0.25">
      <c r="A7" s="28">
        <f t="shared" si="0"/>
        <v>2009</v>
      </c>
      <c r="B7" s="690">
        <f>IF('NPV Summary'!$O$5= "Treated",F7, IF('NPV Summary'!$O$5 = "Untreated",G7,0))</f>
        <v>579</v>
      </c>
      <c r="D7" s="29">
        <f t="shared" si="1"/>
        <v>2009</v>
      </c>
      <c r="E7" s="32" t="s">
        <v>121</v>
      </c>
      <c r="F7" s="681">
        <v>579</v>
      </c>
      <c r="G7" s="682">
        <v>412</v>
      </c>
    </row>
    <row r="8" spans="1:13" x14ac:dyDescent="0.25">
      <c r="A8" s="43">
        <f t="shared" si="0"/>
        <v>2010</v>
      </c>
      <c r="B8" s="690">
        <f>IF('NPV Summary'!$O$5= "Treated",F8, IF('NPV Summary'!$O$5 = "Untreated",G8,0))</f>
        <v>701</v>
      </c>
      <c r="D8" s="44">
        <f t="shared" si="1"/>
        <v>2010</v>
      </c>
      <c r="E8" s="45" t="s">
        <v>121</v>
      </c>
      <c r="F8" s="681">
        <v>701</v>
      </c>
      <c r="G8" s="682">
        <v>484</v>
      </c>
    </row>
    <row r="9" spans="1:13" x14ac:dyDescent="0.25">
      <c r="A9" s="28">
        <f t="shared" si="0"/>
        <v>2011</v>
      </c>
      <c r="B9" s="690">
        <f>IF('NPV Summary'!$O$5= "Treated",F9, IF('NPV Summary'!$O$5 = "Untreated",G9,0))</f>
        <v>744</v>
      </c>
      <c r="D9" s="29">
        <f t="shared" si="1"/>
        <v>2011</v>
      </c>
      <c r="E9" s="32" t="s">
        <v>121</v>
      </c>
      <c r="F9" s="681">
        <v>744</v>
      </c>
      <c r="G9" s="682">
        <v>527</v>
      </c>
    </row>
    <row r="10" spans="1:13" x14ac:dyDescent="0.25">
      <c r="A10" s="43">
        <f t="shared" si="0"/>
        <v>2012</v>
      </c>
      <c r="B10" s="690">
        <f>IF('NPV Summary'!$O$5= "Treated",F10, IF('NPV Summary'!$O$5 = "Untreated",G10,0))</f>
        <v>794</v>
      </c>
      <c r="D10" s="44">
        <f t="shared" si="1"/>
        <v>2012</v>
      </c>
      <c r="E10" s="45" t="s">
        <v>121</v>
      </c>
      <c r="F10" s="681">
        <v>794</v>
      </c>
      <c r="G10" s="682">
        <v>560</v>
      </c>
    </row>
    <row r="11" spans="1:13" x14ac:dyDescent="0.25">
      <c r="A11" s="28">
        <f t="shared" si="0"/>
        <v>2013</v>
      </c>
      <c r="B11" s="690">
        <f>IF('NPV Summary'!$O$5= "Treated",F11, IF('NPV Summary'!$O$5 = "Untreated",G11,0))</f>
        <v>847</v>
      </c>
      <c r="D11" s="29">
        <f t="shared" si="1"/>
        <v>2013</v>
      </c>
      <c r="E11" s="32" t="s">
        <v>121</v>
      </c>
      <c r="F11" s="681">
        <v>847</v>
      </c>
      <c r="G11" s="682">
        <v>593</v>
      </c>
    </row>
    <row r="12" spans="1:13" x14ac:dyDescent="0.25">
      <c r="A12" s="43">
        <f t="shared" si="0"/>
        <v>2014</v>
      </c>
      <c r="B12" s="691">
        <f>IF('NPV Summary'!$O$5= "Treated",F12, IF('NPV Summary'!$O$5 = "Untreated",G12,0))</f>
        <v>890</v>
      </c>
      <c r="D12" s="44">
        <f t="shared" si="1"/>
        <v>2014</v>
      </c>
      <c r="E12" s="168" t="s">
        <v>121</v>
      </c>
      <c r="F12" s="683">
        <v>890</v>
      </c>
      <c r="G12" s="684">
        <v>593</v>
      </c>
    </row>
    <row r="13" spans="1:13" x14ac:dyDescent="0.25">
      <c r="A13" s="55">
        <f t="shared" si="0"/>
        <v>2015</v>
      </c>
      <c r="B13" s="692">
        <f>IF('NPV Summary'!$O$5= "Treated",F13, IF('NPV Summary'!$O$5 = "Untreated",G13,0))</f>
        <v>923</v>
      </c>
      <c r="D13" s="55">
        <f t="shared" si="1"/>
        <v>2015</v>
      </c>
      <c r="E13" s="169" t="s">
        <v>121</v>
      </c>
      <c r="F13" s="685">
        <v>923</v>
      </c>
      <c r="G13" s="686">
        <v>582</v>
      </c>
    </row>
    <row r="14" spans="1:13" x14ac:dyDescent="0.25">
      <c r="A14" s="52">
        <f t="shared" si="0"/>
        <v>2016</v>
      </c>
      <c r="B14" s="692">
        <f>IF('NPV Summary'!$O$5= "Treated",F14, IF('NPV Summary'!$O$5 = "Untreated",G14,0))</f>
        <v>942</v>
      </c>
      <c r="D14" s="52">
        <f t="shared" si="1"/>
        <v>2016</v>
      </c>
      <c r="E14" s="170" t="s">
        <v>121</v>
      </c>
      <c r="F14" s="685">
        <v>942</v>
      </c>
      <c r="G14" s="686">
        <v>594</v>
      </c>
    </row>
    <row r="15" spans="1:13" x14ac:dyDescent="0.25">
      <c r="A15" s="55">
        <f t="shared" si="0"/>
        <v>2017</v>
      </c>
      <c r="B15" s="688">
        <f>IF('NPV Summary'!$O$5= "Treated",F15, IF('NPV Summary'!$O$5 = "Untreated",G15,0))</f>
        <v>979</v>
      </c>
      <c r="D15" s="55">
        <f t="shared" si="1"/>
        <v>2017</v>
      </c>
      <c r="E15" s="170" t="s">
        <v>121</v>
      </c>
      <c r="F15" s="685">
        <v>979</v>
      </c>
      <c r="G15" s="686">
        <v>666</v>
      </c>
    </row>
    <row r="16" spans="1:13" x14ac:dyDescent="0.25">
      <c r="A16" s="52">
        <f t="shared" si="0"/>
        <v>2018</v>
      </c>
      <c r="B16" s="688">
        <f>IF('NPV Summary'!$O$5= "Treated",F16, IF('NPV Summary'!$O$5 = "Untreated",G16,0))</f>
        <v>1015</v>
      </c>
      <c r="D16" s="52">
        <f t="shared" si="1"/>
        <v>2018</v>
      </c>
      <c r="E16" s="170" t="s">
        <v>121</v>
      </c>
      <c r="F16" s="685">
        <v>1015</v>
      </c>
      <c r="G16" s="686">
        <v>695</v>
      </c>
    </row>
    <row r="17" spans="1:7" x14ac:dyDescent="0.25">
      <c r="A17" s="55">
        <f t="shared" si="0"/>
        <v>2019</v>
      </c>
      <c r="B17" s="688">
        <f>IF('NPV Summary'!$O$5= "Treated",F17, IF('NPV Summary'!$O$5 = "Untreated",G17,0))</f>
        <v>1053</v>
      </c>
      <c r="D17" s="55">
        <f t="shared" si="1"/>
        <v>2019</v>
      </c>
      <c r="E17" s="170" t="s">
        <v>121</v>
      </c>
      <c r="F17" s="685">
        <v>1053</v>
      </c>
      <c r="G17" s="686">
        <v>738</v>
      </c>
    </row>
    <row r="18" spans="1:7" x14ac:dyDescent="0.25">
      <c r="A18" s="52">
        <f t="shared" si="0"/>
        <v>2020</v>
      </c>
      <c r="B18" s="688">
        <f>IF('NPV Summary'!$O$5= "Treated",F18, IF('NPV Summary'!$O$5 = "Untreated",G18,0))</f>
        <v>1092</v>
      </c>
      <c r="D18" s="52">
        <f t="shared" si="1"/>
        <v>2020</v>
      </c>
      <c r="E18" s="170" t="s">
        <v>121</v>
      </c>
      <c r="F18" s="685">
        <v>1092</v>
      </c>
      <c r="G18" s="686">
        <v>783</v>
      </c>
    </row>
    <row r="19" spans="1:7" x14ac:dyDescent="0.25">
      <c r="A19" s="55">
        <f t="shared" si="0"/>
        <v>2021</v>
      </c>
      <c r="B19" s="688">
        <f>IF('NPV Summary'!$O$5= "Treated",F19, IF('NPV Summary'!$O$5 = "Untreated",G19,0))</f>
        <v>1123</v>
      </c>
      <c r="D19" s="55">
        <f t="shared" si="1"/>
        <v>2021</v>
      </c>
      <c r="E19" s="170" t="s">
        <v>121</v>
      </c>
      <c r="F19" s="685">
        <v>1123</v>
      </c>
      <c r="G19" s="686">
        <v>835</v>
      </c>
    </row>
    <row r="20" spans="1:7" x14ac:dyDescent="0.25">
      <c r="A20" s="52">
        <f t="shared" si="0"/>
        <v>2022</v>
      </c>
      <c r="B20" s="688">
        <f>IF('NPV Summary'!$O$5= "Treated",F20, IF('NPV Summary'!$O$5 = "Untreated",G20,0))</f>
        <v>1164</v>
      </c>
      <c r="D20" s="52">
        <f t="shared" si="1"/>
        <v>2022</v>
      </c>
      <c r="E20" s="170" t="s">
        <v>121</v>
      </c>
      <c r="F20" s="685">
        <v>1164</v>
      </c>
      <c r="G20" s="686">
        <v>876</v>
      </c>
    </row>
    <row r="21" spans="1:7" x14ac:dyDescent="0.25">
      <c r="A21" s="55">
        <f t="shared" si="0"/>
        <v>2023</v>
      </c>
      <c r="B21" s="688">
        <f>IF('NPV Summary'!$O$5= "Treated",F21, IF('NPV Summary'!$O$5 = "Untreated",G21,0))</f>
        <v>1205</v>
      </c>
      <c r="D21" s="55">
        <f t="shared" si="1"/>
        <v>2023</v>
      </c>
      <c r="E21" s="170" t="s">
        <v>121</v>
      </c>
      <c r="F21" s="685">
        <v>1205</v>
      </c>
      <c r="G21" s="686">
        <v>917</v>
      </c>
    </row>
    <row r="22" spans="1:7" x14ac:dyDescent="0.25">
      <c r="A22" s="52">
        <f t="shared" si="0"/>
        <v>2024</v>
      </c>
      <c r="B22" s="688">
        <f>IF('NPV Summary'!$O$5= "Treated",F22, IF('NPV Summary'!$O$5 = "Untreated",G22,0))</f>
        <v>1249</v>
      </c>
      <c r="D22" s="52">
        <f t="shared" si="1"/>
        <v>2024</v>
      </c>
      <c r="E22" s="170" t="s">
        <v>121</v>
      </c>
      <c r="F22" s="685">
        <v>1249</v>
      </c>
      <c r="G22" s="686">
        <v>961</v>
      </c>
    </row>
    <row r="23" spans="1:7" x14ac:dyDescent="0.25">
      <c r="A23" s="55">
        <f t="shared" si="0"/>
        <v>2025</v>
      </c>
      <c r="B23" s="688">
        <f>IF('NPV Summary'!$O$5= "Treated",F23, IF('NPV Summary'!$O$5 = "Untreated",G23,0))</f>
        <v>1296</v>
      </c>
      <c r="D23" s="55">
        <f t="shared" si="1"/>
        <v>2025</v>
      </c>
      <c r="E23" s="170" t="s">
        <v>121</v>
      </c>
      <c r="F23" s="685">
        <v>1296</v>
      </c>
      <c r="G23" s="686">
        <v>1008</v>
      </c>
    </row>
    <row r="24" spans="1:7" x14ac:dyDescent="0.25">
      <c r="A24" s="52">
        <f t="shared" si="0"/>
        <v>2026</v>
      </c>
      <c r="B24" s="688">
        <f>IF('NPV Summary'!$O$5= "Treated",F24, IF('NPV Summary'!$O$5 = "Untreated",G24,0))</f>
        <v>1344</v>
      </c>
      <c r="D24" s="52">
        <f t="shared" si="1"/>
        <v>2026</v>
      </c>
      <c r="E24" s="170" t="s">
        <v>121</v>
      </c>
      <c r="F24" s="685">
        <v>1344</v>
      </c>
      <c r="G24" s="686">
        <v>1056</v>
      </c>
    </row>
    <row r="25" spans="1:7" x14ac:dyDescent="0.25">
      <c r="A25" s="55">
        <f t="shared" si="0"/>
        <v>2027</v>
      </c>
      <c r="B25" s="688">
        <f>IF('NPV Summary'!$O$5= "Treated",F25, IF('NPV Summary'!$O$5 = "Untreated",G25,0))</f>
        <v>1392.384</v>
      </c>
      <c r="D25" s="55">
        <f t="shared" si="1"/>
        <v>2027</v>
      </c>
      <c r="E25" s="687">
        <f>'NPV Summary'!$P$5</f>
        <v>3.5999999999999997E-2</v>
      </c>
      <c r="F25" s="688">
        <f t="shared" ref="F25:F56" si="2">F24*(1+E25)</f>
        <v>1392.384</v>
      </c>
      <c r="G25" s="689">
        <f t="shared" ref="G25:G56" si="3">G24*(1+E25)</f>
        <v>1094.0160000000001</v>
      </c>
    </row>
    <row r="26" spans="1:7" x14ac:dyDescent="0.25">
      <c r="A26" s="52">
        <f t="shared" si="0"/>
        <v>2028</v>
      </c>
      <c r="B26" s="688">
        <f>IF('NPV Summary'!$O$5= "Treated",F26, IF('NPV Summary'!$O$5 = "Untreated",G26,0))</f>
        <v>1442.509824</v>
      </c>
      <c r="D26" s="52">
        <f t="shared" si="1"/>
        <v>2028</v>
      </c>
      <c r="E26" s="687">
        <f>'NPV Summary'!$P$5</f>
        <v>3.5999999999999997E-2</v>
      </c>
      <c r="F26" s="688">
        <f t="shared" si="2"/>
        <v>1442.509824</v>
      </c>
      <c r="G26" s="689">
        <f t="shared" si="3"/>
        <v>1133.400576</v>
      </c>
    </row>
    <row r="27" spans="1:7" x14ac:dyDescent="0.25">
      <c r="A27" s="55">
        <f t="shared" si="0"/>
        <v>2029</v>
      </c>
      <c r="B27" s="688">
        <f>IF('NPV Summary'!$O$5= "Treated",F27, IF('NPV Summary'!$O$5 = "Untreated",G27,0))</f>
        <v>1494.440177664</v>
      </c>
      <c r="D27" s="55">
        <f t="shared" si="1"/>
        <v>2029</v>
      </c>
      <c r="E27" s="687">
        <f>'NPV Summary'!$P$5</f>
        <v>3.5999999999999997E-2</v>
      </c>
      <c r="F27" s="688">
        <f t="shared" si="2"/>
        <v>1494.440177664</v>
      </c>
      <c r="G27" s="689">
        <f t="shared" si="3"/>
        <v>1174.2029967359999</v>
      </c>
    </row>
    <row r="28" spans="1:7" x14ac:dyDescent="0.25">
      <c r="A28" s="52">
        <f t="shared" si="0"/>
        <v>2030</v>
      </c>
      <c r="B28" s="688">
        <f>IF('NPV Summary'!$O$5= "Treated",F28, IF('NPV Summary'!$O$5 = "Untreated",G28,0))</f>
        <v>1548.240024059904</v>
      </c>
      <c r="D28" s="52">
        <f t="shared" si="1"/>
        <v>2030</v>
      </c>
      <c r="E28" s="687">
        <f>'NPV Summary'!$P$5</f>
        <v>3.5999999999999997E-2</v>
      </c>
      <c r="F28" s="688">
        <f t="shared" si="2"/>
        <v>1548.240024059904</v>
      </c>
      <c r="G28" s="689">
        <f t="shared" si="3"/>
        <v>1216.474304618496</v>
      </c>
    </row>
    <row r="29" spans="1:7" x14ac:dyDescent="0.25">
      <c r="A29" s="55">
        <f t="shared" si="0"/>
        <v>2031</v>
      </c>
      <c r="B29" s="688">
        <f>IF('NPV Summary'!$O$5= "Treated",F29, IF('NPV Summary'!$O$5 = "Untreated",G29,0))</f>
        <v>1603.9766649260607</v>
      </c>
      <c r="D29" s="55">
        <f t="shared" si="1"/>
        <v>2031</v>
      </c>
      <c r="E29" s="687">
        <f>'NPV Summary'!$P$5</f>
        <v>3.5999999999999997E-2</v>
      </c>
      <c r="F29" s="688">
        <f t="shared" si="2"/>
        <v>1603.9766649260607</v>
      </c>
      <c r="G29" s="689">
        <f t="shared" si="3"/>
        <v>1260.267379584762</v>
      </c>
    </row>
    <row r="30" spans="1:7" x14ac:dyDescent="0.25">
      <c r="A30" s="52">
        <f t="shared" si="0"/>
        <v>2032</v>
      </c>
      <c r="B30" s="688">
        <f>IF('NPV Summary'!$O$5= "Treated",F30, IF('NPV Summary'!$O$5 = "Untreated",G30,0))</f>
        <v>1661.719824863399</v>
      </c>
      <c r="D30" s="52">
        <f t="shared" si="1"/>
        <v>2032</v>
      </c>
      <c r="E30" s="687">
        <f>'NPV Summary'!$P$5</f>
        <v>3.5999999999999997E-2</v>
      </c>
      <c r="F30" s="688">
        <f t="shared" si="2"/>
        <v>1661.719824863399</v>
      </c>
      <c r="G30" s="689">
        <f t="shared" si="3"/>
        <v>1305.6370052498135</v>
      </c>
    </row>
    <row r="31" spans="1:7" x14ac:dyDescent="0.25">
      <c r="A31" s="55">
        <f t="shared" si="0"/>
        <v>2033</v>
      </c>
      <c r="B31" s="688">
        <f>IF('NPV Summary'!$O$5= "Treated",F31, IF('NPV Summary'!$O$5 = "Untreated",G31,0))</f>
        <v>1721.5417385584815</v>
      </c>
      <c r="D31" s="55">
        <f t="shared" si="1"/>
        <v>2033</v>
      </c>
      <c r="E31" s="687">
        <f>'NPV Summary'!$P$5</f>
        <v>3.5999999999999997E-2</v>
      </c>
      <c r="F31" s="688">
        <f t="shared" si="2"/>
        <v>1721.5417385584815</v>
      </c>
      <c r="G31" s="689">
        <f t="shared" si="3"/>
        <v>1352.6399374388068</v>
      </c>
    </row>
    <row r="32" spans="1:7" x14ac:dyDescent="0.25">
      <c r="A32" s="52">
        <f t="shared" si="0"/>
        <v>2034</v>
      </c>
      <c r="B32" s="688">
        <f>IF('NPV Summary'!$O$5= "Treated",F32, IF('NPV Summary'!$O$5 = "Untreated",G32,0))</f>
        <v>1783.5172411465869</v>
      </c>
      <c r="D32" s="52">
        <f t="shared" si="1"/>
        <v>2034</v>
      </c>
      <c r="E32" s="687">
        <f>'NPV Summary'!$P$5</f>
        <v>3.5999999999999997E-2</v>
      </c>
      <c r="F32" s="688">
        <f t="shared" si="2"/>
        <v>1783.5172411465869</v>
      </c>
      <c r="G32" s="689">
        <f t="shared" si="3"/>
        <v>1401.334975186604</v>
      </c>
    </row>
    <row r="33" spans="1:7" x14ac:dyDescent="0.25">
      <c r="A33" s="55">
        <f t="shared" si="0"/>
        <v>2035</v>
      </c>
      <c r="B33" s="688">
        <f>IF('NPV Summary'!$O$5= "Treated",F33, IF('NPV Summary'!$O$5 = "Untreated",G33,0))</f>
        <v>1847.7238618278641</v>
      </c>
      <c r="D33" s="55">
        <f t="shared" si="1"/>
        <v>2035</v>
      </c>
      <c r="E33" s="687">
        <f>'NPV Summary'!$P$5</f>
        <v>3.5999999999999997E-2</v>
      </c>
      <c r="F33" s="688">
        <f t="shared" si="2"/>
        <v>1847.7238618278641</v>
      </c>
      <c r="G33" s="689">
        <f t="shared" si="3"/>
        <v>1451.7830342933219</v>
      </c>
    </row>
    <row r="34" spans="1:7" x14ac:dyDescent="0.25">
      <c r="A34" s="52">
        <f t="shared" si="0"/>
        <v>2036</v>
      </c>
      <c r="B34" s="688">
        <f>IF('NPV Summary'!$O$5= "Treated",F34, IF('NPV Summary'!$O$5 = "Untreated",G34,0))</f>
        <v>1914.2419208536674</v>
      </c>
      <c r="D34" s="52">
        <f t="shared" si="1"/>
        <v>2036</v>
      </c>
      <c r="E34" s="687">
        <f>'NPV Summary'!$P$5</f>
        <v>3.5999999999999997E-2</v>
      </c>
      <c r="F34" s="688">
        <f t="shared" si="2"/>
        <v>1914.2419208536674</v>
      </c>
      <c r="G34" s="689">
        <f t="shared" si="3"/>
        <v>1504.0472235278814</v>
      </c>
    </row>
    <row r="35" spans="1:7" x14ac:dyDescent="0.25">
      <c r="A35" s="55">
        <f t="shared" si="0"/>
        <v>2037</v>
      </c>
      <c r="B35" s="688">
        <f>IF('NPV Summary'!$O$5= "Treated",F35, IF('NPV Summary'!$O$5 = "Untreated",G35,0))</f>
        <v>1983.1546300043995</v>
      </c>
      <c r="D35" s="55">
        <f t="shared" si="1"/>
        <v>2037</v>
      </c>
      <c r="E35" s="687">
        <f>'NPV Summary'!$P$5</f>
        <v>3.5999999999999997E-2</v>
      </c>
      <c r="F35" s="688">
        <f t="shared" si="2"/>
        <v>1983.1546300043995</v>
      </c>
      <c r="G35" s="689">
        <f t="shared" si="3"/>
        <v>1558.1929235748853</v>
      </c>
    </row>
    <row r="36" spans="1:7" x14ac:dyDescent="0.25">
      <c r="A36" s="52">
        <f t="shared" si="0"/>
        <v>2038</v>
      </c>
      <c r="B36" s="688">
        <f>IF('NPV Summary'!$O$5= "Treated",F36, IF('NPV Summary'!$O$5 = "Untreated",G36,0))</f>
        <v>2054.5481966845578</v>
      </c>
      <c r="D36" s="52">
        <f t="shared" si="1"/>
        <v>2038</v>
      </c>
      <c r="E36" s="687">
        <f>'NPV Summary'!$P$5</f>
        <v>3.5999999999999997E-2</v>
      </c>
      <c r="F36" s="688">
        <f t="shared" si="2"/>
        <v>2054.5481966845578</v>
      </c>
      <c r="G36" s="689">
        <f t="shared" si="3"/>
        <v>1614.2878688235812</v>
      </c>
    </row>
    <row r="37" spans="1:7" x14ac:dyDescent="0.25">
      <c r="A37" s="55">
        <f t="shared" si="0"/>
        <v>2039</v>
      </c>
      <c r="B37" s="688">
        <f>IF('NPV Summary'!$O$5= "Treated",F37, IF('NPV Summary'!$O$5 = "Untreated",G37,0))</f>
        <v>2128.511931765202</v>
      </c>
      <c r="D37" s="55">
        <f t="shared" si="1"/>
        <v>2039</v>
      </c>
      <c r="E37" s="687">
        <f>'NPV Summary'!$P$5</f>
        <v>3.5999999999999997E-2</v>
      </c>
      <c r="F37" s="688">
        <f t="shared" si="2"/>
        <v>2128.511931765202</v>
      </c>
      <c r="G37" s="689">
        <f t="shared" si="3"/>
        <v>1672.4022321012301</v>
      </c>
    </row>
    <row r="38" spans="1:7" x14ac:dyDescent="0.25">
      <c r="A38" s="52">
        <f t="shared" ref="A38:A69" si="4">A37+1</f>
        <v>2040</v>
      </c>
      <c r="B38" s="688">
        <f>IF('NPV Summary'!$O$5= "Treated",F38, IF('NPV Summary'!$O$5 = "Untreated",G38,0))</f>
        <v>2205.1383613087492</v>
      </c>
      <c r="D38" s="52">
        <f t="shared" ref="D38:D69" si="5">D37+1</f>
        <v>2040</v>
      </c>
      <c r="E38" s="687">
        <f>'NPV Summary'!$P$5</f>
        <v>3.5999999999999997E-2</v>
      </c>
      <c r="F38" s="688">
        <f t="shared" si="2"/>
        <v>2205.1383613087492</v>
      </c>
      <c r="G38" s="689">
        <f t="shared" si="3"/>
        <v>1732.6087124568744</v>
      </c>
    </row>
    <row r="39" spans="1:7" x14ac:dyDescent="0.25">
      <c r="A39" s="55">
        <f t="shared" si="4"/>
        <v>2041</v>
      </c>
      <c r="B39" s="688">
        <f>IF('NPV Summary'!$O$5= "Treated",F39, IF('NPV Summary'!$O$5 = "Untreated",G39,0))</f>
        <v>2284.5233423158643</v>
      </c>
      <c r="D39" s="55">
        <f t="shared" si="5"/>
        <v>2041</v>
      </c>
      <c r="E39" s="687">
        <f>'NPV Summary'!$P$5</f>
        <v>3.5999999999999997E-2</v>
      </c>
      <c r="F39" s="688">
        <f t="shared" si="2"/>
        <v>2284.5233423158643</v>
      </c>
      <c r="G39" s="689">
        <f t="shared" si="3"/>
        <v>1794.982626105322</v>
      </c>
    </row>
    <row r="40" spans="1:7" x14ac:dyDescent="0.25">
      <c r="A40" s="52">
        <f t="shared" si="4"/>
        <v>2042</v>
      </c>
      <c r="B40" s="688">
        <f>IF('NPV Summary'!$O$5= "Treated",F40, IF('NPV Summary'!$O$5 = "Untreated",G40,0))</f>
        <v>2366.7661826392355</v>
      </c>
      <c r="D40" s="52">
        <f t="shared" si="5"/>
        <v>2042</v>
      </c>
      <c r="E40" s="687">
        <f>'NPV Summary'!$P$5</f>
        <v>3.5999999999999997E-2</v>
      </c>
      <c r="F40" s="688">
        <f t="shared" si="2"/>
        <v>2366.7661826392355</v>
      </c>
      <c r="G40" s="689">
        <f t="shared" si="3"/>
        <v>1859.6020006451135</v>
      </c>
    </row>
    <row r="41" spans="1:7" x14ac:dyDescent="0.25">
      <c r="A41" s="55">
        <f t="shared" si="4"/>
        <v>2043</v>
      </c>
      <c r="B41" s="688">
        <f>IF('NPV Summary'!$O$5= "Treated",F41, IF('NPV Summary'!$O$5 = "Untreated",G41,0))</f>
        <v>2451.9697652142481</v>
      </c>
      <c r="D41" s="55">
        <f t="shared" si="5"/>
        <v>2043</v>
      </c>
      <c r="E41" s="687">
        <f>'NPV Summary'!$P$5</f>
        <v>3.5999999999999997E-2</v>
      </c>
      <c r="F41" s="688">
        <f t="shared" si="2"/>
        <v>2451.9697652142481</v>
      </c>
      <c r="G41" s="689">
        <f t="shared" si="3"/>
        <v>1926.5476726683378</v>
      </c>
    </row>
    <row r="42" spans="1:7" x14ac:dyDescent="0.25">
      <c r="A42" s="52">
        <f t="shared" si="4"/>
        <v>2044</v>
      </c>
      <c r="B42" s="688">
        <f>IF('NPV Summary'!$O$5= "Treated",F42, IF('NPV Summary'!$O$5 = "Untreated",G42,0))</f>
        <v>2540.2406767619609</v>
      </c>
      <c r="D42" s="52">
        <f t="shared" si="5"/>
        <v>2044</v>
      </c>
      <c r="E42" s="687">
        <f>'NPV Summary'!$P$5</f>
        <v>3.5999999999999997E-2</v>
      </c>
      <c r="F42" s="688">
        <f t="shared" si="2"/>
        <v>2540.2406767619609</v>
      </c>
      <c r="G42" s="689">
        <f t="shared" si="3"/>
        <v>1995.9033888843981</v>
      </c>
    </row>
    <row r="43" spans="1:7" x14ac:dyDescent="0.25">
      <c r="A43" s="55">
        <f t="shared" si="4"/>
        <v>2045</v>
      </c>
      <c r="B43" s="688">
        <f>IF('NPV Summary'!$O$5= "Treated",F43, IF('NPV Summary'!$O$5 = "Untreated",G43,0))</f>
        <v>2631.6893411253914</v>
      </c>
      <c r="D43" s="55">
        <f t="shared" si="5"/>
        <v>2045</v>
      </c>
      <c r="E43" s="687">
        <f>'NPV Summary'!$P$5</f>
        <v>3.5999999999999997E-2</v>
      </c>
      <c r="F43" s="688">
        <f t="shared" si="2"/>
        <v>2631.6893411253914</v>
      </c>
      <c r="G43" s="689">
        <f t="shared" si="3"/>
        <v>2067.7559108842365</v>
      </c>
    </row>
    <row r="44" spans="1:7" x14ac:dyDescent="0.25">
      <c r="A44" s="52">
        <f t="shared" si="4"/>
        <v>2046</v>
      </c>
      <c r="B44" s="688">
        <f>IF('NPV Summary'!$O$5= "Treated",F44, IF('NPV Summary'!$O$5 = "Untreated",G44,0))</f>
        <v>2726.4301574059054</v>
      </c>
      <c r="D44" s="52">
        <f t="shared" si="5"/>
        <v>2046</v>
      </c>
      <c r="E44" s="687">
        <f>'NPV Summary'!$P$5</f>
        <v>3.5999999999999997E-2</v>
      </c>
      <c r="F44" s="688">
        <f t="shared" si="2"/>
        <v>2726.4301574059054</v>
      </c>
      <c r="G44" s="689">
        <f t="shared" si="3"/>
        <v>2142.1951236760692</v>
      </c>
    </row>
    <row r="45" spans="1:7" x14ac:dyDescent="0.25">
      <c r="A45" s="55">
        <f t="shared" si="4"/>
        <v>2047</v>
      </c>
      <c r="B45" s="688">
        <f>IF('NPV Summary'!$O$5= "Treated",F45, IF('NPV Summary'!$O$5 = "Untreated",G45,0))</f>
        <v>2824.5816430725181</v>
      </c>
      <c r="D45" s="55">
        <f t="shared" si="5"/>
        <v>2047</v>
      </c>
      <c r="E45" s="687">
        <f>'NPV Summary'!$P$5</f>
        <v>3.5999999999999997E-2</v>
      </c>
      <c r="F45" s="688">
        <f t="shared" si="2"/>
        <v>2824.5816430725181</v>
      </c>
      <c r="G45" s="689">
        <f t="shared" si="3"/>
        <v>2219.3141481284079</v>
      </c>
    </row>
    <row r="46" spans="1:7" x14ac:dyDescent="0.25">
      <c r="A46" s="52">
        <f t="shared" si="4"/>
        <v>2048</v>
      </c>
      <c r="B46" s="688">
        <f>IF('NPV Summary'!$O$5= "Treated",F46, IF('NPV Summary'!$O$5 = "Untreated",G46,0))</f>
        <v>2926.2665822231288</v>
      </c>
      <c r="D46" s="52">
        <f t="shared" si="5"/>
        <v>2048</v>
      </c>
      <c r="E46" s="687">
        <f>'NPV Summary'!$P$5</f>
        <v>3.5999999999999997E-2</v>
      </c>
      <c r="F46" s="688">
        <f t="shared" si="2"/>
        <v>2926.2665822231288</v>
      </c>
      <c r="G46" s="689">
        <f t="shared" si="3"/>
        <v>2299.2094574610305</v>
      </c>
    </row>
    <row r="47" spans="1:7" x14ac:dyDescent="0.25">
      <c r="A47" s="55">
        <f t="shared" si="4"/>
        <v>2049</v>
      </c>
      <c r="B47" s="688">
        <f>IF('NPV Summary'!$O$5= "Treated",F47, IF('NPV Summary'!$O$5 = "Untreated",G47,0))</f>
        <v>3031.6121791831615</v>
      </c>
      <c r="D47" s="55">
        <f t="shared" si="5"/>
        <v>2049</v>
      </c>
      <c r="E47" s="687">
        <f>'NPV Summary'!$P$5</f>
        <v>3.5999999999999997E-2</v>
      </c>
      <c r="F47" s="688">
        <f t="shared" si="2"/>
        <v>3031.6121791831615</v>
      </c>
      <c r="G47" s="689">
        <f t="shared" si="3"/>
        <v>2381.9809979296278</v>
      </c>
    </row>
    <row r="48" spans="1:7" x14ac:dyDescent="0.25">
      <c r="A48" s="52">
        <f t="shared" si="4"/>
        <v>2050</v>
      </c>
      <c r="B48" s="688">
        <f>IF('NPV Summary'!$O$5= "Treated",F48, IF('NPV Summary'!$O$5 = "Untreated",G48,0))</f>
        <v>3140.7502176337553</v>
      </c>
      <c r="D48" s="52">
        <f t="shared" si="5"/>
        <v>2050</v>
      </c>
      <c r="E48" s="687">
        <f>'NPV Summary'!$P$5</f>
        <v>3.5999999999999997E-2</v>
      </c>
      <c r="F48" s="688">
        <f t="shared" si="2"/>
        <v>3140.7502176337553</v>
      </c>
      <c r="G48" s="689">
        <f t="shared" si="3"/>
        <v>2467.7323138550946</v>
      </c>
    </row>
    <row r="49" spans="1:7" x14ac:dyDescent="0.25">
      <c r="A49" s="55">
        <f t="shared" si="4"/>
        <v>2051</v>
      </c>
      <c r="B49" s="688">
        <f>IF('NPV Summary'!$O$5= "Treated",F49, IF('NPV Summary'!$O$5 = "Untreated",G49,0))</f>
        <v>3253.8172254685705</v>
      </c>
      <c r="D49" s="55">
        <f t="shared" si="5"/>
        <v>2051</v>
      </c>
      <c r="E49" s="687">
        <f>'NPV Summary'!$P$5</f>
        <v>3.5999999999999997E-2</v>
      </c>
      <c r="F49" s="688">
        <f t="shared" si="2"/>
        <v>3253.8172254685705</v>
      </c>
      <c r="G49" s="689">
        <f t="shared" si="3"/>
        <v>2556.570677153878</v>
      </c>
    </row>
    <row r="50" spans="1:7" x14ac:dyDescent="0.25">
      <c r="A50" s="52">
        <f t="shared" si="4"/>
        <v>2052</v>
      </c>
      <c r="B50" s="688">
        <f>IF('NPV Summary'!$O$5= "Treated",F50, IF('NPV Summary'!$O$5 = "Untreated",G50,0))</f>
        <v>3370.9546455854393</v>
      </c>
      <c r="D50" s="52">
        <f t="shared" si="5"/>
        <v>2052</v>
      </c>
      <c r="E50" s="687">
        <f>'NPV Summary'!$P$5</f>
        <v>3.5999999999999997E-2</v>
      </c>
      <c r="F50" s="688">
        <f t="shared" si="2"/>
        <v>3370.9546455854393</v>
      </c>
      <c r="G50" s="689">
        <f t="shared" si="3"/>
        <v>2648.6072215314175</v>
      </c>
    </row>
    <row r="51" spans="1:7" x14ac:dyDescent="0.25">
      <c r="A51" s="55">
        <f t="shared" si="4"/>
        <v>2053</v>
      </c>
      <c r="B51" s="688">
        <f>IF('NPV Summary'!$O$5= "Treated",F51, IF('NPV Summary'!$O$5 = "Untreated",G51,0))</f>
        <v>3492.3090128265153</v>
      </c>
      <c r="D51" s="55">
        <f t="shared" si="5"/>
        <v>2053</v>
      </c>
      <c r="E51" s="687">
        <f>'NPV Summary'!$P$5</f>
        <v>3.5999999999999997E-2</v>
      </c>
      <c r="F51" s="688">
        <f t="shared" si="2"/>
        <v>3492.3090128265153</v>
      </c>
      <c r="G51" s="689">
        <f t="shared" si="3"/>
        <v>2743.9570815065485</v>
      </c>
    </row>
    <row r="52" spans="1:7" x14ac:dyDescent="0.25">
      <c r="A52" s="52">
        <f t="shared" si="4"/>
        <v>2054</v>
      </c>
      <c r="B52" s="688">
        <f>IF('NPV Summary'!$O$5= "Treated",F52, IF('NPV Summary'!$O$5 = "Untreated",G52,0))</f>
        <v>3618.03213728827</v>
      </c>
      <c r="D52" s="52">
        <f t="shared" si="5"/>
        <v>2054</v>
      </c>
      <c r="E52" s="687">
        <f>'NPV Summary'!$P$5</f>
        <v>3.5999999999999997E-2</v>
      </c>
      <c r="F52" s="688">
        <f t="shared" si="2"/>
        <v>3618.03213728827</v>
      </c>
      <c r="G52" s="689">
        <f t="shared" si="3"/>
        <v>2842.7395364407844</v>
      </c>
    </row>
    <row r="53" spans="1:7" x14ac:dyDescent="0.25">
      <c r="A53" s="55">
        <f t="shared" si="4"/>
        <v>2055</v>
      </c>
      <c r="B53" s="688">
        <f>IF('NPV Summary'!$O$5= "Treated",F53, IF('NPV Summary'!$O$5 = "Untreated",G53,0))</f>
        <v>3748.2812942306477</v>
      </c>
      <c r="D53" s="55">
        <f t="shared" si="5"/>
        <v>2055</v>
      </c>
      <c r="E53" s="687">
        <f>'NPV Summary'!$P$5</f>
        <v>3.5999999999999997E-2</v>
      </c>
      <c r="F53" s="688">
        <f t="shared" si="2"/>
        <v>3748.2812942306477</v>
      </c>
      <c r="G53" s="689">
        <f t="shared" si="3"/>
        <v>2945.0781597526525</v>
      </c>
    </row>
    <row r="54" spans="1:7" x14ac:dyDescent="0.25">
      <c r="A54" s="52">
        <f t="shared" si="4"/>
        <v>2056</v>
      </c>
      <c r="B54" s="688">
        <f>IF('NPV Summary'!$O$5= "Treated",F54, IF('NPV Summary'!$O$5 = "Untreated",G54,0))</f>
        <v>3883.2194208229512</v>
      </c>
      <c r="D54" s="52">
        <f t="shared" si="5"/>
        <v>2056</v>
      </c>
      <c r="E54" s="687">
        <f>'NPV Summary'!$P$5</f>
        <v>3.5999999999999997E-2</v>
      </c>
      <c r="F54" s="688">
        <f t="shared" si="2"/>
        <v>3883.2194208229512</v>
      </c>
      <c r="G54" s="689">
        <f t="shared" si="3"/>
        <v>3051.1009735037483</v>
      </c>
    </row>
    <row r="55" spans="1:7" x14ac:dyDescent="0.25">
      <c r="A55" s="55">
        <f t="shared" si="4"/>
        <v>2057</v>
      </c>
      <c r="B55" s="688">
        <f>IF('NPV Summary'!$O$5= "Treated",F55, IF('NPV Summary'!$O$5 = "Untreated",G55,0))</f>
        <v>4023.0153199725773</v>
      </c>
      <c r="D55" s="55">
        <f t="shared" si="5"/>
        <v>2057</v>
      </c>
      <c r="E55" s="687">
        <f>'NPV Summary'!$P$5</f>
        <v>3.5999999999999997E-2</v>
      </c>
      <c r="F55" s="688">
        <f t="shared" si="2"/>
        <v>4023.0153199725773</v>
      </c>
      <c r="G55" s="689">
        <f t="shared" si="3"/>
        <v>3160.9406085498831</v>
      </c>
    </row>
    <row r="56" spans="1:7" x14ac:dyDescent="0.25">
      <c r="A56" s="52">
        <f t="shared" si="4"/>
        <v>2058</v>
      </c>
      <c r="B56" s="688">
        <f>IF('NPV Summary'!$O$5= "Treated",F56, IF('NPV Summary'!$O$5 = "Untreated",G56,0))</f>
        <v>4167.8438714915901</v>
      </c>
      <c r="D56" s="52">
        <f t="shared" si="5"/>
        <v>2058</v>
      </c>
      <c r="E56" s="687">
        <f>'NPV Summary'!$P$5</f>
        <v>3.5999999999999997E-2</v>
      </c>
      <c r="F56" s="688">
        <f t="shared" si="2"/>
        <v>4167.8438714915901</v>
      </c>
      <c r="G56" s="689">
        <f t="shared" si="3"/>
        <v>3274.734470457679</v>
      </c>
    </row>
    <row r="57" spans="1:7" x14ac:dyDescent="0.25">
      <c r="A57" s="55">
        <f t="shared" si="4"/>
        <v>2059</v>
      </c>
      <c r="B57" s="688">
        <f>IF('NPV Summary'!$O$5= "Treated",F57, IF('NPV Summary'!$O$5 = "Untreated",G57,0))</f>
        <v>4317.8862508652874</v>
      </c>
      <c r="D57" s="55">
        <f t="shared" si="5"/>
        <v>2059</v>
      </c>
      <c r="E57" s="687">
        <f>'NPV Summary'!$P$5</f>
        <v>3.5999999999999997E-2</v>
      </c>
      <c r="F57" s="688">
        <f t="shared" ref="F57:F88" si="6">F56*(1+E57)</f>
        <v>4317.8862508652874</v>
      </c>
      <c r="G57" s="689">
        <f t="shared" ref="G57:G88" si="7">G56*(1+E57)</f>
        <v>3392.6249113941553</v>
      </c>
    </row>
    <row r="58" spans="1:7" x14ac:dyDescent="0.25">
      <c r="A58" s="52">
        <f t="shared" si="4"/>
        <v>2060</v>
      </c>
      <c r="B58" s="688">
        <f>IF('NPV Summary'!$O$5= "Treated",F58, IF('NPV Summary'!$O$5 = "Untreated",G58,0))</f>
        <v>4473.3301558964376</v>
      </c>
      <c r="D58" s="52">
        <f t="shared" si="5"/>
        <v>2060</v>
      </c>
      <c r="E58" s="687">
        <f>'NPV Summary'!$P$5</f>
        <v>3.5999999999999997E-2</v>
      </c>
      <c r="F58" s="688">
        <f t="shared" si="6"/>
        <v>4473.3301558964376</v>
      </c>
      <c r="G58" s="689">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zoomScale="85" zoomScaleNormal="85" workbookViewId="0">
      <selection activeCell="C1" sqref="C1"/>
    </sheetView>
    <sheetView topLeftCell="A4" zoomScale="85" zoomScaleNormal="85" workbookViewId="1">
      <selection activeCell="D16" sqref="D16:D54"/>
    </sheetView>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58"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42" t="s">
        <v>545</v>
      </c>
      <c r="Y1" s="458"/>
      <c r="Z1"/>
      <c r="AA1"/>
      <c r="BW1" s="9"/>
      <c r="BX1" s="9"/>
    </row>
    <row r="2" spans="1:76" ht="15.75" customHeight="1" thickBot="1" x14ac:dyDescent="0.3">
      <c r="B2" s="578" t="s">
        <v>1</v>
      </c>
      <c r="C2" s="604"/>
      <c r="D2" s="604"/>
      <c r="E2" s="604"/>
      <c r="F2" s="604"/>
      <c r="G2" s="604"/>
      <c r="H2" s="604"/>
      <c r="I2" s="604"/>
      <c r="J2" s="604"/>
      <c r="K2" s="604"/>
      <c r="L2" s="604"/>
      <c r="M2" s="604"/>
      <c r="N2" s="604"/>
      <c r="O2" s="604"/>
      <c r="P2" s="604"/>
      <c r="Q2" s="604"/>
      <c r="R2" s="604"/>
      <c r="Y2" s="458"/>
      <c r="Z2"/>
      <c r="AA2"/>
      <c r="BW2" s="9"/>
      <c r="BX2" s="9"/>
    </row>
    <row r="3" spans="1:76" s="56" customFormat="1" ht="24" customHeight="1" x14ac:dyDescent="0.25">
      <c r="B3" s="125"/>
      <c r="C3" s="126"/>
      <c r="D3" s="595" t="s">
        <v>2</v>
      </c>
      <c r="E3" s="596"/>
      <c r="F3" s="580" t="s">
        <v>3</v>
      </c>
      <c r="G3" s="580"/>
      <c r="H3" s="587"/>
      <c r="I3" s="590" t="s">
        <v>4</v>
      </c>
      <c r="J3" s="591"/>
      <c r="K3" s="592"/>
      <c r="L3" s="587" t="s">
        <v>5</v>
      </c>
      <c r="M3" s="588"/>
      <c r="N3" s="589"/>
      <c r="O3" s="593" t="s">
        <v>6</v>
      </c>
      <c r="P3" s="594"/>
      <c r="Q3" s="579" t="s">
        <v>7</v>
      </c>
      <c r="R3" s="675"/>
      <c r="Y3" s="459"/>
    </row>
    <row r="4" spans="1:76" s="56" customFormat="1" ht="51.75" customHeight="1" thickBot="1" x14ac:dyDescent="0.3">
      <c r="B4" s="108" t="s">
        <v>8</v>
      </c>
      <c r="C4" s="109" t="s">
        <v>9</v>
      </c>
      <c r="D4" s="99" t="s">
        <v>10</v>
      </c>
      <c r="E4" s="113" t="s">
        <v>11</v>
      </c>
      <c r="F4" s="110" t="s">
        <v>12</v>
      </c>
      <c r="G4" s="98" t="s">
        <v>13</v>
      </c>
      <c r="H4" s="98" t="s">
        <v>14</v>
      </c>
      <c r="I4" s="108" t="s">
        <v>15</v>
      </c>
      <c r="J4" s="97" t="s">
        <v>16</v>
      </c>
      <c r="K4" s="109" t="s">
        <v>17</v>
      </c>
      <c r="L4" s="101" t="s">
        <v>18</v>
      </c>
      <c r="M4" s="93" t="s">
        <v>19</v>
      </c>
      <c r="N4" s="100" t="s">
        <v>20</v>
      </c>
      <c r="O4" s="108" t="s">
        <v>21</v>
      </c>
      <c r="P4" s="109" t="s">
        <v>22</v>
      </c>
      <c r="Q4" s="122" t="s">
        <v>23</v>
      </c>
      <c r="R4" s="123" t="s">
        <v>24</v>
      </c>
      <c r="Y4" s="459"/>
    </row>
    <row r="5" spans="1:76" s="56" customFormat="1" ht="15.75" customHeight="1" thickBot="1" x14ac:dyDescent="0.3">
      <c r="B5" s="129">
        <f>'NPV Summary'!B5</f>
        <v>2018</v>
      </c>
      <c r="C5" s="129">
        <f>'NPV Summary'!C5</f>
        <v>2018</v>
      </c>
      <c r="D5" s="129">
        <f>'NPV Summary'!D5</f>
        <v>2018</v>
      </c>
      <c r="E5" s="129">
        <f>'NPV Summary'!E5</f>
        <v>0.04</v>
      </c>
      <c r="F5" s="129">
        <f>'NPV Summary'!F5</f>
        <v>2.1999999999999999E-2</v>
      </c>
      <c r="G5" s="129">
        <f>'NPV Summary'!G5</f>
        <v>0.03</v>
      </c>
      <c r="H5" s="129">
        <f>'NPV Summary'!H5</f>
        <v>0.04</v>
      </c>
      <c r="I5" s="129">
        <f>'NPV Summary'!I5</f>
        <v>0</v>
      </c>
      <c r="J5" s="129">
        <f>'NPV Summary'!J5</f>
        <v>30</v>
      </c>
      <c r="K5" s="129">
        <f>'NPV Summary'!K5</f>
        <v>0.05</v>
      </c>
      <c r="L5" s="129" t="str">
        <f>'NPV Summary'!L5</f>
        <v>No</v>
      </c>
      <c r="M5" s="129">
        <f>'NPV Summary'!M5</f>
        <v>475</v>
      </c>
      <c r="N5" s="129">
        <f>'NPV Summary'!N5</f>
        <v>15</v>
      </c>
      <c r="O5" s="129" t="str">
        <f>'NPV Summary'!O5</f>
        <v>Treated</v>
      </c>
      <c r="P5" s="129">
        <f>'NPV Summary'!P5</f>
        <v>3.5999999999999997E-2</v>
      </c>
      <c r="Q5" s="129" t="str">
        <f>'NPV Summary'!Q5</f>
        <v>Yes</v>
      </c>
      <c r="R5" s="129">
        <f>'NPV Summary'!R5</f>
        <v>73</v>
      </c>
      <c r="Y5" s="459"/>
    </row>
    <row r="6" spans="1:76" s="56" customFormat="1" ht="15" customHeight="1" thickBot="1" x14ac:dyDescent="0.3">
      <c r="A6" s="103"/>
      <c r="B6" s="130" t="s">
        <v>67</v>
      </c>
      <c r="C6" s="57"/>
      <c r="D6" s="158"/>
      <c r="E6" s="158"/>
      <c r="F6" s="158"/>
      <c r="G6" s="158"/>
      <c r="H6" s="158"/>
      <c r="I6" s="57"/>
      <c r="J6" s="57"/>
      <c r="K6" s="103"/>
      <c r="L6" s="103"/>
      <c r="M6" s="91"/>
      <c r="N6" s="58"/>
      <c r="O6" s="158"/>
      <c r="P6" s="57"/>
      <c r="Q6" s="159"/>
      <c r="R6" s="159"/>
      <c r="S6" s="159"/>
      <c r="T6" s="159"/>
      <c r="V6" s="159"/>
      <c r="W6" s="92"/>
      <c r="AA6" s="459"/>
    </row>
    <row r="7" spans="1:76" s="56" customFormat="1" ht="15" customHeight="1" thickBot="1" x14ac:dyDescent="0.3">
      <c r="A7" s="103"/>
      <c r="B7" s="118"/>
      <c r="C7" s="118"/>
      <c r="D7" s="163"/>
      <c r="E7" s="163"/>
      <c r="F7" s="163"/>
      <c r="G7" s="163"/>
      <c r="H7" s="163"/>
      <c r="I7" s="118"/>
      <c r="J7" s="118"/>
      <c r="K7" s="118"/>
      <c r="L7" s="118"/>
      <c r="M7" s="119"/>
      <c r="N7" s="119"/>
      <c r="O7" s="163"/>
      <c r="P7" s="118"/>
      <c r="Q7" s="159"/>
      <c r="R7" s="159"/>
      <c r="S7" s="159"/>
      <c r="T7" s="159"/>
      <c r="U7" s="103"/>
      <c r="V7" s="159"/>
      <c r="W7" s="92"/>
      <c r="X7" s="86"/>
      <c r="Z7" s="162"/>
      <c r="AA7" s="460"/>
      <c r="AH7" s="623" t="s">
        <v>68</v>
      </c>
      <c r="AI7" s="624"/>
      <c r="AJ7" s="624"/>
      <c r="AK7" s="624"/>
      <c r="AL7" s="624"/>
      <c r="AM7" s="624"/>
      <c r="AN7" s="625"/>
    </row>
    <row r="8" spans="1:76" ht="13.5" customHeight="1" thickBot="1" x14ac:dyDescent="0.3">
      <c r="A8" s="629" t="s">
        <v>69</v>
      </c>
      <c r="B8" s="620"/>
      <c r="C8" s="620"/>
      <c r="D8" s="620"/>
      <c r="E8" s="620"/>
      <c r="F8" s="620"/>
      <c r="G8" s="620"/>
      <c r="H8" s="620"/>
      <c r="I8" s="620"/>
      <c r="J8" s="620"/>
      <c r="K8" s="620"/>
      <c r="L8" s="620"/>
      <c r="M8" s="620"/>
      <c r="N8" s="620"/>
      <c r="O8" s="620"/>
      <c r="P8" s="620"/>
      <c r="Q8" s="620"/>
      <c r="R8" s="620"/>
      <c r="S8" s="620"/>
      <c r="T8" s="620"/>
      <c r="U8" s="620"/>
      <c r="V8" s="620"/>
      <c r="W8" s="620"/>
      <c r="X8" s="620"/>
      <c r="Y8" s="620"/>
      <c r="Z8" s="621"/>
      <c r="AA8" s="461"/>
      <c r="AH8" s="626"/>
      <c r="AI8" s="627"/>
      <c r="AJ8" s="627"/>
      <c r="AK8" s="627"/>
      <c r="AL8" s="627"/>
      <c r="AM8" s="627"/>
      <c r="AN8" s="628"/>
    </row>
    <row r="9" spans="1:76" ht="38.25" customHeight="1" thickBot="1" x14ac:dyDescent="0.3">
      <c r="A9" s="630"/>
      <c r="B9" s="631"/>
      <c r="C9" s="632" t="str">
        <f>"Projected Annual Cost
"&amp;B5&amp;" Dollar Year" &amp;"
($Million)"</f>
        <v>Projected Annual Cost
2018 Dollar Year
($Million)</v>
      </c>
      <c r="D9" s="633"/>
      <c r="E9" s="634"/>
      <c r="F9" s="633" t="s">
        <v>70</v>
      </c>
      <c r="G9" s="633"/>
      <c r="H9" s="634"/>
      <c r="I9" s="635" t="str">
        <f>"Projected Annual Cost with Financing
($Million; NPV=$"&amp;ROUND(Q55,3)&amp;")"</f>
        <v>Projected Annual Cost with Financing
($Million; NPV=$302.704)</v>
      </c>
      <c r="J9" s="636"/>
      <c r="K9" s="636"/>
      <c r="L9" s="636"/>
      <c r="M9" s="636"/>
      <c r="N9" s="636"/>
      <c r="O9" s="636"/>
      <c r="P9" s="636"/>
      <c r="Q9" s="636"/>
      <c r="R9" s="637"/>
      <c r="S9" s="632" t="str">
        <f>"Avoided MWD Purchase 
 ($Million; NPV=$"&amp;ROUND(W55,3)&amp;")"</f>
        <v>Avoided MWD Purchase 
 ($Million; NPV=$922.318)</v>
      </c>
      <c r="T9" s="633"/>
      <c r="U9" s="633"/>
      <c r="V9" s="633"/>
      <c r="W9" s="633"/>
      <c r="X9" s="634"/>
      <c r="Y9" s="632" t="s">
        <v>71</v>
      </c>
      <c r="Z9" s="634"/>
      <c r="AA9" s="462"/>
      <c r="AH9" s="638" t="s">
        <v>72</v>
      </c>
      <c r="AI9" s="639"/>
      <c r="AJ9" s="41"/>
      <c r="AK9" s="640" t="s">
        <v>73</v>
      </c>
      <c r="AL9" s="641"/>
      <c r="AM9" s="641"/>
      <c r="AN9" s="642"/>
      <c r="AP9" s="617" t="s">
        <v>74</v>
      </c>
      <c r="AQ9" s="618"/>
      <c r="AS9" s="619" t="s">
        <v>75</v>
      </c>
      <c r="AT9" s="620"/>
      <c r="AU9" s="620"/>
      <c r="AV9" s="620"/>
      <c r="AW9" s="620"/>
      <c r="AX9" s="620"/>
      <c r="AY9" s="620"/>
      <c r="AZ9" s="620"/>
      <c r="BA9" s="620"/>
      <c r="BB9" s="621"/>
      <c r="BD9" s="617" t="s">
        <v>76</v>
      </c>
      <c r="BE9" s="618"/>
      <c r="BF9" s="9"/>
      <c r="BG9" s="619" t="s">
        <v>77</v>
      </c>
      <c r="BH9" s="620"/>
      <c r="BI9" s="620"/>
    </row>
    <row r="10" spans="1:76" ht="51.75" customHeight="1" thickBot="1" x14ac:dyDescent="0.3">
      <c r="A10" s="34" t="s">
        <v>29</v>
      </c>
      <c r="B10" s="69" t="s">
        <v>78</v>
      </c>
      <c r="C10" s="117" t="s">
        <v>79</v>
      </c>
      <c r="D10" s="13" t="s">
        <v>80</v>
      </c>
      <c r="E10" s="14" t="s">
        <v>81</v>
      </c>
      <c r="F10" s="117" t="s">
        <v>82</v>
      </c>
      <c r="G10" s="13" t="s">
        <v>83</v>
      </c>
      <c r="H10" s="14" t="s">
        <v>84</v>
      </c>
      <c r="I10" s="18" t="s">
        <v>85</v>
      </c>
      <c r="J10" s="19" t="s">
        <v>86</v>
      </c>
      <c r="K10" s="19" t="s">
        <v>87</v>
      </c>
      <c r="L10" s="117" t="s">
        <v>88</v>
      </c>
      <c r="M10" s="13" t="s">
        <v>89</v>
      </c>
      <c r="N10" s="19" t="s">
        <v>90</v>
      </c>
      <c r="O10" s="38" t="s">
        <v>91</v>
      </c>
      <c r="P10" s="13" t="s">
        <v>92</v>
      </c>
      <c r="Q10" s="18" t="s">
        <v>93</v>
      </c>
      <c r="R10" s="487" t="s">
        <v>94</v>
      </c>
      <c r="S10" s="486" t="s">
        <v>95</v>
      </c>
      <c r="T10" s="14" t="s">
        <v>96</v>
      </c>
      <c r="U10" s="117" t="s">
        <v>97</v>
      </c>
      <c r="V10" s="13" t="s">
        <v>98</v>
      </c>
      <c r="W10" s="13" t="s">
        <v>99</v>
      </c>
      <c r="X10" s="14" t="s">
        <v>100</v>
      </c>
      <c r="Y10" s="117" t="s">
        <v>101</v>
      </c>
      <c r="Z10" s="14" t="s">
        <v>102</v>
      </c>
      <c r="AA10" s="463" t="s">
        <v>534</v>
      </c>
      <c r="AB10" s="14" t="s">
        <v>372</v>
      </c>
      <c r="AH10" s="21" t="s">
        <v>103</v>
      </c>
      <c r="AI10" s="23" t="str">
        <f>IF(O5= "Treated","Tier 1 Treated     ($/Acre-Ft)", IF(O5 = "Untreated", "Tier 1 Untreated         ($/Acre-Ft)",0))</f>
        <v>Tier 1 Treated     ($/Acre-Ft)</v>
      </c>
      <c r="AK10" s="21" t="s">
        <v>103</v>
      </c>
      <c r="AL10" s="22" t="s">
        <v>104</v>
      </c>
      <c r="AM10" s="22" t="s">
        <v>105</v>
      </c>
      <c r="AN10" s="23" t="s">
        <v>106</v>
      </c>
      <c r="AP10" s="75" t="s">
        <v>103</v>
      </c>
      <c r="AQ10" s="76" t="str">
        <f t="shared" ref="AQ10:AQ54" si="0">IF($J$5=5,AT10,IF($J$5=10,AU10,IF($J$5=15,AV10,IF($J$5=18,AW10,IF($J$5=20,AX10,IF($J$5=25,AY10,IF($J$5=30,AZ10,IF($J$5=35,BA10,IF($J$5=40,BB10)))))))))</f>
        <v>30 Year 
Borrowing
Term</v>
      </c>
      <c r="AS10" s="75" t="s">
        <v>103</v>
      </c>
      <c r="AT10" s="76" t="s">
        <v>107</v>
      </c>
      <c r="AU10" s="76" t="s">
        <v>108</v>
      </c>
      <c r="AV10" s="76" t="s">
        <v>109</v>
      </c>
      <c r="AW10" s="76" t="s">
        <v>110</v>
      </c>
      <c r="AX10" s="76" t="s">
        <v>111</v>
      </c>
      <c r="AY10" s="76" t="s">
        <v>112</v>
      </c>
      <c r="AZ10" s="76" t="s">
        <v>113</v>
      </c>
      <c r="BA10" s="76" t="s">
        <v>114</v>
      </c>
      <c r="BB10" s="76" t="s">
        <v>115</v>
      </c>
      <c r="BD10" s="75" t="s">
        <v>103</v>
      </c>
      <c r="BE10" s="76" t="str">
        <f>IF(N5=15,BH10,IF(N5=25,BI10,0))</f>
        <v>15 Year Term</v>
      </c>
      <c r="BF10" s="60"/>
      <c r="BG10" s="75" t="s">
        <v>103</v>
      </c>
      <c r="BH10" s="76" t="s">
        <v>116</v>
      </c>
      <c r="BI10" s="76" t="s">
        <v>117</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27"/>
      <c r="T11" s="127"/>
      <c r="U11" s="1"/>
      <c r="V11" s="2"/>
      <c r="W11" s="3"/>
      <c r="X11" s="10"/>
      <c r="Y11" s="12"/>
      <c r="Z11" s="4"/>
      <c r="AA11" s="464"/>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5">
        <f>$C$5</f>
        <v>2018</v>
      </c>
      <c r="C12" s="695">
        <f>'10 YEAR PROJECTION'!$H$54/1000000</f>
        <v>1.5</v>
      </c>
      <c r="D12" s="69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694">
        <f>IF(NOT(EXACT(A12, "MP Complete")), INDEX(MP_new!$A$4:$J$9, MATCH(Step1!A12, MP_new!$A$4:$A$9, 0), 7), S10)</f>
        <v>65409.8401116928</v>
      </c>
      <c r="T12" s="693">
        <f>IF(EXACT($Q$5, "Yes"), IF(NOT(EXACT(A12, "MP Complete")), INDEX(MP_new!$A$4:$J$9, MATCH(Step1!A12, MP_new!$A$4:$A$9, 0), 10), T10), 0)</f>
        <v>0</v>
      </c>
      <c r="U12" s="6">
        <f>('NPV Summary'!$B$16-S12)+T12</f>
        <v>0</v>
      </c>
      <c r="V12" s="6">
        <f>LOOKUP(B12,AH12:AI62)</f>
        <v>1015</v>
      </c>
      <c r="W12" s="72">
        <f t="shared" ref="W12:W54" si="8">(U12*V12)/1000000</f>
        <v>0</v>
      </c>
      <c r="X12" s="73">
        <f>W12</f>
        <v>0</v>
      </c>
      <c r="Y12" s="20">
        <f>W12-Q12</f>
        <v>-1.5</v>
      </c>
      <c r="Z12" s="20">
        <f>X12-R12</f>
        <v>-1.5</v>
      </c>
      <c r="AA12" s="468">
        <f>IF(SUM(AA$11:AA11)&gt;0,0,IF(SUM(X12-R12)&gt;0,B12,0))</f>
        <v>0</v>
      </c>
      <c r="AB12" s="171"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36">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4">
        <f t="shared" ref="B13:B53" si="14">B12+1</f>
        <v>2019</v>
      </c>
      <c r="C13" s="695">
        <f>'10 YEAR PROJECTION'!$I$54/1000000</f>
        <v>3.84896875</v>
      </c>
      <c r="D13" s="695"/>
      <c r="E13" s="66">
        <f t="shared" ref="E13:E54" si="15">IF( $Q$5="Yes", ($R$5)*T13, 0)/1000000</f>
        <v>0.36499999999999999</v>
      </c>
      <c r="F13" s="66">
        <f t="shared" ref="F13:F54" si="16">IF(B13&gt;$B$5,(C13)*(1+$F$5)^(B13-$B$5),C13)</f>
        <v>3.9336460625000003</v>
      </c>
      <c r="G13" s="67">
        <f t="shared" ref="G13:G54" si="17">IF(B13&gt;$B$5, (D13)*(1+$G$5)^(B13-$B$5),D13)</f>
        <v>0</v>
      </c>
      <c r="H13" s="68">
        <f t="shared" si="1"/>
        <v>0.37959999999999999</v>
      </c>
      <c r="I13" s="66">
        <f t="shared" si="2"/>
        <v>3.9336460625000003</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4.3132460625000002</v>
      </c>
      <c r="R13" s="71">
        <f t="shared" ref="R13:R53" si="20">R12+Q13</f>
        <v>5.8132460625000002</v>
      </c>
      <c r="S13" s="694">
        <f>IF(NOT(EXACT(A13, "MP Complete")), INDEX(MP_new!$A$4:$J$9, MATCH(Step1!A13 - 1, MP_new!$A$4:$A$9, 0), 7), S11)</f>
        <v>65409.8401116928</v>
      </c>
      <c r="T13" s="693">
        <f>IF(EXACT($Q$5, "Yes"), IF(NOT(EXACT(A13, "MP Complete")), INDEX(MP_new!$A$4:$J$9, MATCH(Step1!A13, MP_new!$A$4:$A$9, 0), 10), T11), 0)</f>
        <v>5000</v>
      </c>
      <c r="U13" s="82">
        <f>('NPV Summary'!$B$16-S13)+T13</f>
        <v>5000</v>
      </c>
      <c r="V13" s="82">
        <f>LOOKUP(B13,Rates!$A$5:$B$168)</f>
        <v>1053</v>
      </c>
      <c r="W13" s="70">
        <f t="shared" si="8"/>
        <v>5.2649999999999997</v>
      </c>
      <c r="X13" s="71">
        <f>X12+W13</f>
        <v>5.2649999999999997</v>
      </c>
      <c r="Y13" s="470">
        <f>W13-Q13</f>
        <v>0.95175393749999948</v>
      </c>
      <c r="Z13" s="470">
        <f>X13-R13</f>
        <v>-0.54824606250000052</v>
      </c>
      <c r="AA13" s="466">
        <f>IF(SUM(AA$11:AA12)&gt;0,0,IF(SUM(X13-R13)&gt;0,B13,0))</f>
        <v>0</v>
      </c>
      <c r="AB13" s="471">
        <f>ABS(Z13)*1000000/SUM(U$12:U13)</f>
        <v>109.64921250000009</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33">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5">
        <f t="shared" si="14"/>
        <v>2020</v>
      </c>
      <c r="C14" s="695">
        <f>'10 YEAR PROJECTION'!$J$54/1000000</f>
        <v>46.371124999999999</v>
      </c>
      <c r="D14" s="695">
        <f>'Area Summary'!$C$44</f>
        <v>4.3366557156605179</v>
      </c>
      <c r="E14" s="64">
        <f t="shared" si="15"/>
        <v>0.36499999999999999</v>
      </c>
      <c r="F14" s="64">
        <f t="shared" si="16"/>
        <v>48.433898124499997</v>
      </c>
      <c r="G14" s="84">
        <f t="shared" si="17"/>
        <v>4.6007580487442432</v>
      </c>
      <c r="H14" s="65">
        <f t="shared" si="1"/>
        <v>0.39478400000000002</v>
      </c>
      <c r="I14" s="64">
        <f t="shared" si="2"/>
        <v>48.433898124499997</v>
      </c>
      <c r="J14" s="84">
        <f t="shared" si="3"/>
        <v>4.6007580487442432</v>
      </c>
      <c r="K14" s="65">
        <f t="shared" si="3"/>
        <v>0.39478400000000002</v>
      </c>
      <c r="L14" s="64">
        <f t="shared" si="4"/>
        <v>0</v>
      </c>
      <c r="M14" s="72">
        <f t="shared" si="5"/>
        <v>0</v>
      </c>
      <c r="N14" s="72">
        <f t="shared" si="6"/>
        <v>0</v>
      </c>
      <c r="O14" s="64">
        <f t="shared" si="18"/>
        <v>0</v>
      </c>
      <c r="P14" s="84">
        <f t="shared" si="7"/>
        <v>0</v>
      </c>
      <c r="Q14" s="84">
        <f t="shared" si="19"/>
        <v>53.429440173244245</v>
      </c>
      <c r="R14" s="73">
        <f t="shared" si="20"/>
        <v>59.242686235744245</v>
      </c>
      <c r="S14" s="694">
        <f>IF(NOT(EXACT(A14, "MP Complete")), INDEX(MP_new!$A$4:$J$9, MATCH(Step1!A14 - 1, MP_new!$A$4:$A$9, 0), 7), S12)</f>
        <v>65409.8401116928</v>
      </c>
      <c r="T14" s="693">
        <f>IF(EXACT($Q$5, "Yes"), IF(NOT(EXACT(A14, "MP Complete")), INDEX(MP_new!$A$4:$J$9, MATCH(Step1!A14, MP_new!$A$4:$A$9, 0), 10), T12), 0)</f>
        <v>5000</v>
      </c>
      <c r="U14" s="6">
        <f>('NPV Summary'!$B$16-S14)+T14</f>
        <v>5000</v>
      </c>
      <c r="V14" s="6">
        <f>LOOKUP(B14,Rates!$A$5:$B$168)</f>
        <v>1092</v>
      </c>
      <c r="W14" s="72">
        <f t="shared" si="8"/>
        <v>5.46</v>
      </c>
      <c r="X14" s="73">
        <f t="shared" ref="X14:X53" si="24">X13+W14</f>
        <v>10.725</v>
      </c>
      <c r="Y14" s="20">
        <f t="shared" ref="Y14:Z53" si="25">W14-Q14</f>
        <v>-47.969440173244244</v>
      </c>
      <c r="Z14" s="20">
        <f t="shared" si="25"/>
        <v>-48.517686235744243</v>
      </c>
      <c r="AA14" s="465">
        <f>IF(SUM(AA$11:AA13)&gt;0,0,IF(SUM(X14-R14)&gt;0,B14,0))</f>
        <v>0</v>
      </c>
      <c r="AB14" s="171">
        <f>ABS(Z14)*1000000/SUM(U$12:U14)</f>
        <v>4851.768623574425</v>
      </c>
      <c r="AH14" s="28">
        <f t="shared" si="21"/>
        <v>2009</v>
      </c>
      <c r="AI14" s="30">
        <f>Rates!B7</f>
        <v>579</v>
      </c>
      <c r="AK14" s="29">
        <f t="shared" si="22"/>
        <v>2009</v>
      </c>
      <c r="AL14" s="8" t="str">
        <f>Rates!E7</f>
        <v>-</v>
      </c>
      <c r="AM14" s="30">
        <f>Rates!F7</f>
        <v>579</v>
      </c>
      <c r="AN14" s="31">
        <f>Rates!G7</f>
        <v>412</v>
      </c>
      <c r="AP14" s="16">
        <f t="shared" si="9"/>
        <v>2020</v>
      </c>
      <c r="AQ14" s="77">
        <f t="shared" si="0"/>
        <v>0</v>
      </c>
      <c r="AS14" s="136">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4">
        <f t="shared" si="14"/>
        <v>2021</v>
      </c>
      <c r="C15" s="695">
        <f>'10 YEAR PROJECTION'!$K$54/1000000</f>
        <v>85.595343749999998</v>
      </c>
      <c r="D15" s="695">
        <f>'Area Summary'!$C$44</f>
        <v>4.3366557156605179</v>
      </c>
      <c r="E15" s="66">
        <f t="shared" si="15"/>
        <v>0.36499999999999999</v>
      </c>
      <c r="F15" s="66">
        <f t="shared" si="16"/>
        <v>91.369832295845242</v>
      </c>
      <c r="G15" s="67">
        <f t="shared" si="17"/>
        <v>4.7387807902065706</v>
      </c>
      <c r="H15" s="68">
        <f t="shared" si="1"/>
        <v>0.41057536</v>
      </c>
      <c r="I15" s="66">
        <f t="shared" si="2"/>
        <v>91.369832295845242</v>
      </c>
      <c r="J15" s="67">
        <f t="shared" si="3"/>
        <v>4.7387807902065706</v>
      </c>
      <c r="K15" s="68">
        <f t="shared" si="3"/>
        <v>0.41057536</v>
      </c>
      <c r="L15" s="66">
        <f t="shared" si="4"/>
        <v>0</v>
      </c>
      <c r="M15" s="70">
        <f t="shared" si="5"/>
        <v>0</v>
      </c>
      <c r="N15" s="70">
        <f t="shared" si="6"/>
        <v>0</v>
      </c>
      <c r="O15" s="66">
        <f t="shared" si="18"/>
        <v>0</v>
      </c>
      <c r="P15" s="67">
        <f t="shared" si="7"/>
        <v>0</v>
      </c>
      <c r="Q15" s="67">
        <f t="shared" si="19"/>
        <v>96.519188446051814</v>
      </c>
      <c r="R15" s="71">
        <f t="shared" si="20"/>
        <v>155.76187468179606</v>
      </c>
      <c r="S15" s="694">
        <f>IF(NOT(EXACT(A15, "MP Complete")), INDEX(MP_new!$A$4:$J$9, MATCH(Step1!A15 - 1, MP_new!$A$4:$A$9, 0), 7), S13)</f>
        <v>65409.8401116928</v>
      </c>
      <c r="T15" s="693">
        <f>IF(EXACT($Q$5, "Yes"), IF(NOT(EXACT(A15, "MP Complete")), INDEX(MP_new!$A$4:$J$9, MATCH(Step1!A15, MP_new!$A$4:$A$9, 0), 10), T13), 0)</f>
        <v>5000</v>
      </c>
      <c r="U15" s="82">
        <f>('NPV Summary'!$B$16-S15)+T15</f>
        <v>5000</v>
      </c>
      <c r="V15" s="82">
        <f>LOOKUP(B15,Rates!$A$5:$B$168)</f>
        <v>1123</v>
      </c>
      <c r="W15" s="70">
        <f t="shared" si="8"/>
        <v>5.6150000000000002</v>
      </c>
      <c r="X15" s="71">
        <f t="shared" si="24"/>
        <v>16.34</v>
      </c>
      <c r="Y15" s="470">
        <f t="shared" si="25"/>
        <v>-90.904188446051819</v>
      </c>
      <c r="Z15" s="470">
        <f t="shared" si="25"/>
        <v>-139.42187468179606</v>
      </c>
      <c r="AA15" s="466">
        <f>IF(SUM(AA$11:AA14)&gt;0,0,IF(SUM(X15-R15)&gt;0,B15,0))</f>
        <v>0</v>
      </c>
      <c r="AB15" s="471">
        <f>ABS(Z15)*1000000/SUM(U$12:U15)</f>
        <v>9294.7916454530696</v>
      </c>
      <c r="AH15" s="43">
        <f t="shared" si="21"/>
        <v>2010</v>
      </c>
      <c r="AI15" s="46">
        <f>Rates!B8</f>
        <v>701</v>
      </c>
      <c r="AK15" s="44">
        <f t="shared" si="22"/>
        <v>2010</v>
      </c>
      <c r="AL15" s="53" t="str">
        <f>Rates!E8</f>
        <v>-</v>
      </c>
      <c r="AM15" s="46">
        <f>Rates!F8</f>
        <v>701</v>
      </c>
      <c r="AN15" s="47">
        <f>Rates!G8</f>
        <v>484</v>
      </c>
      <c r="AP15" s="48">
        <f t="shared" si="9"/>
        <v>2021</v>
      </c>
      <c r="AQ15" s="78">
        <f t="shared" si="0"/>
        <v>0</v>
      </c>
      <c r="AS15" s="133">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5">
        <f t="shared" si="14"/>
        <v>2022</v>
      </c>
      <c r="C16" s="695">
        <v>0</v>
      </c>
      <c r="D16" s="695">
        <f>'Area Summary'!$C$44</f>
        <v>4.3366557156605179</v>
      </c>
      <c r="E16" s="64">
        <f t="shared" si="15"/>
        <v>0.65700000000000003</v>
      </c>
      <c r="F16" s="64">
        <f t="shared" si="16"/>
        <v>0</v>
      </c>
      <c r="G16" s="84">
        <f t="shared" si="17"/>
        <v>4.8809442139127679</v>
      </c>
      <c r="H16" s="65">
        <f t="shared" si="1"/>
        <v>0.76859707392000021</v>
      </c>
      <c r="I16" s="64">
        <f t="shared" si="2"/>
        <v>0</v>
      </c>
      <c r="J16" s="84">
        <f t="shared" si="3"/>
        <v>4.8809442139127679</v>
      </c>
      <c r="K16" s="65">
        <f t="shared" si="3"/>
        <v>0.76859707392000021</v>
      </c>
      <c r="L16" s="64">
        <f t="shared" si="4"/>
        <v>0</v>
      </c>
      <c r="M16" s="72">
        <f t="shared" si="5"/>
        <v>0</v>
      </c>
      <c r="N16" s="72">
        <f t="shared" si="6"/>
        <v>0</v>
      </c>
      <c r="O16" s="64">
        <f t="shared" si="18"/>
        <v>0</v>
      </c>
      <c r="P16" s="84">
        <f t="shared" si="7"/>
        <v>0</v>
      </c>
      <c r="Q16" s="84">
        <f t="shared" si="19"/>
        <v>5.6495412878327684</v>
      </c>
      <c r="R16" s="73">
        <f t="shared" si="20"/>
        <v>161.41141596962882</v>
      </c>
      <c r="S16" s="694">
        <f>IF(NOT(EXACT(A16, "MP Complete")), INDEX(MP_new!$A$4:$J$9, MATCH(Step1!A16 - 1, MP_new!$A$4:$A$9, 0), 7), S14)</f>
        <v>54321.653018812802</v>
      </c>
      <c r="T16" s="693">
        <f>IF(EXACT($Q$5, "Yes"), IF(NOT(EXACT(A16, "MP Complete")), INDEX(MP_new!$A$4:$J$9, MATCH(Step1!A16, MP_new!$A$4:$A$9, 0), 10), T14), 0)</f>
        <v>9000</v>
      </c>
      <c r="U16" s="6">
        <f>('NPV Summary'!$B$16-S16)+T16</f>
        <v>20088.187092879998</v>
      </c>
      <c r="V16" s="6">
        <f>LOOKUP(B16,Rates!$A$5:$B$168)</f>
        <v>1164</v>
      </c>
      <c r="W16" s="72">
        <f t="shared" si="8"/>
        <v>23.382649776112316</v>
      </c>
      <c r="X16" s="73">
        <f t="shared" si="24"/>
        <v>39.72264977611232</v>
      </c>
      <c r="Y16" s="20">
        <f t="shared" si="25"/>
        <v>17.733108488279548</v>
      </c>
      <c r="Z16" s="20">
        <f t="shared" si="25"/>
        <v>-121.6887661935165</v>
      </c>
      <c r="AA16" s="465">
        <f>IF(SUM(AA$11:AA15)&gt;0,0,IF(SUM(X16-R16)&gt;0,B16,0))</f>
        <v>0</v>
      </c>
      <c r="AB16" s="171">
        <f>ABS(Z16)*1000000/SUM(U$12:U16)</f>
        <v>3468.0835995145858</v>
      </c>
      <c r="AH16" s="28">
        <f t="shared" si="21"/>
        <v>2011</v>
      </c>
      <c r="AI16" s="30">
        <f>Rates!B9</f>
        <v>744</v>
      </c>
      <c r="AK16" s="29">
        <f t="shared" si="22"/>
        <v>2011</v>
      </c>
      <c r="AL16" s="87" t="str">
        <f>Rates!E9</f>
        <v>-</v>
      </c>
      <c r="AM16" s="30">
        <f>Rates!F9</f>
        <v>744</v>
      </c>
      <c r="AN16" s="31">
        <f>Rates!G9</f>
        <v>527</v>
      </c>
      <c r="AP16" s="16">
        <f t="shared" si="9"/>
        <v>2022</v>
      </c>
      <c r="AQ16" s="77">
        <f t="shared" si="0"/>
        <v>0</v>
      </c>
      <c r="AS16" s="136">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4">
        <f t="shared" si="14"/>
        <v>2023</v>
      </c>
      <c r="C17" s="695">
        <v>0</v>
      </c>
      <c r="D17" s="695">
        <f>'Area Summary'!$C$44</f>
        <v>4.3366557156605179</v>
      </c>
      <c r="E17" s="66">
        <f t="shared" si="15"/>
        <v>0.65700000000000003</v>
      </c>
      <c r="F17" s="66">
        <f t="shared" si="16"/>
        <v>0</v>
      </c>
      <c r="G17" s="67">
        <f t="shared" si="17"/>
        <v>5.0273725403301501</v>
      </c>
      <c r="H17" s="68">
        <f t="shared" si="1"/>
        <v>0.79934095687680029</v>
      </c>
      <c r="I17" s="66">
        <f t="shared" si="2"/>
        <v>0</v>
      </c>
      <c r="J17" s="67">
        <f t="shared" si="3"/>
        <v>5.0273725403301501</v>
      </c>
      <c r="K17" s="68">
        <f t="shared" si="3"/>
        <v>0.79934095687680029</v>
      </c>
      <c r="L17" s="66">
        <f t="shared" si="4"/>
        <v>0</v>
      </c>
      <c r="M17" s="70">
        <f t="shared" si="5"/>
        <v>0</v>
      </c>
      <c r="N17" s="70">
        <f t="shared" si="6"/>
        <v>0</v>
      </c>
      <c r="O17" s="66">
        <f t="shared" si="18"/>
        <v>0</v>
      </c>
      <c r="P17" s="67">
        <f t="shared" si="7"/>
        <v>0</v>
      </c>
      <c r="Q17" s="67">
        <f t="shared" si="19"/>
        <v>5.8267134972069501</v>
      </c>
      <c r="R17" s="71">
        <f t="shared" si="20"/>
        <v>167.23812946683577</v>
      </c>
      <c r="S17" s="694">
        <f>IF(NOT(EXACT(A17, "MP Complete")), INDEX(MP_new!$A$4:$J$9, MATCH(Step1!A17 - 1, MP_new!$A$4:$A$9, 0), 7), S15)</f>
        <v>54321.653018812802</v>
      </c>
      <c r="T17" s="693">
        <f>IF(EXACT($Q$5, "Yes"), IF(NOT(EXACT(A17, "MP Complete")), INDEX(MP_new!$A$4:$J$9, MATCH(Step1!A17, MP_new!$A$4:$A$9, 0), 10), T15), 0)</f>
        <v>9000</v>
      </c>
      <c r="U17" s="82">
        <f>('NPV Summary'!$B$16-S17)+T17</f>
        <v>20088.187092879998</v>
      </c>
      <c r="V17" s="82">
        <f>LOOKUP(B17,Rates!$A$5:$B$168)</f>
        <v>1205</v>
      </c>
      <c r="W17" s="70">
        <f t="shared" si="8"/>
        <v>24.206265446920398</v>
      </c>
      <c r="X17" s="71">
        <f t="shared" si="24"/>
        <v>63.928915223032718</v>
      </c>
      <c r="Y17" s="470">
        <f t="shared" si="25"/>
        <v>18.379551949713449</v>
      </c>
      <c r="Z17" s="470">
        <f t="shared" si="25"/>
        <v>-103.30921424380305</v>
      </c>
      <c r="AA17" s="466">
        <f>IF(SUM(AA$11:AA16)&gt;0,0,IF(SUM(X17-R17)&gt;0,B17,0))</f>
        <v>0</v>
      </c>
      <c r="AB17" s="471">
        <f>ABS(Z17)*1000000/SUM(U$12:U17)</f>
        <v>1872.3451072735631</v>
      </c>
      <c r="AH17" s="43">
        <f t="shared" si="21"/>
        <v>2012</v>
      </c>
      <c r="AI17" s="46">
        <f>Rates!B10</f>
        <v>794</v>
      </c>
      <c r="AK17" s="44">
        <f t="shared" si="22"/>
        <v>2012</v>
      </c>
      <c r="AL17" s="89" t="str">
        <f>Rates!E10</f>
        <v>-</v>
      </c>
      <c r="AM17" s="46">
        <f>Rates!F10</f>
        <v>794</v>
      </c>
      <c r="AN17" s="47">
        <f>Rates!G10</f>
        <v>560</v>
      </c>
      <c r="AP17" s="48">
        <f t="shared" si="9"/>
        <v>2023</v>
      </c>
      <c r="AQ17" s="78">
        <f t="shared" si="0"/>
        <v>0</v>
      </c>
      <c r="AS17" s="133">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5">
        <f t="shared" si="14"/>
        <v>2024</v>
      </c>
      <c r="C18" s="695">
        <v>0</v>
      </c>
      <c r="D18" s="695">
        <f>'Area Summary'!$C$44</f>
        <v>4.3366557156605179</v>
      </c>
      <c r="E18" s="64">
        <f t="shared" si="15"/>
        <v>0.65700000000000003</v>
      </c>
      <c r="F18" s="64">
        <f t="shared" si="16"/>
        <v>0</v>
      </c>
      <c r="G18" s="84">
        <f t="shared" si="17"/>
        <v>5.1781937165400551</v>
      </c>
      <c r="H18" s="65">
        <f t="shared" si="1"/>
        <v>0.83131459515187223</v>
      </c>
      <c r="I18" s="64">
        <f t="shared" si="2"/>
        <v>0</v>
      </c>
      <c r="J18" s="84">
        <f t="shared" si="3"/>
        <v>5.1781937165400551</v>
      </c>
      <c r="K18" s="65">
        <f t="shared" si="3"/>
        <v>0.83131459515187223</v>
      </c>
      <c r="L18" s="64">
        <f t="shared" si="4"/>
        <v>0</v>
      </c>
      <c r="M18" s="72">
        <f t="shared" si="5"/>
        <v>0</v>
      </c>
      <c r="N18" s="72">
        <f t="shared" si="6"/>
        <v>0</v>
      </c>
      <c r="O18" s="64">
        <f t="shared" si="18"/>
        <v>0</v>
      </c>
      <c r="P18" s="84">
        <f t="shared" si="7"/>
        <v>0</v>
      </c>
      <c r="Q18" s="84">
        <f t="shared" si="19"/>
        <v>6.0095083116919277</v>
      </c>
      <c r="R18" s="73">
        <f t="shared" si="20"/>
        <v>173.24763777852769</v>
      </c>
      <c r="S18" s="694">
        <f>IF(NOT(EXACT(A18, "MP Complete")), INDEX(MP_new!$A$4:$J$9, MATCH(Step1!A18 - 1, MP_new!$A$4:$A$9, 0), 7), S16)</f>
        <v>54321.653018812802</v>
      </c>
      <c r="T18" s="693">
        <f>IF(EXACT($Q$5, "Yes"), IF(NOT(EXACT(A18, "MP Complete")), INDEX(MP_new!$A$4:$J$9, MATCH(Step1!A18, MP_new!$A$4:$A$9, 0), 10), T16), 0)</f>
        <v>9000</v>
      </c>
      <c r="U18" s="6">
        <f>('NPV Summary'!$B$16-S18)+T18</f>
        <v>20088.187092879998</v>
      </c>
      <c r="V18" s="6">
        <f>LOOKUP(B18,Rates!$A$5:$B$168)</f>
        <v>1249</v>
      </c>
      <c r="W18" s="72">
        <f t="shared" si="8"/>
        <v>25.090145679007115</v>
      </c>
      <c r="X18" s="73">
        <f t="shared" si="24"/>
        <v>89.019060902039826</v>
      </c>
      <c r="Y18" s="20">
        <f t="shared" si="25"/>
        <v>19.080637367315187</v>
      </c>
      <c r="Z18" s="20">
        <f t="shared" si="25"/>
        <v>-84.228576876487864</v>
      </c>
      <c r="AA18" s="465">
        <f>IF(SUM(AA$11:AA17)&gt;0,0,IF(SUM(X18-R18)&gt;0,B18,0))</f>
        <v>0</v>
      </c>
      <c r="AB18" s="171">
        <f>ABS(Z18)*1000000/SUM(U$12:U18)</f>
        <v>1119.1000843632346</v>
      </c>
      <c r="AH18" s="28">
        <f t="shared" si="21"/>
        <v>2013</v>
      </c>
      <c r="AI18" s="30">
        <f>Rates!B11</f>
        <v>847</v>
      </c>
      <c r="AK18" s="29">
        <f t="shared" si="22"/>
        <v>2013</v>
      </c>
      <c r="AL18" s="8" t="str">
        <f>Rates!E11</f>
        <v>-</v>
      </c>
      <c r="AM18" s="30">
        <f>Rates!F11</f>
        <v>847</v>
      </c>
      <c r="AN18" s="31">
        <f>Rates!G11</f>
        <v>593</v>
      </c>
      <c r="AP18" s="16">
        <f t="shared" si="9"/>
        <v>2024</v>
      </c>
      <c r="AQ18" s="77">
        <f t="shared" si="0"/>
        <v>0</v>
      </c>
      <c r="AS18" s="136">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4">
        <f t="shared" si="14"/>
        <v>2025</v>
      </c>
      <c r="C19" s="695">
        <v>0</v>
      </c>
      <c r="D19" s="695">
        <f>'Area Summary'!$C$44</f>
        <v>4.3366557156605179</v>
      </c>
      <c r="E19" s="66">
        <f t="shared" si="15"/>
        <v>0.65700000000000003</v>
      </c>
      <c r="F19" s="66">
        <f t="shared" si="16"/>
        <v>0</v>
      </c>
      <c r="G19" s="67">
        <f t="shared" si="17"/>
        <v>5.3335395280362574</v>
      </c>
      <c r="H19" s="68">
        <f t="shared" si="1"/>
        <v>0.8645671789579471</v>
      </c>
      <c r="I19" s="66">
        <f t="shared" si="2"/>
        <v>0</v>
      </c>
      <c r="J19" s="67">
        <f t="shared" si="3"/>
        <v>5.3335395280362574</v>
      </c>
      <c r="K19" s="68">
        <f t="shared" si="3"/>
        <v>0.8645671789579471</v>
      </c>
      <c r="L19" s="66">
        <f t="shared" si="4"/>
        <v>0</v>
      </c>
      <c r="M19" s="70">
        <f t="shared" si="5"/>
        <v>0</v>
      </c>
      <c r="N19" s="70">
        <f t="shared" si="6"/>
        <v>0</v>
      </c>
      <c r="O19" s="66">
        <f t="shared" si="18"/>
        <v>0</v>
      </c>
      <c r="P19" s="67">
        <f t="shared" si="7"/>
        <v>0</v>
      </c>
      <c r="Q19" s="67">
        <f t="shared" si="19"/>
        <v>6.1981067069942046</v>
      </c>
      <c r="R19" s="71">
        <f t="shared" si="20"/>
        <v>179.44574448552189</v>
      </c>
      <c r="S19" s="694">
        <f>IF(NOT(EXACT(A19, "MP Complete")), INDEX(MP_new!$A$4:$J$9, MATCH(Step1!A19 - 1, MP_new!$A$4:$A$9, 0), 7), S17)</f>
        <v>51216.431518812809</v>
      </c>
      <c r="T19" s="693">
        <f>IF(EXACT($Q$5, "Yes"), IF(NOT(EXACT(A19, "MP Complete")), INDEX(MP_new!$A$4:$J$9, MATCH(Step1!A19, MP_new!$A$4:$A$9, 0), 10), T17), 0)</f>
        <v>9000</v>
      </c>
      <c r="U19" s="82">
        <f>('NPV Summary'!$B$16-S19)+T19</f>
        <v>23193.40859287999</v>
      </c>
      <c r="V19" s="82">
        <f>LOOKUP(B19,Rates!$A$5:$B$168)</f>
        <v>1296</v>
      </c>
      <c r="W19" s="70">
        <f t="shared" si="8"/>
        <v>30.058657536372468</v>
      </c>
      <c r="X19" s="71">
        <f t="shared" si="24"/>
        <v>119.07771843841229</v>
      </c>
      <c r="Y19" s="470">
        <f t="shared" si="25"/>
        <v>23.860550829378262</v>
      </c>
      <c r="Z19" s="470">
        <f t="shared" si="25"/>
        <v>-60.368026047109595</v>
      </c>
      <c r="AA19" s="466">
        <f>IF(SUM(AA$11:AA18)&gt;0,0,IF(SUM(X19-R19)&gt;0,B19,0))</f>
        <v>0</v>
      </c>
      <c r="AB19" s="471">
        <f>ABS(Z19)*1000000/SUM(U$12:U19)</f>
        <v>613.13498669417197</v>
      </c>
      <c r="AH19" s="43">
        <f t="shared" si="21"/>
        <v>2014</v>
      </c>
      <c r="AI19" s="49">
        <f>Rates!B12</f>
        <v>890</v>
      </c>
      <c r="AK19" s="44">
        <f t="shared" si="22"/>
        <v>2014</v>
      </c>
      <c r="AL19" s="53" t="str">
        <f>Rates!E12</f>
        <v>-</v>
      </c>
      <c r="AM19" s="49">
        <f>Rates!F12</f>
        <v>890</v>
      </c>
      <c r="AN19" s="50">
        <f>Rates!G12</f>
        <v>593</v>
      </c>
      <c r="AP19" s="48">
        <f t="shared" si="9"/>
        <v>2025</v>
      </c>
      <c r="AQ19" s="78">
        <f t="shared" si="0"/>
        <v>0</v>
      </c>
      <c r="AS19" s="133">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5">
        <f t="shared" si="14"/>
        <v>2026</v>
      </c>
      <c r="C20" s="695">
        <v>0</v>
      </c>
      <c r="D20" s="695">
        <f>'Area Summary'!$C$44</f>
        <v>4.3366557156605179</v>
      </c>
      <c r="E20" s="64">
        <f t="shared" si="15"/>
        <v>0.65700000000000003</v>
      </c>
      <c r="F20" s="64">
        <f t="shared" si="16"/>
        <v>0</v>
      </c>
      <c r="G20" s="84">
        <f t="shared" si="17"/>
        <v>5.493545713877344</v>
      </c>
      <c r="H20" s="65">
        <f t="shared" si="1"/>
        <v>0.89914986611626513</v>
      </c>
      <c r="I20" s="64">
        <f t="shared" si="2"/>
        <v>0</v>
      </c>
      <c r="J20" s="84">
        <f t="shared" si="3"/>
        <v>5.493545713877344</v>
      </c>
      <c r="K20" s="65">
        <f t="shared" si="3"/>
        <v>0.89914986611626513</v>
      </c>
      <c r="L20" s="64">
        <f t="shared" si="4"/>
        <v>0</v>
      </c>
      <c r="M20" s="72">
        <f t="shared" si="5"/>
        <v>0</v>
      </c>
      <c r="N20" s="72">
        <f t="shared" si="6"/>
        <v>0</v>
      </c>
      <c r="O20" s="64">
        <f t="shared" si="18"/>
        <v>0</v>
      </c>
      <c r="P20" s="84">
        <f t="shared" si="7"/>
        <v>0</v>
      </c>
      <c r="Q20" s="84">
        <f t="shared" si="19"/>
        <v>6.3926955799936094</v>
      </c>
      <c r="R20" s="73">
        <f t="shared" si="20"/>
        <v>185.8384400655155</v>
      </c>
      <c r="S20" s="694">
        <f>IF(NOT(EXACT(A20, "MP Complete")), INDEX(MP_new!$A$4:$J$9, MATCH(Step1!A20 - 1, MP_new!$A$4:$A$9, 0), 7), S18)</f>
        <v>51216.431518812809</v>
      </c>
      <c r="T20" s="693">
        <f>IF(EXACT($Q$5, "Yes"), IF(NOT(EXACT(A20, "MP Complete")), INDEX(MP_new!$A$4:$J$9, MATCH(Step1!A20, MP_new!$A$4:$A$9, 0), 10), T18), 0)</f>
        <v>9000</v>
      </c>
      <c r="U20" s="6">
        <f>('NPV Summary'!$B$16-S20)+T20</f>
        <v>23193.40859287999</v>
      </c>
      <c r="V20" s="6">
        <f>LOOKUP(B20,Rates!$A$5:$B$168)</f>
        <v>1344</v>
      </c>
      <c r="W20" s="72">
        <f t="shared" si="8"/>
        <v>31.171941148830708</v>
      </c>
      <c r="X20" s="73">
        <f t="shared" si="24"/>
        <v>150.249659587243</v>
      </c>
      <c r="Y20" s="20">
        <f t="shared" si="25"/>
        <v>24.779245568837098</v>
      </c>
      <c r="Z20" s="20">
        <f t="shared" si="25"/>
        <v>-35.588780478272497</v>
      </c>
      <c r="AA20" s="465">
        <f>IF(SUM(AA$11:AA19)&gt;0,0,IF(SUM(X20-R20)&gt;0,B20,0))</f>
        <v>0</v>
      </c>
      <c r="AB20" s="171">
        <f>ABS(Z20)*1000000/SUM(U$12:U20)</f>
        <v>292.54728493427785</v>
      </c>
      <c r="AH20" s="55">
        <f t="shared" si="21"/>
        <v>2015</v>
      </c>
      <c r="AI20" s="87">
        <f>Rates!B13</f>
        <v>923</v>
      </c>
      <c r="AK20" s="55">
        <f t="shared" si="22"/>
        <v>2015</v>
      </c>
      <c r="AL20" s="87" t="str">
        <f>Rates!E13</f>
        <v>-</v>
      </c>
      <c r="AM20" s="87">
        <f>Rates!F13</f>
        <v>923</v>
      </c>
      <c r="AN20" s="88">
        <f>Rates!G13</f>
        <v>582</v>
      </c>
      <c r="AP20" s="16">
        <f t="shared" si="9"/>
        <v>2026</v>
      </c>
      <c r="AQ20" s="77">
        <f t="shared" si="0"/>
        <v>0</v>
      </c>
      <c r="AS20" s="136">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4">
        <f t="shared" si="14"/>
        <v>2027</v>
      </c>
      <c r="C21" s="695">
        <v>0</v>
      </c>
      <c r="D21" s="695">
        <f>'Area Summary'!$C$44</f>
        <v>4.3366557156605179</v>
      </c>
      <c r="E21" s="66">
        <f t="shared" si="15"/>
        <v>0.65700000000000003</v>
      </c>
      <c r="F21" s="66">
        <f t="shared" si="16"/>
        <v>0</v>
      </c>
      <c r="G21" s="67">
        <f t="shared" si="17"/>
        <v>5.6583520852936644</v>
      </c>
      <c r="H21" s="68">
        <f t="shared" si="1"/>
        <v>0.9351158607609158</v>
      </c>
      <c r="I21" s="66">
        <f t="shared" si="2"/>
        <v>0</v>
      </c>
      <c r="J21" s="67">
        <f t="shared" si="3"/>
        <v>5.6583520852936644</v>
      </c>
      <c r="K21" s="68">
        <f t="shared" si="3"/>
        <v>0.9351158607609158</v>
      </c>
      <c r="L21" s="66">
        <f t="shared" si="4"/>
        <v>0</v>
      </c>
      <c r="M21" s="70">
        <f t="shared" si="5"/>
        <v>0</v>
      </c>
      <c r="N21" s="70">
        <f t="shared" si="6"/>
        <v>0</v>
      </c>
      <c r="O21" s="66">
        <f t="shared" si="18"/>
        <v>0</v>
      </c>
      <c r="P21" s="67">
        <f t="shared" si="7"/>
        <v>0</v>
      </c>
      <c r="Q21" s="67">
        <f t="shared" si="19"/>
        <v>6.59346794605458</v>
      </c>
      <c r="R21" s="71">
        <f t="shared" si="20"/>
        <v>192.43190801157007</v>
      </c>
      <c r="S21" s="694">
        <f>IF(NOT(EXACT(A21, "MP Complete")), INDEX(MP_new!$A$4:$J$9, MATCH(Step1!A21 - 1, MP_new!$A$4:$A$9, 0), 7), S19)</f>
        <v>51216.431518812809</v>
      </c>
      <c r="T21" s="693">
        <f>IF(EXACT($Q$5, "Yes"), IF(NOT(EXACT(A21, "MP Complete")), INDEX(MP_new!$A$4:$J$9, MATCH(Step1!A21, MP_new!$A$4:$A$9, 0), 10), T19), 0)</f>
        <v>9000</v>
      </c>
      <c r="U21" s="82">
        <f>('NPV Summary'!$B$16-S21)+T21</f>
        <v>23193.40859287999</v>
      </c>
      <c r="V21" s="82">
        <f>LOOKUP(B21,Rates!$A$5:$B$168)</f>
        <v>1392.384</v>
      </c>
      <c r="W21" s="70">
        <f t="shared" si="8"/>
        <v>32.294131030188609</v>
      </c>
      <c r="X21" s="71">
        <f t="shared" si="24"/>
        <v>182.54379061743163</v>
      </c>
      <c r="Y21" s="470">
        <f t="shared" si="25"/>
        <v>25.700663084134028</v>
      </c>
      <c r="Z21" s="470">
        <f t="shared" si="25"/>
        <v>-9.8881173941384475</v>
      </c>
      <c r="AA21" s="466">
        <f>IF(SUM(AA$11:AA20)&gt;0,0,IF(SUM(X21-R21)&gt;0,B21,0))</f>
        <v>0</v>
      </c>
      <c r="AB21" s="471">
        <f>ABS(Z21)*1000000/SUM(U$12:U21)</f>
        <v>68.266988374446072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34">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5">
        <f t="shared" si="14"/>
        <v>2028</v>
      </c>
      <c r="C22" s="695">
        <v>0</v>
      </c>
      <c r="D22" s="695">
        <f>'Area Summary'!$C$44</f>
        <v>4.3366557156605179</v>
      </c>
      <c r="E22" s="64">
        <f t="shared" si="15"/>
        <v>0.65700000000000003</v>
      </c>
      <c r="F22" s="64">
        <f t="shared" si="16"/>
        <v>0</v>
      </c>
      <c r="G22" s="84">
        <f t="shared" si="17"/>
        <v>5.8281026478524742</v>
      </c>
      <c r="H22" s="65">
        <f t="shared" si="1"/>
        <v>0.97252049519135242</v>
      </c>
      <c r="I22" s="64">
        <f t="shared" si="2"/>
        <v>0</v>
      </c>
      <c r="J22" s="84">
        <f t="shared" si="3"/>
        <v>5.8281026478524742</v>
      </c>
      <c r="K22" s="65">
        <f t="shared" si="3"/>
        <v>0.97252049519135242</v>
      </c>
      <c r="L22" s="64">
        <f t="shared" si="4"/>
        <v>0</v>
      </c>
      <c r="M22" s="72">
        <f t="shared" si="5"/>
        <v>0</v>
      </c>
      <c r="N22" s="72">
        <f t="shared" si="6"/>
        <v>0</v>
      </c>
      <c r="O22" s="64">
        <f t="shared" si="18"/>
        <v>0</v>
      </c>
      <c r="P22" s="84">
        <f t="shared" si="7"/>
        <v>0</v>
      </c>
      <c r="Q22" s="84">
        <f t="shared" si="19"/>
        <v>6.8006231430438264</v>
      </c>
      <c r="R22" s="73">
        <f t="shared" si="20"/>
        <v>199.23253115461389</v>
      </c>
      <c r="S22" s="694">
        <f>IF(NOT(EXACT(A22, "MP Complete")), INDEX(MP_new!$A$4:$J$9, MATCH(Step1!A22 - 1, MP_new!$A$4:$A$9, 0), 7), S20)</f>
        <v>49704.839141362812</v>
      </c>
      <c r="T22" s="693">
        <f>IF(EXACT($Q$5, "Yes"), IF(NOT(EXACT(A22, "MP Complete")), INDEX(MP_new!$A$4:$J$9, MATCH(Step1!A22, MP_new!$A$4:$A$9, 0), 10), T20), 0)</f>
        <v>9000</v>
      </c>
      <c r="U22" s="6">
        <f>('NPV Summary'!$B$16-S22)+T22</f>
        <v>24705.000970329987</v>
      </c>
      <c r="V22" s="6">
        <f>LOOKUP(B22,Rates!$A$5:$B$168)</f>
        <v>1442.509824</v>
      </c>
      <c r="W22" s="72">
        <f t="shared" si="8"/>
        <v>35.637206601630538</v>
      </c>
      <c r="X22" s="73">
        <f t="shared" si="24"/>
        <v>218.18099721906216</v>
      </c>
      <c r="Y22" s="20">
        <f t="shared" si="25"/>
        <v>28.836583458586713</v>
      </c>
      <c r="Z22" s="20">
        <f t="shared" si="25"/>
        <v>18.948466064448269</v>
      </c>
      <c r="AA22" s="465">
        <f>IF(SUM(AA$11:AA21)&gt;0,0,IF(SUM(X22-R22)&gt;0,B22,0))</f>
        <v>2028</v>
      </c>
      <c r="AB22" s="171">
        <f>ABS(Z22)*1000000/SUM(U$12:U22)</f>
        <v>111.75753319940836</v>
      </c>
      <c r="AH22" s="55">
        <f t="shared" si="21"/>
        <v>2017</v>
      </c>
      <c r="AI22" s="8">
        <f>Rates!B15</f>
        <v>979</v>
      </c>
      <c r="AK22" s="55">
        <f t="shared" si="22"/>
        <v>2017</v>
      </c>
      <c r="AL22" s="8" t="str">
        <f>Rates!E15</f>
        <v>-</v>
      </c>
      <c r="AM22" s="114">
        <f>Rates!F15</f>
        <v>979</v>
      </c>
      <c r="AN22" s="115">
        <f>Rates!G15</f>
        <v>666</v>
      </c>
      <c r="AP22" s="16">
        <f t="shared" si="9"/>
        <v>2028</v>
      </c>
      <c r="AQ22" s="77">
        <f t="shared" si="0"/>
        <v>0</v>
      </c>
      <c r="AS22" s="135">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4">
        <f t="shared" si="14"/>
        <v>2029</v>
      </c>
      <c r="C23" s="695">
        <v>0</v>
      </c>
      <c r="D23" s="695">
        <f>'Area Summary'!$C$44</f>
        <v>4.3366557156605179</v>
      </c>
      <c r="E23" s="66">
        <f t="shared" si="15"/>
        <v>0.65700000000000003</v>
      </c>
      <c r="F23" s="66">
        <f t="shared" si="16"/>
        <v>0</v>
      </c>
      <c r="G23" s="67">
        <f t="shared" si="17"/>
        <v>6.0029457272880489</v>
      </c>
      <c r="H23" s="68">
        <f t="shared" si="1"/>
        <v>1.0114213149990066</v>
      </c>
      <c r="I23" s="66">
        <f t="shared" si="2"/>
        <v>0</v>
      </c>
      <c r="J23" s="67">
        <f t="shared" si="3"/>
        <v>6.0029457272880489</v>
      </c>
      <c r="K23" s="68">
        <f t="shared" si="3"/>
        <v>1.0114213149990066</v>
      </c>
      <c r="L23" s="66">
        <f t="shared" si="4"/>
        <v>0</v>
      </c>
      <c r="M23" s="70">
        <f t="shared" si="5"/>
        <v>0</v>
      </c>
      <c r="N23" s="70">
        <f t="shared" si="6"/>
        <v>0</v>
      </c>
      <c r="O23" s="66">
        <f t="shared" si="18"/>
        <v>0</v>
      </c>
      <c r="P23" s="67">
        <f t="shared" si="7"/>
        <v>0</v>
      </c>
      <c r="Q23" s="67">
        <f t="shared" si="19"/>
        <v>7.0143670422870557</v>
      </c>
      <c r="R23" s="71">
        <f t="shared" si="20"/>
        <v>206.24689819690096</v>
      </c>
      <c r="S23" s="694">
        <f>IF(NOT(EXACT(A23, "MP Complete")), INDEX(MP_new!$A$4:$J$9, MATCH(Step1!A23 - 1, MP_new!$A$4:$A$9, 0), 7), S21)</f>
        <v>49704.839141362812</v>
      </c>
      <c r="T23" s="693">
        <f>IF(EXACT($Q$5, "Yes"), IF(NOT(EXACT(A23, "MP Complete")), INDEX(MP_new!$A$4:$J$9, MATCH(Step1!A23, MP_new!$A$4:$A$9, 0), 10), T21), 0)</f>
        <v>9000</v>
      </c>
      <c r="U23" s="82">
        <f>('NPV Summary'!$B$16-S23)+T23</f>
        <v>24705.000970329987</v>
      </c>
      <c r="V23" s="82">
        <f>LOOKUP(B23,Rates!$A$5:$B$168)</f>
        <v>1494.440177664</v>
      </c>
      <c r="W23" s="70">
        <f t="shared" si="8"/>
        <v>36.920146039289236</v>
      </c>
      <c r="X23" s="71">
        <f t="shared" si="24"/>
        <v>255.10114325835139</v>
      </c>
      <c r="Y23" s="470">
        <f t="shared" si="25"/>
        <v>29.90577899700218</v>
      </c>
      <c r="Z23" s="470">
        <f t="shared" si="25"/>
        <v>48.854245061450428</v>
      </c>
      <c r="AA23" s="466">
        <f>IF(SUM(AA$11:AA22)&gt;0,0,IF(SUM(X23-R23)&gt;0,B23,0))</f>
        <v>0</v>
      </c>
      <c r="AB23" s="471">
        <f>ABS(Z23)*1000000/SUM(U$12:U23)</f>
        <v>251.49570475695472</v>
      </c>
      <c r="AH23" s="52">
        <f t="shared" si="21"/>
        <v>2018</v>
      </c>
      <c r="AI23" s="53">
        <f>Rates!B16</f>
        <v>1015</v>
      </c>
      <c r="AK23" s="52">
        <f t="shared" si="22"/>
        <v>2018</v>
      </c>
      <c r="AL23" s="53" t="str">
        <f>Rates!E16</f>
        <v>-</v>
      </c>
      <c r="AM23" s="472">
        <f>Rates!F16</f>
        <v>1015</v>
      </c>
      <c r="AN23" s="473">
        <f>Rates!G16</f>
        <v>695</v>
      </c>
      <c r="AP23" s="48">
        <f t="shared" si="9"/>
        <v>2029</v>
      </c>
      <c r="AQ23" s="78">
        <f t="shared" si="0"/>
        <v>0</v>
      </c>
      <c r="AS23" s="133">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5">
        <f t="shared" si="14"/>
        <v>2030</v>
      </c>
      <c r="C24" s="695">
        <v>0</v>
      </c>
      <c r="D24" s="695">
        <f>'Area Summary'!$C$44</f>
        <v>4.3366557156605179</v>
      </c>
      <c r="E24" s="64">
        <f t="shared" si="15"/>
        <v>0.65700000000000003</v>
      </c>
      <c r="F24" s="64">
        <f t="shared" si="16"/>
        <v>0</v>
      </c>
      <c r="G24" s="84">
        <f t="shared" si="17"/>
        <v>6.1830340991066892</v>
      </c>
      <c r="H24" s="65">
        <f t="shared" si="1"/>
        <v>1.051878167598967</v>
      </c>
      <c r="I24" s="64">
        <f t="shared" si="2"/>
        <v>0</v>
      </c>
      <c r="J24" s="84">
        <f t="shared" si="3"/>
        <v>6.1830340991066892</v>
      </c>
      <c r="K24" s="65">
        <f t="shared" si="3"/>
        <v>1.051878167598967</v>
      </c>
      <c r="L24" s="64">
        <f t="shared" si="4"/>
        <v>0</v>
      </c>
      <c r="M24" s="72">
        <f t="shared" si="5"/>
        <v>0</v>
      </c>
      <c r="N24" s="72">
        <f t="shared" si="6"/>
        <v>0</v>
      </c>
      <c r="O24" s="64">
        <f t="shared" si="18"/>
        <v>0</v>
      </c>
      <c r="P24" s="84">
        <f t="shared" si="7"/>
        <v>0</v>
      </c>
      <c r="Q24" s="84">
        <f t="shared" si="19"/>
        <v>7.2349122667056562</v>
      </c>
      <c r="R24" s="73">
        <f t="shared" si="20"/>
        <v>213.48181046360662</v>
      </c>
      <c r="S24" s="694">
        <f>IF(NOT(EXACT(A24, "MP Complete")), INDEX(MP_new!$A$4:$J$9, MATCH(Step1!A24 - 1, MP_new!$A$4:$A$9, 0), 7), S22)</f>
        <v>49704.839141362812</v>
      </c>
      <c r="T24" s="693">
        <f>IF(EXACT($Q$5, "Yes"), IF(NOT(EXACT(A24, "MP Complete")), INDEX(MP_new!$A$4:$J$9, MATCH(Step1!A24, MP_new!$A$4:$A$9, 0), 10), T22), 0)</f>
        <v>9000</v>
      </c>
      <c r="U24" s="6">
        <f>('NPV Summary'!$B$16-S24)+T24</f>
        <v>24705.000970329987</v>
      </c>
      <c r="V24" s="6">
        <f>LOOKUP(B24,Rates!$A$5:$B$168)</f>
        <v>1548.240024059904</v>
      </c>
      <c r="W24" s="72">
        <f t="shared" si="8"/>
        <v>38.249271296703654</v>
      </c>
      <c r="X24" s="73">
        <f t="shared" si="24"/>
        <v>293.35041455505507</v>
      </c>
      <c r="Y24" s="20">
        <f t="shared" si="25"/>
        <v>31.014359029997998</v>
      </c>
      <c r="Z24" s="20">
        <f t="shared" si="25"/>
        <v>79.868604091448447</v>
      </c>
      <c r="AA24" s="465">
        <f>IF(SUM(AA$11:AA23)&gt;0,0,IF(SUM(X24-R24)&gt;0,B24,0))</f>
        <v>0</v>
      </c>
      <c r="AB24" s="171">
        <f>ABS(Z24)*1000000/SUM(U$12:U24)</f>
        <v>364.76379568605927</v>
      </c>
      <c r="AH24" s="55">
        <f t="shared" si="21"/>
        <v>2019</v>
      </c>
      <c r="AI24" s="8">
        <f>Rates!B17</f>
        <v>1053</v>
      </c>
      <c r="AK24" s="55">
        <f t="shared" si="22"/>
        <v>2019</v>
      </c>
      <c r="AL24" s="8" t="str">
        <f>Rates!E17</f>
        <v>-</v>
      </c>
      <c r="AM24" s="114">
        <f>Rates!F17</f>
        <v>1053</v>
      </c>
      <c r="AN24" s="115">
        <f>Rates!G17</f>
        <v>738</v>
      </c>
      <c r="AP24" s="16">
        <f t="shared" si="9"/>
        <v>2030</v>
      </c>
      <c r="AQ24" s="77">
        <f t="shared" si="0"/>
        <v>0</v>
      </c>
      <c r="AS24" s="136">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4">
        <f t="shared" si="14"/>
        <v>2031</v>
      </c>
      <c r="C25" s="695">
        <v>0</v>
      </c>
      <c r="D25" s="695">
        <f>'Area Summary'!$C$44</f>
        <v>4.3366557156605179</v>
      </c>
      <c r="E25" s="66">
        <f t="shared" si="15"/>
        <v>0.65700000000000003</v>
      </c>
      <c r="F25" s="66">
        <f t="shared" si="16"/>
        <v>0</v>
      </c>
      <c r="G25" s="67">
        <f t="shared" si="17"/>
        <v>6.3685251220798902</v>
      </c>
      <c r="H25" s="68">
        <f t="shared" si="1"/>
        <v>1.0939532943029258</v>
      </c>
      <c r="I25" s="66">
        <f t="shared" si="2"/>
        <v>0</v>
      </c>
      <c r="J25" s="67">
        <f t="shared" si="3"/>
        <v>6.3685251220798902</v>
      </c>
      <c r="K25" s="68">
        <f t="shared" si="3"/>
        <v>1.0939532943029258</v>
      </c>
      <c r="L25" s="66">
        <f t="shared" si="4"/>
        <v>0</v>
      </c>
      <c r="M25" s="70">
        <f t="shared" si="5"/>
        <v>0</v>
      </c>
      <c r="N25" s="70">
        <f t="shared" si="6"/>
        <v>0</v>
      </c>
      <c r="O25" s="66">
        <f t="shared" si="18"/>
        <v>0</v>
      </c>
      <c r="P25" s="67">
        <f t="shared" si="7"/>
        <v>0</v>
      </c>
      <c r="Q25" s="67">
        <f t="shared" si="19"/>
        <v>7.4624784163828162</v>
      </c>
      <c r="R25" s="71">
        <f t="shared" si="20"/>
        <v>220.94428887998944</v>
      </c>
      <c r="S25" s="694">
        <f>IF(NOT(EXACT(A25, "MP Complete")), INDEX(MP_new!$A$4:$J$9, MATCH(Step1!A25 - 1, MP_new!$A$4:$A$9, 0), 7), S23)</f>
        <v>48544.957141362807</v>
      </c>
      <c r="T25" s="693">
        <f>IF(EXACT($Q$5, "Yes"), IF(NOT(EXACT(A25, "MP Complete")), INDEX(MP_new!$A$4:$J$9, MATCH(Step1!A25, MP_new!$A$4:$A$9, 0), 10), T23), 0)</f>
        <v>9000</v>
      </c>
      <c r="U25" s="82">
        <f>('NPV Summary'!$B$16-S25)+T25</f>
        <v>25864.882970329993</v>
      </c>
      <c r="V25" s="82">
        <f>LOOKUP(B25,Rates!$A$5:$B$168)</f>
        <v>1603.9766649260607</v>
      </c>
      <c r="W25" s="70">
        <f t="shared" si="8"/>
        <v>41.486668725452766</v>
      </c>
      <c r="X25" s="71">
        <f t="shared" si="24"/>
        <v>334.83708328050784</v>
      </c>
      <c r="Y25" s="470">
        <f t="shared" si="25"/>
        <v>34.024190309069951</v>
      </c>
      <c r="Z25" s="470">
        <f t="shared" si="25"/>
        <v>113.8927944005184</v>
      </c>
      <c r="AA25" s="466">
        <f>IF(SUM(AA$11:AA24)&gt;0,0,IF(SUM(X25-R25)&gt;0,B25,0))</f>
        <v>0</v>
      </c>
      <c r="AB25" s="471">
        <f>ABS(Z25)*1000000/SUM(U$12:U25)</f>
        <v>465.20145634619854</v>
      </c>
      <c r="AH25" s="52">
        <f t="shared" si="21"/>
        <v>2020</v>
      </c>
      <c r="AI25" s="53">
        <f>Rates!B18</f>
        <v>1092</v>
      </c>
      <c r="AK25" s="52">
        <f t="shared" si="22"/>
        <v>2020</v>
      </c>
      <c r="AL25" s="53" t="str">
        <f>Rates!E18</f>
        <v>-</v>
      </c>
      <c r="AM25" s="472">
        <f>Rates!F18</f>
        <v>1092</v>
      </c>
      <c r="AN25" s="473">
        <f>Rates!G18</f>
        <v>783</v>
      </c>
      <c r="AP25" s="48">
        <f t="shared" si="9"/>
        <v>2031</v>
      </c>
      <c r="AQ25" s="78">
        <f t="shared" si="0"/>
        <v>0</v>
      </c>
      <c r="AS25" s="133">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5">
        <f t="shared" si="14"/>
        <v>2032</v>
      </c>
      <c r="C26" s="695">
        <v>0</v>
      </c>
      <c r="D26" s="695">
        <f>'Area Summary'!$C$44</f>
        <v>4.3366557156605179</v>
      </c>
      <c r="E26" s="64">
        <f t="shared" si="15"/>
        <v>0.65700000000000003</v>
      </c>
      <c r="F26" s="64">
        <f t="shared" si="16"/>
        <v>0</v>
      </c>
      <c r="G26" s="84">
        <f t="shared" si="17"/>
        <v>6.5595808757422871</v>
      </c>
      <c r="H26" s="65">
        <f t="shared" si="1"/>
        <v>1.1377114260750427</v>
      </c>
      <c r="I26" s="64">
        <f t="shared" si="2"/>
        <v>0</v>
      </c>
      <c r="J26" s="84">
        <f t="shared" si="3"/>
        <v>6.5595808757422871</v>
      </c>
      <c r="K26" s="65">
        <f t="shared" si="3"/>
        <v>1.1377114260750427</v>
      </c>
      <c r="L26" s="64">
        <f t="shared" si="4"/>
        <v>0</v>
      </c>
      <c r="M26" s="72">
        <f t="shared" si="5"/>
        <v>0</v>
      </c>
      <c r="N26" s="72">
        <f t="shared" si="6"/>
        <v>0</v>
      </c>
      <c r="O26" s="64">
        <f t="shared" si="18"/>
        <v>0</v>
      </c>
      <c r="P26" s="84">
        <f t="shared" si="7"/>
        <v>0</v>
      </c>
      <c r="Q26" s="84">
        <f t="shared" si="19"/>
        <v>7.6972923018173294</v>
      </c>
      <c r="R26" s="73">
        <f t="shared" si="20"/>
        <v>228.64158118180677</v>
      </c>
      <c r="S26" s="694">
        <f>IF(NOT(EXACT(A26, "MP Complete")), INDEX(MP_new!$A$4:$J$9, MATCH(Step1!A26 - 1, MP_new!$A$4:$A$9, 0), 7), S24)</f>
        <v>48544.957141362807</v>
      </c>
      <c r="T26" s="693">
        <f>IF(EXACT($Q$5, "Yes"), IF(NOT(EXACT(A26, "MP Complete")), INDEX(MP_new!$A$4:$J$9, MATCH(Step1!A26, MP_new!$A$4:$A$9, 0), 10), T24), 0)</f>
        <v>9000</v>
      </c>
      <c r="U26" s="6">
        <f>('NPV Summary'!$B$16-S26)+T26</f>
        <v>25864.882970329993</v>
      </c>
      <c r="V26" s="6">
        <f>LOOKUP(B26,Rates!$A$5:$B$168)</f>
        <v>1661.719824863399</v>
      </c>
      <c r="W26" s="72">
        <f t="shared" si="8"/>
        <v>42.980188799569071</v>
      </c>
      <c r="X26" s="73">
        <f t="shared" si="24"/>
        <v>377.81727208007692</v>
      </c>
      <c r="Y26" s="20">
        <f t="shared" si="25"/>
        <v>35.282896497751743</v>
      </c>
      <c r="Z26" s="20">
        <f t="shared" si="25"/>
        <v>149.17569089827015</v>
      </c>
      <c r="AA26" s="465">
        <f>IF(SUM(AA$11:AA25)&gt;0,0,IF(SUM(X26-R26)&gt;0,B26,0))</f>
        <v>0</v>
      </c>
      <c r="AB26" s="171">
        <f>ABS(Z26)*1000000/SUM(U$12:U26)</f>
        <v>551.09511114074337</v>
      </c>
      <c r="AH26" s="55">
        <f t="shared" si="21"/>
        <v>2021</v>
      </c>
      <c r="AI26" s="8">
        <f>Rates!B19</f>
        <v>1123</v>
      </c>
      <c r="AK26" s="55">
        <f t="shared" si="22"/>
        <v>2021</v>
      </c>
      <c r="AL26" s="8" t="str">
        <f>Rates!E19</f>
        <v>-</v>
      </c>
      <c r="AM26" s="114">
        <f>Rates!F19</f>
        <v>1123</v>
      </c>
      <c r="AN26" s="115">
        <f>Rates!G19</f>
        <v>835</v>
      </c>
      <c r="AP26" s="16">
        <f t="shared" si="9"/>
        <v>2032</v>
      </c>
      <c r="AQ26" s="77">
        <f t="shared" si="0"/>
        <v>0</v>
      </c>
      <c r="AS26" s="136">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4">
        <f t="shared" si="14"/>
        <v>2033</v>
      </c>
      <c r="C27" s="695">
        <f>'10 YEAR PROJECTION'!X$55/1000000</f>
        <v>0</v>
      </c>
      <c r="D27" s="695">
        <f>'Area Summary'!$C$44</f>
        <v>4.3366557156605179</v>
      </c>
      <c r="E27" s="66">
        <f t="shared" si="15"/>
        <v>0.65700000000000003</v>
      </c>
      <c r="F27" s="66">
        <f t="shared" si="16"/>
        <v>0</v>
      </c>
      <c r="G27" s="67">
        <f t="shared" si="17"/>
        <v>6.7563683020145566</v>
      </c>
      <c r="H27" s="68">
        <f t="shared" si="1"/>
        <v>1.1832198831180443</v>
      </c>
      <c r="I27" s="66">
        <f t="shared" si="2"/>
        <v>0</v>
      </c>
      <c r="J27" s="67">
        <f t="shared" si="3"/>
        <v>6.7563683020145566</v>
      </c>
      <c r="K27" s="68">
        <f t="shared" si="3"/>
        <v>1.1832198831180443</v>
      </c>
      <c r="L27" s="66">
        <f t="shared" si="4"/>
        <v>0</v>
      </c>
      <c r="M27" s="70">
        <f t="shared" si="5"/>
        <v>0</v>
      </c>
      <c r="N27" s="70">
        <f t="shared" si="6"/>
        <v>0</v>
      </c>
      <c r="O27" s="66">
        <f t="shared" si="18"/>
        <v>0</v>
      </c>
      <c r="P27" s="67">
        <f t="shared" si="7"/>
        <v>0</v>
      </c>
      <c r="Q27" s="67">
        <f t="shared" si="19"/>
        <v>7.9395881851326013</v>
      </c>
      <c r="R27" s="71">
        <f t="shared" si="20"/>
        <v>236.58116936693938</v>
      </c>
      <c r="S27" s="694">
        <f>IF(NOT(EXACT(A27, "MP Complete")), INDEX(MP_new!$A$4:$J$9, MATCH(Step1!A27 - 1, MP_new!$A$4:$A$9, 0), 7), S25)</f>
        <v>48544.957141362807</v>
      </c>
      <c r="T27" s="693">
        <f>IF(EXACT($Q$5, "Yes"), IF(NOT(EXACT(A27, "MP Complete")), INDEX(MP_new!$A$4:$J$9, MATCH(Step1!A27, MP_new!$A$4:$A$9, 0), 10), T25), 0)</f>
        <v>9000</v>
      </c>
      <c r="U27" s="82">
        <f>('NPV Summary'!$B$16-S27)+T27</f>
        <v>25864.882970329993</v>
      </c>
      <c r="V27" s="82">
        <f>LOOKUP(B27,Rates!$A$5:$B$168)</f>
        <v>1721.5417385584815</v>
      </c>
      <c r="W27" s="70">
        <f t="shared" si="8"/>
        <v>44.527475596353554</v>
      </c>
      <c r="X27" s="71">
        <f t="shared" si="24"/>
        <v>422.34474767643047</v>
      </c>
      <c r="Y27" s="470">
        <f t="shared" si="25"/>
        <v>36.587887411220954</v>
      </c>
      <c r="Z27" s="470">
        <f t="shared" si="25"/>
        <v>185.76357830949109</v>
      </c>
      <c r="AA27" s="466">
        <f>IF(SUM(AA$11:AA26)&gt;0,0,IF(SUM(X27-R27)&gt;0,B27,0))</f>
        <v>0</v>
      </c>
      <c r="AB27" s="471">
        <f>ABS(Z27)*1000000/SUM(U$12:U27)</f>
        <v>626.40633204321546</v>
      </c>
      <c r="AH27" s="52">
        <f t="shared" si="21"/>
        <v>2022</v>
      </c>
      <c r="AI27" s="53">
        <f>Rates!B20</f>
        <v>1164</v>
      </c>
      <c r="AK27" s="52">
        <f t="shared" si="22"/>
        <v>2022</v>
      </c>
      <c r="AL27" s="53" t="str">
        <f>Rates!E20</f>
        <v>-</v>
      </c>
      <c r="AM27" s="472">
        <f>Rates!F20</f>
        <v>1164</v>
      </c>
      <c r="AN27" s="473">
        <f>Rates!G20</f>
        <v>876</v>
      </c>
      <c r="AP27" s="48">
        <f t="shared" si="9"/>
        <v>2033</v>
      </c>
      <c r="AQ27" s="78">
        <f t="shared" si="0"/>
        <v>0</v>
      </c>
      <c r="AS27" s="133">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5">
        <f t="shared" si="14"/>
        <v>2034</v>
      </c>
      <c r="C28" s="695">
        <v>0</v>
      </c>
      <c r="D28" s="695">
        <f>'Area Summary'!$C$44</f>
        <v>4.3366557156605179</v>
      </c>
      <c r="E28" s="64">
        <f t="shared" si="15"/>
        <v>0.65700000000000003</v>
      </c>
      <c r="F28" s="64">
        <f t="shared" si="16"/>
        <v>0</v>
      </c>
      <c r="G28" s="84">
        <f t="shared" si="17"/>
        <v>6.9590593510749921</v>
      </c>
      <c r="H28" s="65">
        <f t="shared" si="1"/>
        <v>1.2305486784427664</v>
      </c>
      <c r="I28" s="64">
        <f t="shared" si="2"/>
        <v>0</v>
      </c>
      <c r="J28" s="84">
        <f t="shared" si="3"/>
        <v>6.9590593510749921</v>
      </c>
      <c r="K28" s="65">
        <f t="shared" si="3"/>
        <v>1.2305486784427664</v>
      </c>
      <c r="L28" s="64">
        <f t="shared" si="4"/>
        <v>0</v>
      </c>
      <c r="M28" s="72">
        <f t="shared" si="5"/>
        <v>0</v>
      </c>
      <c r="N28" s="72">
        <f t="shared" si="6"/>
        <v>0</v>
      </c>
      <c r="O28" s="64">
        <f t="shared" si="18"/>
        <v>0</v>
      </c>
      <c r="P28" s="84">
        <f t="shared" si="7"/>
        <v>0</v>
      </c>
      <c r="Q28" s="84">
        <f t="shared" si="19"/>
        <v>8.1896080295177587</v>
      </c>
      <c r="R28" s="73">
        <f t="shared" si="20"/>
        <v>244.77077739645713</v>
      </c>
      <c r="S28" s="694">
        <f>IF(NOT(EXACT(A28, "MP Complete")), INDEX(MP_new!$A$4:$J$9, MATCH(Step1!A28 - 1, MP_new!$A$4:$A$9, 0), 7), S26)</f>
        <v>48544.957141362807</v>
      </c>
      <c r="T28" s="693">
        <f>IF(EXACT($Q$5, "Yes"), IF(NOT(EXACT(A28, "MP Complete")), INDEX(MP_new!$A$4:$J$9, MATCH(Step1!A28, MP_new!$A$4:$A$9, 0), 10), T26), 0)</f>
        <v>9000</v>
      </c>
      <c r="U28" s="6">
        <f>('NPV Summary'!$B$16-S28)+T28</f>
        <v>25864.882970329993</v>
      </c>
      <c r="V28" s="6">
        <f>LOOKUP(B28,Rates!$A$5:$B$168)</f>
        <v>1783.5172411465869</v>
      </c>
      <c r="W28" s="72">
        <f t="shared" si="8"/>
        <v>46.130464717822285</v>
      </c>
      <c r="X28" s="73">
        <f t="shared" si="24"/>
        <v>468.47521239425276</v>
      </c>
      <c r="Y28" s="20">
        <f t="shared" si="25"/>
        <v>37.940856688304528</v>
      </c>
      <c r="Z28" s="20">
        <f t="shared" si="25"/>
        <v>223.70443499779563</v>
      </c>
      <c r="AA28" s="465">
        <f>IF(SUM(AA$11:AA27)&gt;0,0,IF(SUM(X28-R28)&gt;0,B28,0))</f>
        <v>0</v>
      </c>
      <c r="AB28" s="171">
        <f>ABS(Z28)*1000000/SUM(U$12:U28)</f>
        <v>693.83073481605675</v>
      </c>
      <c r="AH28" s="55">
        <f t="shared" si="21"/>
        <v>2023</v>
      </c>
      <c r="AI28" s="8">
        <f>Rates!B21</f>
        <v>1205</v>
      </c>
      <c r="AK28" s="55">
        <f t="shared" si="22"/>
        <v>2023</v>
      </c>
      <c r="AL28" s="8" t="str">
        <f>Rates!E21</f>
        <v>-</v>
      </c>
      <c r="AM28" s="114">
        <f>Rates!F21</f>
        <v>1205</v>
      </c>
      <c r="AN28" s="115">
        <f>Rates!G21</f>
        <v>917</v>
      </c>
      <c r="AP28" s="16">
        <f t="shared" si="9"/>
        <v>2034</v>
      </c>
      <c r="AQ28" s="77">
        <f t="shared" si="0"/>
        <v>0</v>
      </c>
      <c r="AS28" s="136">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4">
        <f t="shared" si="14"/>
        <v>2035</v>
      </c>
      <c r="C29" s="695">
        <v>0</v>
      </c>
      <c r="D29" s="695">
        <f>'Area Summary'!$C$44</f>
        <v>4.3366557156605179</v>
      </c>
      <c r="E29" s="66">
        <f t="shared" si="15"/>
        <v>0.65700000000000003</v>
      </c>
      <c r="F29" s="66">
        <f t="shared" si="16"/>
        <v>0</v>
      </c>
      <c r="G29" s="67">
        <f t="shared" si="17"/>
        <v>7.1678311316072412</v>
      </c>
      <c r="H29" s="68">
        <f t="shared" si="1"/>
        <v>1.2797706255804771</v>
      </c>
      <c r="I29" s="66">
        <f t="shared" si="2"/>
        <v>0</v>
      </c>
      <c r="J29" s="67">
        <f t="shared" si="3"/>
        <v>7.1678311316072412</v>
      </c>
      <c r="K29" s="68">
        <f t="shared" si="3"/>
        <v>1.2797706255804771</v>
      </c>
      <c r="L29" s="66">
        <f t="shared" si="4"/>
        <v>0</v>
      </c>
      <c r="M29" s="70">
        <f t="shared" si="5"/>
        <v>0</v>
      </c>
      <c r="N29" s="70">
        <f t="shared" si="6"/>
        <v>0</v>
      </c>
      <c r="O29" s="66">
        <f t="shared" si="18"/>
        <v>0</v>
      </c>
      <c r="P29" s="67">
        <f t="shared" si="7"/>
        <v>0</v>
      </c>
      <c r="Q29" s="67">
        <f t="shared" si="19"/>
        <v>8.4476017571877176</v>
      </c>
      <c r="R29" s="71">
        <f t="shared" si="20"/>
        <v>253.21837915364486</v>
      </c>
      <c r="S29" s="694">
        <f>IF(NOT(EXACT(A29, "MP Complete")), INDEX(MP_new!$A$4:$J$9, MATCH(Step1!A29 - 1, MP_new!$A$4:$A$9, 0), 7), S27)</f>
        <v>48544.957141362807</v>
      </c>
      <c r="T29" s="693">
        <f>IF(EXACT($Q$5, "Yes"), IF(NOT(EXACT(A29, "MP Complete")), INDEX(MP_new!$A$4:$J$9, MATCH(Step1!A29, MP_new!$A$4:$A$9, 0), 10), T27), 0)</f>
        <v>9000</v>
      </c>
      <c r="U29" s="82">
        <f>('NPV Summary'!$B$16-S29)+T29</f>
        <v>25864.882970329993</v>
      </c>
      <c r="V29" s="82">
        <f>LOOKUP(B29,Rates!$A$5:$B$168)</f>
        <v>1847.7238618278641</v>
      </c>
      <c r="W29" s="70">
        <f t="shared" si="8"/>
        <v>47.791161447663889</v>
      </c>
      <c r="X29" s="71">
        <f t="shared" si="24"/>
        <v>516.26637384191667</v>
      </c>
      <c r="Y29" s="470">
        <f t="shared" si="25"/>
        <v>39.34355969047617</v>
      </c>
      <c r="Z29" s="470">
        <f t="shared" si="25"/>
        <v>263.04799468827184</v>
      </c>
      <c r="AA29" s="466">
        <f>IF(SUM(AA$11:AA28)&gt;0,0,IF(SUM(X29-R29)&gt;0,B29,0))</f>
        <v>0</v>
      </c>
      <c r="AB29" s="471">
        <f>ABS(Z29)*1000000/SUM(U$12:U29)</f>
        <v>755.26822935964219</v>
      </c>
      <c r="AH29" s="52">
        <f t="shared" si="21"/>
        <v>2024</v>
      </c>
      <c r="AI29" s="53">
        <f>Rates!B22</f>
        <v>1249</v>
      </c>
      <c r="AK29" s="52">
        <f t="shared" si="22"/>
        <v>2024</v>
      </c>
      <c r="AL29" s="53" t="str">
        <f>Rates!E22</f>
        <v>-</v>
      </c>
      <c r="AM29" s="472">
        <f>Rates!F22</f>
        <v>1249</v>
      </c>
      <c r="AN29" s="473">
        <f>Rates!G22</f>
        <v>961</v>
      </c>
      <c r="AP29" s="48">
        <f t="shared" si="9"/>
        <v>2035</v>
      </c>
      <c r="AQ29" s="78">
        <f t="shared" si="0"/>
        <v>0</v>
      </c>
      <c r="AS29" s="133">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5">
        <f t="shared" si="14"/>
        <v>2036</v>
      </c>
      <c r="C30" s="695">
        <v>0</v>
      </c>
      <c r="D30" s="695">
        <f>'Area Summary'!$C$44</f>
        <v>4.3366557156605179</v>
      </c>
      <c r="E30" s="64">
        <f t="shared" si="15"/>
        <v>0.65700000000000003</v>
      </c>
      <c r="F30" s="64">
        <f t="shared" si="16"/>
        <v>0</v>
      </c>
      <c r="G30" s="84">
        <f t="shared" si="17"/>
        <v>7.3828660655554588</v>
      </c>
      <c r="H30" s="65">
        <f t="shared" si="1"/>
        <v>1.3309614506036962</v>
      </c>
      <c r="I30" s="64">
        <f t="shared" si="2"/>
        <v>0</v>
      </c>
      <c r="J30" s="84">
        <f t="shared" si="3"/>
        <v>7.3828660655554588</v>
      </c>
      <c r="K30" s="65">
        <f t="shared" si="3"/>
        <v>1.3309614506036962</v>
      </c>
      <c r="L30" s="64">
        <f t="shared" si="4"/>
        <v>0</v>
      </c>
      <c r="M30" s="72">
        <f t="shared" si="5"/>
        <v>0</v>
      </c>
      <c r="N30" s="72">
        <f t="shared" si="6"/>
        <v>0</v>
      </c>
      <c r="O30" s="64">
        <f t="shared" si="18"/>
        <v>0</v>
      </c>
      <c r="P30" s="84">
        <f t="shared" si="7"/>
        <v>0</v>
      </c>
      <c r="Q30" s="84">
        <f t="shared" si="19"/>
        <v>8.7138275161591547</v>
      </c>
      <c r="R30" s="73">
        <f t="shared" si="20"/>
        <v>261.93220666980403</v>
      </c>
      <c r="S30" s="694">
        <f>IF(NOT(EXACT(A30, "MP Complete")), INDEX(MP_new!$A$4:$J$9, MATCH(Step1!A30 - 1, MP_new!$A$4:$A$9, 0), 7), S28)</f>
        <v>48544.957141362807</v>
      </c>
      <c r="T30" s="693">
        <f>IF(EXACT($Q$5, "Yes"), IF(NOT(EXACT(A30, "MP Complete")), INDEX(MP_new!$A$4:$J$9, MATCH(Step1!A30, MP_new!$A$4:$A$9, 0), 10), T28), 0)</f>
        <v>9000</v>
      </c>
      <c r="U30" s="6">
        <f>('NPV Summary'!$B$16-S30)+T30</f>
        <v>25864.882970329993</v>
      </c>
      <c r="V30" s="6">
        <f>LOOKUP(B30,Rates!$A$5:$B$168)</f>
        <v>1914.2419208536674</v>
      </c>
      <c r="W30" s="72">
        <f t="shared" si="8"/>
        <v>49.511643259779795</v>
      </c>
      <c r="X30" s="73">
        <f t="shared" si="24"/>
        <v>565.77801710169649</v>
      </c>
      <c r="Y30" s="20">
        <f t="shared" si="25"/>
        <v>40.797815743620639</v>
      </c>
      <c r="Z30" s="20">
        <f t="shared" si="25"/>
        <v>303.84581043189246</v>
      </c>
      <c r="AA30" s="465">
        <f>IF(SUM(AA$11:AA29)&gt;0,0,IF(SUM(X30-R30)&gt;0,B30,0))</f>
        <v>0</v>
      </c>
      <c r="AB30" s="171">
        <f>ABS(Z30)*1000000/SUM(U$12:U30)</f>
        <v>812.09822594096534</v>
      </c>
      <c r="AH30" s="55">
        <f t="shared" si="21"/>
        <v>2025</v>
      </c>
      <c r="AI30" s="8">
        <f>Rates!B23</f>
        <v>1296</v>
      </c>
      <c r="AK30" s="55">
        <f t="shared" si="22"/>
        <v>2025</v>
      </c>
      <c r="AL30" s="8" t="str">
        <f>Rates!E23</f>
        <v>-</v>
      </c>
      <c r="AM30" s="114">
        <f>Rates!F23</f>
        <v>1296</v>
      </c>
      <c r="AN30" s="115">
        <f>Rates!G23</f>
        <v>1008</v>
      </c>
      <c r="AP30" s="16">
        <f t="shared" si="9"/>
        <v>2036</v>
      </c>
      <c r="AQ30" s="77">
        <f t="shared" si="0"/>
        <v>0</v>
      </c>
      <c r="AS30" s="136">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4">
        <f t="shared" si="14"/>
        <v>2037</v>
      </c>
      <c r="C31" s="695">
        <v>0</v>
      </c>
      <c r="D31" s="695">
        <f>'Area Summary'!$C$44</f>
        <v>4.3366557156605179</v>
      </c>
      <c r="E31" s="66">
        <f t="shared" si="15"/>
        <v>0.65700000000000003</v>
      </c>
      <c r="F31" s="66">
        <f t="shared" si="16"/>
        <v>0</v>
      </c>
      <c r="G31" s="67">
        <f t="shared" si="17"/>
        <v>7.6043520475221227</v>
      </c>
      <c r="H31" s="68">
        <f t="shared" si="1"/>
        <v>1.384199908627844</v>
      </c>
      <c r="I31" s="66">
        <f t="shared" si="2"/>
        <v>0</v>
      </c>
      <c r="J31" s="67">
        <f t="shared" si="3"/>
        <v>7.6043520475221227</v>
      </c>
      <c r="K31" s="68">
        <f t="shared" si="3"/>
        <v>1.384199908627844</v>
      </c>
      <c r="L31" s="66">
        <f t="shared" si="4"/>
        <v>0</v>
      </c>
      <c r="M31" s="70">
        <f t="shared" si="5"/>
        <v>0</v>
      </c>
      <c r="N31" s="70">
        <f t="shared" si="6"/>
        <v>0</v>
      </c>
      <c r="O31" s="66">
        <f t="shared" si="18"/>
        <v>0</v>
      </c>
      <c r="P31" s="67">
        <f t="shared" si="7"/>
        <v>0</v>
      </c>
      <c r="Q31" s="67">
        <f t="shared" si="19"/>
        <v>8.9885519561499674</v>
      </c>
      <c r="R31" s="71">
        <f t="shared" si="20"/>
        <v>270.92075862595402</v>
      </c>
      <c r="S31" s="694">
        <f>IF(NOT(EXACT(A31, "MP Complete")), INDEX(MP_new!$A$4:$J$9, MATCH(Step1!A31 - 1, MP_new!$A$4:$A$9, 0), 7), S29)</f>
        <v>48544.957141362807</v>
      </c>
      <c r="T31" s="693">
        <f>IF(EXACT($Q$5, "Yes"), IF(NOT(EXACT(A31, "MP Complete")), INDEX(MP_new!$A$4:$J$9, MATCH(Step1!A31, MP_new!$A$4:$A$9, 0), 10), T29), 0)</f>
        <v>9000</v>
      </c>
      <c r="U31" s="82">
        <f>('NPV Summary'!$B$16-S31)+T31</f>
        <v>25864.882970329993</v>
      </c>
      <c r="V31" s="82">
        <f>LOOKUP(B31,Rates!$A$5:$B$168)</f>
        <v>1983.1546300043995</v>
      </c>
      <c r="W31" s="70">
        <f t="shared" si="8"/>
        <v>51.294062417131869</v>
      </c>
      <c r="X31" s="71">
        <f t="shared" si="24"/>
        <v>617.07207951882833</v>
      </c>
      <c r="Y31" s="470">
        <f t="shared" si="25"/>
        <v>42.3055104609819</v>
      </c>
      <c r="Z31" s="470">
        <f t="shared" si="25"/>
        <v>346.15132089287431</v>
      </c>
      <c r="AA31" s="466">
        <f>IF(SUM(AA$11:AA30)&gt;0,0,IF(SUM(X31-R31)&gt;0,B31,0))</f>
        <v>0</v>
      </c>
      <c r="AB31" s="471">
        <f>ABS(Z31)*1000000/SUM(U$12:U31)</f>
        <v>865.348078305135</v>
      </c>
      <c r="AH31" s="52">
        <f t="shared" si="21"/>
        <v>2026</v>
      </c>
      <c r="AI31" s="53">
        <f>Rates!B24</f>
        <v>1344</v>
      </c>
      <c r="AK31" s="52">
        <f t="shared" si="22"/>
        <v>2026</v>
      </c>
      <c r="AL31" s="53" t="str">
        <f>Rates!E24</f>
        <v>-</v>
      </c>
      <c r="AM31" s="472">
        <f>Rates!F24</f>
        <v>1344</v>
      </c>
      <c r="AN31" s="473">
        <f>Rates!G24</f>
        <v>1056</v>
      </c>
      <c r="AP31" s="48">
        <f t="shared" si="9"/>
        <v>2037</v>
      </c>
      <c r="AQ31" s="78">
        <f t="shared" si="0"/>
        <v>0</v>
      </c>
      <c r="AS31" s="133">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5">
        <f t="shared" si="14"/>
        <v>2038</v>
      </c>
      <c r="C32" s="695">
        <v>0</v>
      </c>
      <c r="D32" s="695">
        <f>'Area Summary'!$C$44</f>
        <v>4.3366557156605179</v>
      </c>
      <c r="E32" s="64">
        <f t="shared" si="15"/>
        <v>0.65700000000000003</v>
      </c>
      <c r="F32" s="64">
        <f t="shared" si="16"/>
        <v>0</v>
      </c>
      <c r="G32" s="84">
        <f t="shared" si="17"/>
        <v>7.8324826089477861</v>
      </c>
      <c r="H32" s="65">
        <f t="shared" si="1"/>
        <v>1.4395679049729577</v>
      </c>
      <c r="I32" s="64">
        <f t="shared" si="2"/>
        <v>0</v>
      </c>
      <c r="J32" s="84">
        <f t="shared" si="3"/>
        <v>7.8324826089477861</v>
      </c>
      <c r="K32" s="65">
        <f t="shared" si="3"/>
        <v>1.4395679049729577</v>
      </c>
      <c r="L32" s="64">
        <f t="shared" si="4"/>
        <v>0</v>
      </c>
      <c r="M32" s="72">
        <f t="shared" si="5"/>
        <v>0</v>
      </c>
      <c r="N32" s="72">
        <f t="shared" si="6"/>
        <v>0</v>
      </c>
      <c r="O32" s="64">
        <f t="shared" si="18"/>
        <v>0</v>
      </c>
      <c r="P32" s="84">
        <f t="shared" si="7"/>
        <v>0</v>
      </c>
      <c r="Q32" s="84">
        <f t="shared" si="19"/>
        <v>9.2720505139207443</v>
      </c>
      <c r="R32" s="73">
        <f t="shared" si="20"/>
        <v>280.19280913987478</v>
      </c>
      <c r="S32" s="694">
        <f>IF(NOT(EXACT(A32, "MP Complete")), INDEX(MP_new!$A$4:$J$9, MATCH(Step1!A32 - 1, MP_new!$A$4:$A$9, 0), 7), S30)</f>
        <v>48544.957141362807</v>
      </c>
      <c r="T32" s="693">
        <f>IF(EXACT($Q$5, "Yes"), IF(NOT(EXACT(A32, "MP Complete")), INDEX(MP_new!$A$4:$J$9, MATCH(Step1!A32, MP_new!$A$4:$A$9, 0), 10), T30), 0)</f>
        <v>9000</v>
      </c>
      <c r="U32" s="6">
        <f>('NPV Summary'!$B$16-S32)+T32</f>
        <v>25864.882970329993</v>
      </c>
      <c r="V32" s="6">
        <f>LOOKUP(B32,Rates!$A$5:$B$168)</f>
        <v>2054.5481966845578</v>
      </c>
      <c r="W32" s="72">
        <f t="shared" si="8"/>
        <v>53.140648664148614</v>
      </c>
      <c r="X32" s="73">
        <f t="shared" si="24"/>
        <v>670.21272818297689</v>
      </c>
      <c r="Y32" s="20">
        <f t="shared" si="25"/>
        <v>43.868598150227868</v>
      </c>
      <c r="Z32" s="20">
        <f t="shared" si="25"/>
        <v>390.01991904310211</v>
      </c>
      <c r="AA32" s="465">
        <f>IF(SUM(AA$11:AA31)&gt;0,0,IF(SUM(X32-R32)&gt;0,B32,0))</f>
        <v>0</v>
      </c>
      <c r="AB32" s="171">
        <f>ABS(Z32)*1000000/SUM(U$12:U32)</f>
        <v>915.80015214733999</v>
      </c>
      <c r="AH32" s="55">
        <f t="shared" si="21"/>
        <v>2027</v>
      </c>
      <c r="AI32" s="8">
        <f>Rates!B25</f>
        <v>1392.384</v>
      </c>
      <c r="AK32" s="55">
        <f t="shared" si="22"/>
        <v>2027</v>
      </c>
      <c r="AL32" s="164">
        <f>Rates!E25</f>
        <v>3.5999999999999997E-2</v>
      </c>
      <c r="AM32" s="8">
        <f>Rates!F25</f>
        <v>1392.384</v>
      </c>
      <c r="AN32" s="132">
        <f>Rates!G25</f>
        <v>1094.0160000000001</v>
      </c>
      <c r="AP32" s="16">
        <f t="shared" si="9"/>
        <v>2038</v>
      </c>
      <c r="AQ32" s="77">
        <f t="shared" si="0"/>
        <v>0</v>
      </c>
      <c r="AS32" s="136">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4">
        <f t="shared" si="14"/>
        <v>2039</v>
      </c>
      <c r="C33" s="695">
        <v>0</v>
      </c>
      <c r="D33" s="695">
        <f>'Area Summary'!$C$44</f>
        <v>4.3366557156605179</v>
      </c>
      <c r="E33" s="66">
        <f t="shared" si="15"/>
        <v>0.65700000000000003</v>
      </c>
      <c r="F33" s="66">
        <f t="shared" si="16"/>
        <v>0</v>
      </c>
      <c r="G33" s="67">
        <f t="shared" si="17"/>
        <v>8.0674570872162192</v>
      </c>
      <c r="H33" s="68">
        <f t="shared" si="1"/>
        <v>1.4971506211718766</v>
      </c>
      <c r="I33" s="66">
        <f t="shared" si="2"/>
        <v>0</v>
      </c>
      <c r="J33" s="67">
        <f t="shared" si="3"/>
        <v>8.0674570872162192</v>
      </c>
      <c r="K33" s="68">
        <f t="shared" si="3"/>
        <v>1.4971506211718766</v>
      </c>
      <c r="L33" s="66">
        <f t="shared" si="4"/>
        <v>0</v>
      </c>
      <c r="M33" s="70">
        <f t="shared" si="5"/>
        <v>0</v>
      </c>
      <c r="N33" s="70">
        <f t="shared" si="6"/>
        <v>0</v>
      </c>
      <c r="O33" s="66">
        <f t="shared" si="18"/>
        <v>0</v>
      </c>
      <c r="P33" s="67">
        <f t="shared" si="7"/>
        <v>0</v>
      </c>
      <c r="Q33" s="67">
        <f t="shared" si="19"/>
        <v>9.5646077083880954</v>
      </c>
      <c r="R33" s="71">
        <f t="shared" si="20"/>
        <v>289.75741684826289</v>
      </c>
      <c r="S33" s="694">
        <f>IF(NOT(EXACT(A33, "MP Complete")), INDEX(MP_new!$A$4:$J$9, MATCH(Step1!A33 - 1, MP_new!$A$4:$A$9, 0), 7), S31)</f>
        <v>48544.957141362807</v>
      </c>
      <c r="T33" s="693">
        <f>IF(EXACT($Q$5, "Yes"), IF(NOT(EXACT(A33, "MP Complete")), INDEX(MP_new!$A$4:$J$9, MATCH(Step1!A33, MP_new!$A$4:$A$9, 0), 10), T31), 0)</f>
        <v>9000</v>
      </c>
      <c r="U33" s="82">
        <f>('NPV Summary'!$B$16-S33)+T33</f>
        <v>25864.882970329993</v>
      </c>
      <c r="V33" s="82">
        <f>LOOKUP(B33,Rates!$A$5:$B$168)</f>
        <v>2128.511931765202</v>
      </c>
      <c r="W33" s="70">
        <f t="shared" si="8"/>
        <v>55.053712016057965</v>
      </c>
      <c r="X33" s="71">
        <f t="shared" si="24"/>
        <v>725.26644019903483</v>
      </c>
      <c r="Y33" s="470">
        <f t="shared" si="25"/>
        <v>45.489104307669869</v>
      </c>
      <c r="Z33" s="470">
        <f t="shared" si="25"/>
        <v>435.50902335077194</v>
      </c>
      <c r="AA33" s="466">
        <f>IF(SUM(AA$11:AA32)&gt;0,0,IF(SUM(X33-R33)&gt;0,B33,0))</f>
        <v>0</v>
      </c>
      <c r="AB33" s="471">
        <f>ABS(Z33)*1000000/SUM(U$12:U33)</f>
        <v>964.06211745398298</v>
      </c>
      <c r="AH33" s="52">
        <f t="shared" si="21"/>
        <v>2028</v>
      </c>
      <c r="AI33" s="53">
        <f>Rates!B26</f>
        <v>1442.509824</v>
      </c>
      <c r="AK33" s="52">
        <f t="shared" si="22"/>
        <v>2028</v>
      </c>
      <c r="AL33" s="165">
        <f>Rates!E26</f>
        <v>3.5999999999999997E-2</v>
      </c>
      <c r="AM33" s="53">
        <f>Rates!F26</f>
        <v>1442.509824</v>
      </c>
      <c r="AN33" s="54">
        <f>Rates!G26</f>
        <v>1133.400576</v>
      </c>
      <c r="AP33" s="48">
        <f t="shared" si="9"/>
        <v>2039</v>
      </c>
      <c r="AQ33" s="78">
        <f t="shared" si="0"/>
        <v>0</v>
      </c>
      <c r="AS33" s="133">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5">
        <f t="shared" si="14"/>
        <v>2040</v>
      </c>
      <c r="C34" s="695">
        <v>0</v>
      </c>
      <c r="D34" s="695">
        <f>'Area Summary'!$C$44</f>
        <v>4.3366557156605179</v>
      </c>
      <c r="E34" s="64">
        <f t="shared" si="15"/>
        <v>0.65700000000000003</v>
      </c>
      <c r="F34" s="64">
        <f t="shared" si="16"/>
        <v>0</v>
      </c>
      <c r="G34" s="84">
        <f t="shared" si="17"/>
        <v>8.3094807998327056</v>
      </c>
      <c r="H34" s="65">
        <f t="shared" si="1"/>
        <v>1.5570366460187515</v>
      </c>
      <c r="I34" s="64">
        <f t="shared" si="2"/>
        <v>0</v>
      </c>
      <c r="J34" s="84">
        <f t="shared" si="3"/>
        <v>8.3094807998327056</v>
      </c>
      <c r="K34" s="65">
        <f t="shared" si="3"/>
        <v>1.5570366460187515</v>
      </c>
      <c r="L34" s="64">
        <f t="shared" si="4"/>
        <v>0</v>
      </c>
      <c r="M34" s="72">
        <f t="shared" si="5"/>
        <v>0</v>
      </c>
      <c r="N34" s="72">
        <f t="shared" si="6"/>
        <v>0</v>
      </c>
      <c r="O34" s="64">
        <f t="shared" si="18"/>
        <v>0</v>
      </c>
      <c r="P34" s="84">
        <f t="shared" si="7"/>
        <v>0</v>
      </c>
      <c r="Q34" s="84">
        <f t="shared" si="19"/>
        <v>9.8665174458514571</v>
      </c>
      <c r="R34" s="73">
        <f t="shared" si="20"/>
        <v>299.62393429411435</v>
      </c>
      <c r="S34" s="694">
        <f>IF(NOT(EXACT(A34, "MP Complete")), INDEX(MP_new!$A$4:$J$9, MATCH(Step1!A34 - 1, MP_new!$A$4:$A$9, 0), 7), S32)</f>
        <v>48544.957141362807</v>
      </c>
      <c r="T34" s="693">
        <f>IF(EXACT($Q$5, "Yes"), IF(NOT(EXACT(A34, "MP Complete")), INDEX(MP_new!$A$4:$J$9, MATCH(Step1!A34, MP_new!$A$4:$A$9, 0), 10), T32), 0)</f>
        <v>9000</v>
      </c>
      <c r="U34" s="6">
        <f>('NPV Summary'!$B$16-S34)+T34</f>
        <v>25864.882970329993</v>
      </c>
      <c r="V34" s="6">
        <f>LOOKUP(B34,Rates!$A$5:$B$168)</f>
        <v>2205.1383613087492</v>
      </c>
      <c r="W34" s="72">
        <f t="shared" si="8"/>
        <v>57.035645648636049</v>
      </c>
      <c r="X34" s="73">
        <f t="shared" si="24"/>
        <v>782.30208584767092</v>
      </c>
      <c r="Y34" s="20">
        <f t="shared" si="25"/>
        <v>47.169128202784592</v>
      </c>
      <c r="Z34" s="20">
        <f t="shared" si="25"/>
        <v>482.67815155355657</v>
      </c>
      <c r="AA34" s="465">
        <f>IF(SUM(AA$11:AA33)&gt;0,0,IF(SUM(X34-R34)&gt;0,B34,0))</f>
        <v>0</v>
      </c>
      <c r="AB34" s="171">
        <f>ABS(Z34)*1000000/SUM(U$12:U34)</f>
        <v>1010.6144061752334</v>
      </c>
      <c r="AH34" s="55">
        <f t="shared" si="21"/>
        <v>2029</v>
      </c>
      <c r="AI34" s="8">
        <f>Rates!B27</f>
        <v>1494.440177664</v>
      </c>
      <c r="AK34" s="55">
        <f t="shared" si="22"/>
        <v>2029</v>
      </c>
      <c r="AL34" s="164">
        <f>Rates!E27</f>
        <v>3.5999999999999997E-2</v>
      </c>
      <c r="AM34" s="8">
        <f>Rates!F27</f>
        <v>1494.440177664</v>
      </c>
      <c r="AN34" s="15">
        <f>Rates!G27</f>
        <v>1174.2029967359999</v>
      </c>
      <c r="AP34" s="16">
        <f t="shared" si="9"/>
        <v>2040</v>
      </c>
      <c r="AQ34" s="77">
        <f t="shared" si="0"/>
        <v>0</v>
      </c>
      <c r="AS34" s="136">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4">
        <f t="shared" si="14"/>
        <v>2041</v>
      </c>
      <c r="C35" s="695">
        <v>0</v>
      </c>
      <c r="D35" s="695">
        <f>'Area Summary'!$C$44</f>
        <v>4.3366557156605179</v>
      </c>
      <c r="E35" s="66">
        <f t="shared" si="15"/>
        <v>0.65700000000000003</v>
      </c>
      <c r="F35" s="66">
        <f t="shared" si="16"/>
        <v>0</v>
      </c>
      <c r="G35" s="67">
        <f t="shared" si="17"/>
        <v>8.5587652238276881</v>
      </c>
      <c r="H35" s="68">
        <f t="shared" si="1"/>
        <v>1.6193181118595015</v>
      </c>
      <c r="I35" s="66">
        <f t="shared" si="2"/>
        <v>0</v>
      </c>
      <c r="J35" s="67">
        <f t="shared" si="3"/>
        <v>8.5587652238276881</v>
      </c>
      <c r="K35" s="68">
        <f t="shared" si="3"/>
        <v>1.6193181118595015</v>
      </c>
      <c r="L35" s="66">
        <f t="shared" si="4"/>
        <v>0</v>
      </c>
      <c r="M35" s="70">
        <f t="shared" si="5"/>
        <v>0</v>
      </c>
      <c r="N35" s="70">
        <f t="shared" si="6"/>
        <v>0</v>
      </c>
      <c r="O35" s="66">
        <f t="shared" si="18"/>
        <v>0</v>
      </c>
      <c r="P35" s="67">
        <f t="shared" si="7"/>
        <v>0</v>
      </c>
      <c r="Q35" s="67">
        <f t="shared" si="19"/>
        <v>10.178083335687189</v>
      </c>
      <c r="R35" s="71">
        <f t="shared" si="20"/>
        <v>309.80201762980153</v>
      </c>
      <c r="S35" s="694">
        <f>IF(NOT(EXACT(A35, "MP Complete")), INDEX(MP_new!$A$4:$J$9, MATCH(Step1!A35 - 1, MP_new!$A$4:$A$9, 0), 7), S33)</f>
        <v>48544.957141362807</v>
      </c>
      <c r="T35" s="693">
        <f>IF(EXACT($Q$5, "Yes"), IF(NOT(EXACT(A35, "MP Complete")), INDEX(MP_new!$A$4:$J$9, MATCH(Step1!A35, MP_new!$A$4:$A$9, 0), 10), T33), 0)</f>
        <v>9000</v>
      </c>
      <c r="U35" s="82">
        <f>('NPV Summary'!$B$16-S35)+T35</f>
        <v>25864.882970329993</v>
      </c>
      <c r="V35" s="82">
        <f>LOOKUP(B35,Rates!$A$5:$B$168)</f>
        <v>2284.5233423158643</v>
      </c>
      <c r="W35" s="70">
        <f t="shared" si="8"/>
        <v>59.088928891986953</v>
      </c>
      <c r="X35" s="71">
        <f t="shared" si="24"/>
        <v>841.39101473965786</v>
      </c>
      <c r="Y35" s="470">
        <f t="shared" si="25"/>
        <v>48.910845556299762</v>
      </c>
      <c r="Z35" s="470">
        <f t="shared" si="25"/>
        <v>531.58899710985634</v>
      </c>
      <c r="AA35" s="466">
        <f>IF(SUM(AA$11:AA34)&gt;0,0,IF(SUM(X35-R35)&gt;0,B35,0))</f>
        <v>0</v>
      </c>
      <c r="AB35" s="471">
        <f>ABS(Z35)*1000000/SUM(U$12:U35)</f>
        <v>1055.8430469933862</v>
      </c>
      <c r="AH35" s="52">
        <f t="shared" si="21"/>
        <v>2030</v>
      </c>
      <c r="AI35" s="53">
        <f>Rates!B28</f>
        <v>1548.240024059904</v>
      </c>
      <c r="AK35" s="52">
        <f t="shared" si="22"/>
        <v>2030</v>
      </c>
      <c r="AL35" s="165">
        <f>Rates!E28</f>
        <v>3.5999999999999997E-2</v>
      </c>
      <c r="AM35" s="53">
        <f>Rates!F28</f>
        <v>1548.240024059904</v>
      </c>
      <c r="AN35" s="54">
        <f>Rates!G28</f>
        <v>1216.474304618496</v>
      </c>
      <c r="AP35" s="48">
        <f t="shared" si="9"/>
        <v>2041</v>
      </c>
      <c r="AQ35" s="78">
        <f t="shared" si="0"/>
        <v>0</v>
      </c>
      <c r="AS35" s="133">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5">
        <f t="shared" si="14"/>
        <v>2042</v>
      </c>
      <c r="C36" s="695">
        <v>0</v>
      </c>
      <c r="D36" s="695">
        <f>'Area Summary'!$C$44</f>
        <v>4.3366557156605179</v>
      </c>
      <c r="E36" s="64">
        <f t="shared" si="15"/>
        <v>0.65700000000000003</v>
      </c>
      <c r="F36" s="64">
        <f t="shared" si="16"/>
        <v>0</v>
      </c>
      <c r="G36" s="84">
        <f t="shared" si="17"/>
        <v>8.8155281805425165</v>
      </c>
      <c r="H36" s="65">
        <f t="shared" si="1"/>
        <v>1.6840908363338816</v>
      </c>
      <c r="I36" s="64">
        <f t="shared" si="2"/>
        <v>0</v>
      </c>
      <c r="J36" s="84">
        <f t="shared" si="3"/>
        <v>8.8155281805425165</v>
      </c>
      <c r="K36" s="65">
        <f t="shared" si="3"/>
        <v>1.6840908363338816</v>
      </c>
      <c r="L36" s="64">
        <f t="shared" si="4"/>
        <v>0</v>
      </c>
      <c r="M36" s="72">
        <f t="shared" si="5"/>
        <v>0</v>
      </c>
      <c r="N36" s="72">
        <f t="shared" si="6"/>
        <v>0</v>
      </c>
      <c r="O36" s="64">
        <f t="shared" si="18"/>
        <v>0</v>
      </c>
      <c r="P36" s="84">
        <f t="shared" si="7"/>
        <v>0</v>
      </c>
      <c r="Q36" s="84">
        <f t="shared" si="19"/>
        <v>10.499619016876398</v>
      </c>
      <c r="R36" s="73">
        <f t="shared" si="20"/>
        <v>320.30163664667793</v>
      </c>
      <c r="S36" s="694">
        <f>IF(NOT(EXACT(A36, "MP Complete")), INDEX(MP_new!$A$4:$J$9, MATCH(Step1!A36 - 1, MP_new!$A$4:$A$9, 0), 7), S34)</f>
        <v>48544.957141362807</v>
      </c>
      <c r="T36" s="693">
        <f>IF(EXACT($Q$5, "Yes"), IF(NOT(EXACT(A36, "MP Complete")), INDEX(MP_new!$A$4:$J$9, MATCH(Step1!A36, MP_new!$A$4:$A$9, 0), 10), T34), 0)</f>
        <v>9000</v>
      </c>
      <c r="U36" s="6">
        <f>('NPV Summary'!$B$16-S36)+T36</f>
        <v>25864.882970329993</v>
      </c>
      <c r="V36" s="6">
        <f>LOOKUP(B36,Rates!$A$5:$B$168)</f>
        <v>2366.7661826392355</v>
      </c>
      <c r="W36" s="72">
        <f t="shared" si="8"/>
        <v>61.216130332098487</v>
      </c>
      <c r="X36" s="73">
        <f t="shared" si="24"/>
        <v>902.60714507175635</v>
      </c>
      <c r="Y36" s="20">
        <f t="shared" si="25"/>
        <v>50.716511315222093</v>
      </c>
      <c r="Z36" s="20">
        <f t="shared" si="25"/>
        <v>582.30550842507841</v>
      </c>
      <c r="AA36" s="465">
        <f>IF(SUM(AA$11:AA35)&gt;0,0,IF(SUM(X36-R36)&gt;0,B36,0))</f>
        <v>0</v>
      </c>
      <c r="AB36" s="171">
        <f>ABS(Z36)*1000000/SUM(U$12:U36)</f>
        <v>1100.0628789684069</v>
      </c>
      <c r="AH36" s="55">
        <f t="shared" si="21"/>
        <v>2031</v>
      </c>
      <c r="AI36" s="8">
        <f>Rates!B29</f>
        <v>1603.9766649260607</v>
      </c>
      <c r="AK36" s="55">
        <f t="shared" si="22"/>
        <v>2031</v>
      </c>
      <c r="AL36" s="164">
        <f>Rates!E29</f>
        <v>3.5999999999999997E-2</v>
      </c>
      <c r="AM36" s="8">
        <f>Rates!F29</f>
        <v>1603.9766649260607</v>
      </c>
      <c r="AN36" s="15">
        <f>Rates!G29</f>
        <v>1260.267379584762</v>
      </c>
      <c r="AP36" s="16">
        <f t="shared" si="9"/>
        <v>2042</v>
      </c>
      <c r="AQ36" s="77">
        <f t="shared" si="0"/>
        <v>0</v>
      </c>
      <c r="AS36" s="136">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4">
        <f t="shared" si="14"/>
        <v>2043</v>
      </c>
      <c r="C37" s="695">
        <v>0</v>
      </c>
      <c r="D37" s="695">
        <f>'Area Summary'!$C$44</f>
        <v>4.3366557156605179</v>
      </c>
      <c r="E37" s="66">
        <f t="shared" si="15"/>
        <v>0.65700000000000003</v>
      </c>
      <c r="F37" s="66">
        <f t="shared" si="16"/>
        <v>0</v>
      </c>
      <c r="G37" s="67">
        <f t="shared" si="17"/>
        <v>9.0799940259587917</v>
      </c>
      <c r="H37" s="68">
        <f t="shared" si="1"/>
        <v>1.7514544697872372</v>
      </c>
      <c r="I37" s="66">
        <f t="shared" si="2"/>
        <v>0</v>
      </c>
      <c r="J37" s="67">
        <f t="shared" si="3"/>
        <v>9.0799940259587917</v>
      </c>
      <c r="K37" s="68">
        <f t="shared" si="3"/>
        <v>1.7514544697872372</v>
      </c>
      <c r="L37" s="66">
        <f t="shared" si="4"/>
        <v>0</v>
      </c>
      <c r="M37" s="70">
        <f t="shared" si="5"/>
        <v>0</v>
      </c>
      <c r="N37" s="70">
        <f t="shared" si="6"/>
        <v>0</v>
      </c>
      <c r="O37" s="66">
        <f t="shared" si="18"/>
        <v>0</v>
      </c>
      <c r="P37" s="67">
        <f t="shared" si="7"/>
        <v>0</v>
      </c>
      <c r="Q37" s="67">
        <f t="shared" si="19"/>
        <v>10.831448495746029</v>
      </c>
      <c r="R37" s="71">
        <f t="shared" si="20"/>
        <v>331.13308514242397</v>
      </c>
      <c r="S37" s="694">
        <f>IF(NOT(EXACT(A37, "MP Complete")), INDEX(MP_new!$A$4:$J$9, MATCH(Step1!A37 - 1, MP_new!$A$4:$A$9, 0), 7), S35)</f>
        <v>48544.957141362807</v>
      </c>
      <c r="T37" s="693">
        <f>IF(EXACT($Q$5, "Yes"), IF(NOT(EXACT(A37, "MP Complete")), INDEX(MP_new!$A$4:$J$9, MATCH(Step1!A37, MP_new!$A$4:$A$9, 0), 10), T35), 0)</f>
        <v>9000</v>
      </c>
      <c r="U37" s="82">
        <f>('NPV Summary'!$B$16-S37)+T37</f>
        <v>25864.882970329993</v>
      </c>
      <c r="V37" s="82">
        <f>LOOKUP(B37,Rates!$A$5:$B$168)</f>
        <v>2451.9697652142481</v>
      </c>
      <c r="W37" s="70">
        <f t="shared" si="8"/>
        <v>63.419911024054038</v>
      </c>
      <c r="X37" s="71">
        <f t="shared" si="24"/>
        <v>966.02705609581039</v>
      </c>
      <c r="Y37" s="470">
        <f t="shared" si="25"/>
        <v>52.588462528308007</v>
      </c>
      <c r="Z37" s="470">
        <f t="shared" si="25"/>
        <v>634.89397095338643</v>
      </c>
      <c r="AA37" s="466">
        <f>IF(SUM(AA$11:AA36)&gt;0,0,IF(SUM(X37-R37)&gt;0,B37,0))</f>
        <v>0</v>
      </c>
      <c r="AB37" s="471">
        <f>ABS(Z37)*1000000/SUM(U$12:U37)</f>
        <v>1143.5342817312257</v>
      </c>
      <c r="AH37" s="52">
        <f t="shared" si="21"/>
        <v>2032</v>
      </c>
      <c r="AI37" s="53">
        <f>Rates!B30</f>
        <v>1661.719824863399</v>
      </c>
      <c r="AK37" s="52">
        <f t="shared" si="22"/>
        <v>2032</v>
      </c>
      <c r="AL37" s="165">
        <f>Rates!E30</f>
        <v>3.5999999999999997E-2</v>
      </c>
      <c r="AM37" s="53">
        <f>Rates!F30</f>
        <v>1661.719824863399</v>
      </c>
      <c r="AN37" s="54">
        <f>Rates!G30</f>
        <v>1305.6370052498135</v>
      </c>
      <c r="AP37" s="48">
        <f t="shared" si="9"/>
        <v>2043</v>
      </c>
      <c r="AQ37" s="78">
        <f t="shared" si="0"/>
        <v>0</v>
      </c>
      <c r="AS37" s="133">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5">
        <f t="shared" si="14"/>
        <v>2044</v>
      </c>
      <c r="C38" s="695">
        <v>0</v>
      </c>
      <c r="D38" s="695">
        <f>'Area Summary'!$C$44</f>
        <v>4.3366557156605179</v>
      </c>
      <c r="E38" s="64">
        <f t="shared" si="15"/>
        <v>0.65700000000000003</v>
      </c>
      <c r="F38" s="64">
        <f t="shared" si="16"/>
        <v>0</v>
      </c>
      <c r="G38" s="84">
        <f t="shared" si="17"/>
        <v>9.3523938467375576</v>
      </c>
      <c r="H38" s="65">
        <f t="shared" si="1"/>
        <v>1.8215126485787265</v>
      </c>
      <c r="I38" s="64">
        <f t="shared" si="2"/>
        <v>0</v>
      </c>
      <c r="J38" s="84">
        <f t="shared" si="3"/>
        <v>9.3523938467375576</v>
      </c>
      <c r="K38" s="65">
        <f t="shared" si="3"/>
        <v>1.8215126485787265</v>
      </c>
      <c r="L38" s="64">
        <f t="shared" si="4"/>
        <v>0</v>
      </c>
      <c r="M38" s="72">
        <f t="shared" si="5"/>
        <v>0</v>
      </c>
      <c r="N38" s="72">
        <f t="shared" si="6"/>
        <v>0</v>
      </c>
      <c r="O38" s="64">
        <f t="shared" si="18"/>
        <v>0</v>
      </c>
      <c r="P38" s="84">
        <f t="shared" si="7"/>
        <v>0</v>
      </c>
      <c r="Q38" s="84">
        <f t="shared" si="19"/>
        <v>11.173906495316285</v>
      </c>
      <c r="R38" s="73">
        <f t="shared" si="20"/>
        <v>342.30699163774023</v>
      </c>
      <c r="S38" s="694">
        <f>IF(NOT(EXACT(A38, "MP Complete")), INDEX(MP_new!$A$4:$J$9, MATCH(Step1!A38 - 1, MP_new!$A$4:$A$9, 0), 7), S36)</f>
        <v>48544.957141362807</v>
      </c>
      <c r="T38" s="693">
        <f>IF(EXACT($Q$5, "Yes"), IF(NOT(EXACT(A38, "MP Complete")), INDEX(MP_new!$A$4:$J$9, MATCH(Step1!A38, MP_new!$A$4:$A$9, 0), 10), T36), 0)</f>
        <v>9000</v>
      </c>
      <c r="U38" s="6">
        <f>('NPV Summary'!$B$16-S38)+T38</f>
        <v>25864.882970329993</v>
      </c>
      <c r="V38" s="6">
        <f>LOOKUP(B38,Rates!$A$5:$B$168)</f>
        <v>2540.2406767619609</v>
      </c>
      <c r="W38" s="72">
        <f t="shared" si="8"/>
        <v>65.703027820919971</v>
      </c>
      <c r="X38" s="73">
        <f t="shared" si="24"/>
        <v>1031.7300839167303</v>
      </c>
      <c r="Y38" s="20">
        <f t="shared" si="25"/>
        <v>54.529121325603683</v>
      </c>
      <c r="Z38" s="20">
        <f t="shared" si="25"/>
        <v>689.42309227899011</v>
      </c>
      <c r="AA38" s="465">
        <f>IF(SUM(AA$11:AA37)&gt;0,0,IF(SUM(X38-R38)&gt;0,B38,0))</f>
        <v>0</v>
      </c>
      <c r="AB38" s="171">
        <f>ABS(Z38)*1000000/SUM(U$12:U38)</f>
        <v>1186.4754425733445</v>
      </c>
      <c r="AH38" s="55">
        <f t="shared" si="21"/>
        <v>2033</v>
      </c>
      <c r="AI38" s="8">
        <f>Rates!B31</f>
        <v>1721.5417385584815</v>
      </c>
      <c r="AK38" s="55">
        <f t="shared" si="22"/>
        <v>2033</v>
      </c>
      <c r="AL38" s="164">
        <f>Rates!E31</f>
        <v>3.5999999999999997E-2</v>
      </c>
      <c r="AM38" s="8">
        <f>Rates!F31</f>
        <v>1721.5417385584815</v>
      </c>
      <c r="AN38" s="15">
        <f>Rates!G31</f>
        <v>1352.6399374388068</v>
      </c>
      <c r="AP38" s="16">
        <f t="shared" si="9"/>
        <v>2044</v>
      </c>
      <c r="AQ38" s="77">
        <f t="shared" si="0"/>
        <v>0</v>
      </c>
      <c r="AS38" s="136">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4">
        <f t="shared" si="14"/>
        <v>2045</v>
      </c>
      <c r="C39" s="695">
        <v>0</v>
      </c>
      <c r="D39" s="695">
        <f>'Area Summary'!$C$44</f>
        <v>4.3366557156605179</v>
      </c>
      <c r="E39" s="66">
        <f t="shared" si="15"/>
        <v>0.65700000000000003</v>
      </c>
      <c r="F39" s="66">
        <f t="shared" si="16"/>
        <v>0</v>
      </c>
      <c r="G39" s="67">
        <f t="shared" si="17"/>
        <v>9.6329656621396822</v>
      </c>
      <c r="H39" s="68">
        <f t="shared" si="1"/>
        <v>1.8943731545218756</v>
      </c>
      <c r="I39" s="66">
        <f t="shared" si="2"/>
        <v>0</v>
      </c>
      <c r="J39" s="67">
        <f t="shared" si="3"/>
        <v>9.6329656621396822</v>
      </c>
      <c r="K39" s="68">
        <f t="shared" si="3"/>
        <v>1.8943731545218756</v>
      </c>
      <c r="L39" s="66">
        <f t="shared" si="4"/>
        <v>0</v>
      </c>
      <c r="M39" s="70">
        <f t="shared" si="5"/>
        <v>0</v>
      </c>
      <c r="N39" s="70">
        <f t="shared" si="6"/>
        <v>0</v>
      </c>
      <c r="O39" s="66">
        <f t="shared" si="18"/>
        <v>0</v>
      </c>
      <c r="P39" s="67">
        <f t="shared" si="7"/>
        <v>0</v>
      </c>
      <c r="Q39" s="67">
        <f t="shared" si="19"/>
        <v>11.527338816661558</v>
      </c>
      <c r="R39" s="71">
        <f t="shared" si="20"/>
        <v>353.83433045440177</v>
      </c>
      <c r="S39" s="694">
        <f>IF(NOT(EXACT(A39, "MP Complete")), INDEX(MP_new!$A$4:$J$9, MATCH(Step1!A39 - 1, MP_new!$A$4:$A$9, 0), 7), S37)</f>
        <v>48544.957141362807</v>
      </c>
      <c r="T39" s="693">
        <f>IF(EXACT($Q$5, "Yes"), IF(NOT(EXACT(A39, "MP Complete")), INDEX(MP_new!$A$4:$J$9, MATCH(Step1!A39, MP_new!$A$4:$A$9, 0), 10), T37), 0)</f>
        <v>9000</v>
      </c>
      <c r="U39" s="82">
        <f>('NPV Summary'!$B$16-S39)+T39</f>
        <v>25864.882970329993</v>
      </c>
      <c r="V39" s="82">
        <f>LOOKUP(B39,Rates!$A$5:$B$168)</f>
        <v>2631.6893411253914</v>
      </c>
      <c r="W39" s="70">
        <f t="shared" si="8"/>
        <v>68.0683368224731</v>
      </c>
      <c r="X39" s="71">
        <f t="shared" si="24"/>
        <v>1099.7984207392035</v>
      </c>
      <c r="Y39" s="470">
        <f t="shared" si="25"/>
        <v>56.540998005811545</v>
      </c>
      <c r="Z39" s="470">
        <f t="shared" si="25"/>
        <v>745.96409028480173</v>
      </c>
      <c r="AA39" s="466">
        <f>IF(SUM(AA$11:AA38)&gt;0,0,IF(SUM(X39-R39)&gt;0,B39,0))</f>
        <v>0</v>
      </c>
      <c r="AB39" s="471">
        <f>ABS(Z39)*1000000/SUM(U$12:U39)</f>
        <v>1229.0714919987815</v>
      </c>
      <c r="AH39" s="52">
        <f t="shared" si="21"/>
        <v>2034</v>
      </c>
      <c r="AI39" s="53">
        <f>Rates!B32</f>
        <v>1783.5172411465869</v>
      </c>
      <c r="AK39" s="52">
        <f t="shared" si="22"/>
        <v>2034</v>
      </c>
      <c r="AL39" s="165">
        <f>Rates!E32</f>
        <v>3.5999999999999997E-2</v>
      </c>
      <c r="AM39" s="53">
        <f>Rates!F32</f>
        <v>1783.5172411465869</v>
      </c>
      <c r="AN39" s="54">
        <f>Rates!G32</f>
        <v>1401.334975186604</v>
      </c>
      <c r="AP39" s="48">
        <f t="shared" si="9"/>
        <v>2045</v>
      </c>
      <c r="AQ39" s="78">
        <f t="shared" si="0"/>
        <v>0</v>
      </c>
      <c r="AS39" s="133">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5">
        <f t="shared" si="14"/>
        <v>2046</v>
      </c>
      <c r="C40" s="695">
        <v>0</v>
      </c>
      <c r="D40" s="695">
        <f>'Area Summary'!$C$44</f>
        <v>4.3366557156605179</v>
      </c>
      <c r="E40" s="64">
        <f t="shared" si="15"/>
        <v>0.65700000000000003</v>
      </c>
      <c r="F40" s="64">
        <f t="shared" si="16"/>
        <v>0</v>
      </c>
      <c r="G40" s="84">
        <f t="shared" si="17"/>
        <v>9.9219546320038727</v>
      </c>
      <c r="H40" s="65">
        <f t="shared" si="1"/>
        <v>1.9701480807027512</v>
      </c>
      <c r="I40" s="64">
        <f t="shared" si="2"/>
        <v>0</v>
      </c>
      <c r="J40" s="84">
        <f t="shared" si="3"/>
        <v>9.9219546320038727</v>
      </c>
      <c r="K40" s="65">
        <f t="shared" si="3"/>
        <v>1.9701480807027512</v>
      </c>
      <c r="L40" s="64">
        <f t="shared" si="4"/>
        <v>0</v>
      </c>
      <c r="M40" s="72">
        <f t="shared" si="5"/>
        <v>0</v>
      </c>
      <c r="N40" s="72">
        <f t="shared" si="6"/>
        <v>0</v>
      </c>
      <c r="O40" s="64">
        <f t="shared" si="18"/>
        <v>0</v>
      </c>
      <c r="P40" s="84">
        <f t="shared" si="7"/>
        <v>0</v>
      </c>
      <c r="Q40" s="84">
        <f t="shared" si="19"/>
        <v>11.892102712706624</v>
      </c>
      <c r="R40" s="73">
        <f t="shared" si="20"/>
        <v>365.72643316710838</v>
      </c>
      <c r="S40" s="694">
        <f>IF(NOT(EXACT(A40, "MP Complete")), INDEX(MP_new!$A$4:$J$9, MATCH(Step1!A40 - 1, MP_new!$A$4:$A$9, 0), 7), S38)</f>
        <v>48544.957141362807</v>
      </c>
      <c r="T40" s="693">
        <f>IF(EXACT($Q$5, "Yes"), IF(NOT(EXACT(A40, "MP Complete")), INDEX(MP_new!$A$4:$J$9, MATCH(Step1!A40, MP_new!$A$4:$A$9, 0), 10), T38), 0)</f>
        <v>9000</v>
      </c>
      <c r="U40" s="6">
        <f>('NPV Summary'!$B$16-S40)+T40</f>
        <v>25864.882970329993</v>
      </c>
      <c r="V40" s="6">
        <f>LOOKUP(B40,Rates!$A$5:$B$168)</f>
        <v>2726.4301574059054</v>
      </c>
      <c r="W40" s="72">
        <f t="shared" si="8"/>
        <v>70.518796948082112</v>
      </c>
      <c r="X40" s="73">
        <f t="shared" si="24"/>
        <v>1170.3172176872856</v>
      </c>
      <c r="Y40" s="20">
        <f t="shared" si="25"/>
        <v>58.626694235375489</v>
      </c>
      <c r="Z40" s="20">
        <f t="shared" si="25"/>
        <v>804.59078452017729</v>
      </c>
      <c r="AA40" s="465">
        <f>IF(SUM(AA$11:AA39)&gt;0,0,IF(SUM(X40-R40)&gt;0,B40,0))</f>
        <v>0</v>
      </c>
      <c r="AB40" s="171">
        <f>ABS(Z40)*1000000/SUM(U$12:U40)</f>
        <v>1271.481403900762</v>
      </c>
      <c r="AC40" s="9"/>
      <c r="AD40" s="9"/>
      <c r="AE40" s="9"/>
      <c r="AF40" s="9"/>
      <c r="AG40" s="9"/>
      <c r="AH40" s="55">
        <f t="shared" si="21"/>
        <v>2035</v>
      </c>
      <c r="AI40" s="8">
        <f>Rates!B33</f>
        <v>1847.7238618278641</v>
      </c>
      <c r="AJ40" s="9"/>
      <c r="AK40" s="55">
        <f t="shared" si="22"/>
        <v>2035</v>
      </c>
      <c r="AL40" s="164">
        <f>Rates!E33</f>
        <v>3.5999999999999997E-2</v>
      </c>
      <c r="AM40" s="8">
        <f>Rates!F33</f>
        <v>1847.7238618278641</v>
      </c>
      <c r="AN40" s="15">
        <f>Rates!G33</f>
        <v>1451.7830342933219</v>
      </c>
      <c r="AO40" s="9"/>
      <c r="AP40" s="16">
        <f t="shared" si="9"/>
        <v>2046</v>
      </c>
      <c r="AQ40" s="77">
        <f t="shared" si="0"/>
        <v>0</v>
      </c>
      <c r="AR40" s="9"/>
      <c r="AS40" s="136">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4">
        <f t="shared" si="14"/>
        <v>2047</v>
      </c>
      <c r="C41" s="695">
        <v>0</v>
      </c>
      <c r="D41" s="695">
        <f>'Area Summary'!$C$44</f>
        <v>4.3366557156605179</v>
      </c>
      <c r="E41" s="66">
        <f t="shared" si="15"/>
        <v>0.65700000000000003</v>
      </c>
      <c r="F41" s="66">
        <f t="shared" si="16"/>
        <v>0</v>
      </c>
      <c r="G41" s="67">
        <f t="shared" si="17"/>
        <v>10.219613270963988</v>
      </c>
      <c r="H41" s="68">
        <f t="shared" si="1"/>
        <v>2.0489540039308611</v>
      </c>
      <c r="I41" s="66">
        <f t="shared" si="2"/>
        <v>0</v>
      </c>
      <c r="J41" s="67">
        <f t="shared" si="3"/>
        <v>10.219613270963988</v>
      </c>
      <c r="K41" s="68">
        <f t="shared" si="3"/>
        <v>2.0489540039308611</v>
      </c>
      <c r="L41" s="66">
        <f t="shared" si="4"/>
        <v>0</v>
      </c>
      <c r="M41" s="70">
        <f t="shared" si="5"/>
        <v>0</v>
      </c>
      <c r="N41" s="70">
        <f t="shared" si="6"/>
        <v>0</v>
      </c>
      <c r="O41" s="66">
        <f t="shared" si="18"/>
        <v>0</v>
      </c>
      <c r="P41" s="67">
        <f t="shared" si="7"/>
        <v>0</v>
      </c>
      <c r="Q41" s="67">
        <f t="shared" si="19"/>
        <v>12.268567274894849</v>
      </c>
      <c r="R41" s="71">
        <f t="shared" si="20"/>
        <v>377.99500044200323</v>
      </c>
      <c r="S41" s="694">
        <f>IF(NOT(EXACT(A41, "MP Complete")), INDEX(MP_new!$A$4:$J$9, MATCH(Step1!A41 - 1, MP_new!$A$4:$A$9, 0), 7), S39)</f>
        <v>48544.957141362807</v>
      </c>
      <c r="T41" s="693">
        <f>IF(EXACT($Q$5, "Yes"), IF(NOT(EXACT(A41, "MP Complete")), INDEX(MP_new!$A$4:$J$9, MATCH(Step1!A41, MP_new!$A$4:$A$9, 0), 10), T39), 0)</f>
        <v>9000</v>
      </c>
      <c r="U41" s="82">
        <f>('NPV Summary'!$B$16-S41)+T41</f>
        <v>25864.882970329993</v>
      </c>
      <c r="V41" s="82">
        <f>LOOKUP(B41,Rates!$A$5:$B$168)</f>
        <v>2824.5816430725181</v>
      </c>
      <c r="W41" s="70">
        <f t="shared" si="8"/>
        <v>73.057473638213082</v>
      </c>
      <c r="X41" s="71">
        <f t="shared" si="24"/>
        <v>1243.3746913254986</v>
      </c>
      <c r="Y41" s="470">
        <f t="shared" si="25"/>
        <v>60.788906363318233</v>
      </c>
      <c r="Z41" s="470">
        <f t="shared" si="25"/>
        <v>865.37969088349541</v>
      </c>
      <c r="AA41" s="466">
        <f>IF(SUM(AA$11:AA40)&gt;0,0,IF(SUM(X41-R41)&gt;0,B41,0))</f>
        <v>0</v>
      </c>
      <c r="AB41" s="471">
        <f>ABS(Z41)*1000000/SUM(U$12:U41)</f>
        <v>1313.8432750020652</v>
      </c>
      <c r="AH41" s="52">
        <f t="shared" si="21"/>
        <v>2036</v>
      </c>
      <c r="AI41" s="53">
        <f>Rates!B34</f>
        <v>1914.2419208536674</v>
      </c>
      <c r="AK41" s="52">
        <f t="shared" si="22"/>
        <v>2036</v>
      </c>
      <c r="AL41" s="165">
        <f>Rates!E34</f>
        <v>3.5999999999999997E-2</v>
      </c>
      <c r="AM41" s="53">
        <f>Rates!F34</f>
        <v>1914.2419208536674</v>
      </c>
      <c r="AN41" s="54">
        <f>Rates!G34</f>
        <v>1504.0472235278814</v>
      </c>
      <c r="AP41" s="48">
        <f t="shared" si="9"/>
        <v>2047</v>
      </c>
      <c r="AQ41" s="78">
        <f t="shared" si="0"/>
        <v>0</v>
      </c>
      <c r="AS41" s="133">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5">
        <f t="shared" si="14"/>
        <v>2048</v>
      </c>
      <c r="C42" s="695">
        <v>0</v>
      </c>
      <c r="D42" s="695">
        <f>'Area Summary'!$C$44</f>
        <v>4.3366557156605179</v>
      </c>
      <c r="E42" s="64">
        <f t="shared" si="15"/>
        <v>0.65700000000000003</v>
      </c>
      <c r="F42" s="64">
        <f t="shared" si="16"/>
        <v>0</v>
      </c>
      <c r="G42" s="84">
        <f t="shared" si="17"/>
        <v>10.526201669092908</v>
      </c>
      <c r="H42" s="65">
        <f t="shared" si="1"/>
        <v>2.1309121640880955</v>
      </c>
      <c r="I42" s="64">
        <f t="shared" si="2"/>
        <v>0</v>
      </c>
      <c r="J42" s="84">
        <f t="shared" si="3"/>
        <v>10.526201669092908</v>
      </c>
      <c r="K42" s="65">
        <f t="shared" si="3"/>
        <v>2.1309121640880955</v>
      </c>
      <c r="L42" s="64">
        <f t="shared" si="4"/>
        <v>0</v>
      </c>
      <c r="M42" s="72">
        <f t="shared" si="5"/>
        <v>0</v>
      </c>
      <c r="N42" s="72">
        <f t="shared" si="6"/>
        <v>0</v>
      </c>
      <c r="O42" s="64">
        <f t="shared" si="18"/>
        <v>0</v>
      </c>
      <c r="P42" s="84">
        <f t="shared" si="7"/>
        <v>0</v>
      </c>
      <c r="Q42" s="84">
        <f t="shared" si="19"/>
        <v>12.657113833181004</v>
      </c>
      <c r="R42" s="73">
        <f t="shared" si="20"/>
        <v>390.65211427518426</v>
      </c>
      <c r="S42" s="694">
        <f>IF(NOT(EXACT(A42, "MP Complete")), INDEX(MP_new!$A$4:$J$9, MATCH(Step1!A42 - 1, MP_new!$A$4:$A$9, 0), 7), S40)</f>
        <v>48544.957141362807</v>
      </c>
      <c r="T42" s="693">
        <f>IF(EXACT($Q$5, "Yes"), IF(NOT(EXACT(A42, "MP Complete")), INDEX(MP_new!$A$4:$J$9, MATCH(Step1!A42, MP_new!$A$4:$A$9, 0), 10), T40), 0)</f>
        <v>9000</v>
      </c>
      <c r="U42" s="6">
        <f>('NPV Summary'!$B$16-S42)+T42</f>
        <v>25864.882970329993</v>
      </c>
      <c r="V42" s="6">
        <f>LOOKUP(B42,Rates!$A$5:$B$168)</f>
        <v>2926.2665822231288</v>
      </c>
      <c r="W42" s="72">
        <f t="shared" si="8"/>
        <v>75.687542689188746</v>
      </c>
      <c r="X42" s="73">
        <f t="shared" si="24"/>
        <v>1319.0622340146874</v>
      </c>
      <c r="Y42" s="20">
        <f t="shared" si="25"/>
        <v>63.030428856007745</v>
      </c>
      <c r="Z42" s="20">
        <f t="shared" si="25"/>
        <v>928.41011973950322</v>
      </c>
      <c r="AA42" s="465">
        <f>IF(SUM(AA$11:AA41)&gt;0,0,IF(SUM(X42-R42)&gt;0,B42,0))</f>
        <v>0</v>
      </c>
      <c r="AB42" s="171">
        <f>ABS(Z42)*1000000/SUM(U$12:U42)</f>
        <v>1356.2784124109617</v>
      </c>
      <c r="AH42" s="55">
        <f t="shared" si="21"/>
        <v>2037</v>
      </c>
      <c r="AI42" s="8">
        <f>Rates!B35</f>
        <v>1983.1546300043995</v>
      </c>
      <c r="AK42" s="55">
        <f t="shared" si="22"/>
        <v>2037</v>
      </c>
      <c r="AL42" s="164">
        <f>Rates!E35</f>
        <v>3.5999999999999997E-2</v>
      </c>
      <c r="AM42" s="8">
        <f>Rates!F35</f>
        <v>1983.1546300043995</v>
      </c>
      <c r="AN42" s="15">
        <f>Rates!G35</f>
        <v>1558.1929235748853</v>
      </c>
      <c r="AP42" s="16">
        <f t="shared" si="9"/>
        <v>2048</v>
      </c>
      <c r="AQ42" s="77">
        <f t="shared" si="0"/>
        <v>0</v>
      </c>
      <c r="AS42" s="136">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4">
        <f t="shared" si="14"/>
        <v>2049</v>
      </c>
      <c r="C43" s="695">
        <v>0</v>
      </c>
      <c r="D43" s="695">
        <f>'Area Summary'!$C$44</f>
        <v>4.3366557156605179</v>
      </c>
      <c r="E43" s="66">
        <f t="shared" si="15"/>
        <v>0.65700000000000003</v>
      </c>
      <c r="F43" s="66">
        <f t="shared" si="16"/>
        <v>0</v>
      </c>
      <c r="G43" s="67">
        <f t="shared" si="17"/>
        <v>10.841987719165697</v>
      </c>
      <c r="H43" s="68">
        <f t="shared" si="1"/>
        <v>2.2161486506516193</v>
      </c>
      <c r="I43" s="66">
        <f t="shared" si="2"/>
        <v>0</v>
      </c>
      <c r="J43" s="67">
        <f t="shared" si="3"/>
        <v>10.841987719165697</v>
      </c>
      <c r="K43" s="68">
        <f t="shared" si="3"/>
        <v>2.2161486506516193</v>
      </c>
      <c r="L43" s="66">
        <f t="shared" si="4"/>
        <v>0</v>
      </c>
      <c r="M43" s="70">
        <f t="shared" si="5"/>
        <v>0</v>
      </c>
      <c r="N43" s="70">
        <f t="shared" si="6"/>
        <v>0</v>
      </c>
      <c r="O43" s="66">
        <f t="shared" si="18"/>
        <v>0</v>
      </c>
      <c r="P43" s="67">
        <f t="shared" si="7"/>
        <v>0</v>
      </c>
      <c r="Q43" s="67">
        <f t="shared" si="19"/>
        <v>13.058136369817316</v>
      </c>
      <c r="R43" s="71">
        <f t="shared" si="20"/>
        <v>403.71025064500157</v>
      </c>
      <c r="S43" s="694">
        <f>IF(NOT(EXACT(A43, "MP Complete")), INDEX(MP_new!$A$4:$J$9, MATCH(Step1!A43 - 1, MP_new!$A$4:$A$9, 0), 7), S41)</f>
        <v>48544.957141362807</v>
      </c>
      <c r="T43" s="693">
        <f>IF(EXACT($Q$5, "Yes"), IF(NOT(EXACT(A43, "MP Complete")), INDEX(MP_new!$A$4:$J$9, MATCH(Step1!A43, MP_new!$A$4:$A$9, 0), 10), T41), 0)</f>
        <v>9000</v>
      </c>
      <c r="U43" s="82">
        <f>('NPV Summary'!$B$16-S43)+T43</f>
        <v>25864.882970329993</v>
      </c>
      <c r="V43" s="82">
        <f>LOOKUP(B43,Rates!$A$5:$B$168)</f>
        <v>3031.6121791831615</v>
      </c>
      <c r="W43" s="70">
        <f t="shared" si="8"/>
        <v>78.412294225999545</v>
      </c>
      <c r="X43" s="71">
        <f t="shared" si="24"/>
        <v>1397.4745282406871</v>
      </c>
      <c r="Y43" s="470">
        <f t="shared" si="25"/>
        <v>65.354157856182226</v>
      </c>
      <c r="Z43" s="470">
        <f t="shared" si="25"/>
        <v>993.76427759568548</v>
      </c>
      <c r="AA43" s="466">
        <f>IF(SUM(AA$11:AA42)&gt;0,0,IF(SUM(X43-R43)&gt;0,B43,0))</f>
        <v>0</v>
      </c>
      <c r="AB43" s="471">
        <f>ABS(Z43)*1000000/SUM(U$12:U43)</f>
        <v>1398.8945332372427</v>
      </c>
      <c r="AH43" s="52">
        <f t="shared" si="21"/>
        <v>2038</v>
      </c>
      <c r="AI43" s="53">
        <f>Rates!B36</f>
        <v>2054.5481966845578</v>
      </c>
      <c r="AK43" s="52">
        <f t="shared" si="22"/>
        <v>2038</v>
      </c>
      <c r="AL43" s="165">
        <f>Rates!E36</f>
        <v>3.5999999999999997E-2</v>
      </c>
      <c r="AM43" s="53">
        <f>Rates!F36</f>
        <v>2054.5481966845578</v>
      </c>
      <c r="AN43" s="54">
        <f>Rates!G36</f>
        <v>1614.2878688235812</v>
      </c>
      <c r="AP43" s="48">
        <f t="shared" si="9"/>
        <v>2049</v>
      </c>
      <c r="AQ43" s="78">
        <f t="shared" si="0"/>
        <v>0</v>
      </c>
      <c r="AS43" s="133">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5">
        <f t="shared" si="14"/>
        <v>2050</v>
      </c>
      <c r="C44" s="695">
        <v>0</v>
      </c>
      <c r="D44" s="695">
        <f>'Area Summary'!$C$44</f>
        <v>4.3366557156605179</v>
      </c>
      <c r="E44" s="64">
        <f t="shared" si="15"/>
        <v>0.65700000000000003</v>
      </c>
      <c r="F44" s="64">
        <f t="shared" si="16"/>
        <v>0</v>
      </c>
      <c r="G44" s="84">
        <f t="shared" si="17"/>
        <v>11.167247350740666</v>
      </c>
      <c r="H44" s="65">
        <f t="shared" si="1"/>
        <v>2.3047945966776844</v>
      </c>
      <c r="I44" s="64">
        <f t="shared" si="2"/>
        <v>0</v>
      </c>
      <c r="J44" s="84">
        <f t="shared" si="3"/>
        <v>11.167247350740666</v>
      </c>
      <c r="K44" s="65">
        <f t="shared" si="3"/>
        <v>2.3047945966776844</v>
      </c>
      <c r="L44" s="64">
        <f t="shared" si="4"/>
        <v>0</v>
      </c>
      <c r="M44" s="72">
        <f t="shared" si="5"/>
        <v>0</v>
      </c>
      <c r="N44" s="72">
        <f t="shared" si="6"/>
        <v>0</v>
      </c>
      <c r="O44" s="64">
        <f t="shared" si="18"/>
        <v>0</v>
      </c>
      <c r="P44" s="84">
        <f t="shared" si="7"/>
        <v>0</v>
      </c>
      <c r="Q44" s="84">
        <f t="shared" si="19"/>
        <v>13.472041947418351</v>
      </c>
      <c r="R44" s="73">
        <f t="shared" si="20"/>
        <v>417.18229259241991</v>
      </c>
      <c r="S44" s="694">
        <f>IF(NOT(EXACT(A44, "MP Complete")), INDEX(MP_new!$A$4:$J$9, MATCH(Step1!A44 - 1, MP_new!$A$4:$A$9, 0), 7), S42)</f>
        <v>48544.957141362807</v>
      </c>
      <c r="T44" s="693">
        <f>IF(EXACT($Q$5, "Yes"), IF(NOT(EXACT(A44, "MP Complete")), INDEX(MP_new!$A$4:$J$9, MATCH(Step1!A44, MP_new!$A$4:$A$9, 0), 10), T42), 0)</f>
        <v>9000</v>
      </c>
      <c r="U44" s="6">
        <f>('NPV Summary'!$B$16-S44)+T44</f>
        <v>25864.882970329993</v>
      </c>
      <c r="V44" s="6">
        <f>LOOKUP(B44,Rates!$A$5:$B$168)</f>
        <v>3140.7502176337553</v>
      </c>
      <c r="W44" s="72">
        <f t="shared" si="8"/>
        <v>81.23513681813553</v>
      </c>
      <c r="X44" s="73">
        <f t="shared" si="24"/>
        <v>1478.7096650588226</v>
      </c>
      <c r="Y44" s="20">
        <f t="shared" si="25"/>
        <v>67.763094870717183</v>
      </c>
      <c r="Z44" s="20">
        <f t="shared" si="25"/>
        <v>1061.5273724664025</v>
      </c>
      <c r="AA44" s="468">
        <f>IF(SUM(AA$11:AA43)&gt;0,0,IF(SUM(X44-R44)&gt;0,B44,0))</f>
        <v>0</v>
      </c>
      <c r="AB44" s="171">
        <f>ABS(Z44)*1000000/SUM(U$12:U44)</f>
        <v>1441.788294797843</v>
      </c>
      <c r="AH44" s="55">
        <f t="shared" si="21"/>
        <v>2039</v>
      </c>
      <c r="AI44" s="8">
        <f>Rates!B37</f>
        <v>2128.511931765202</v>
      </c>
      <c r="AK44" s="55">
        <f t="shared" si="22"/>
        <v>2039</v>
      </c>
      <c r="AL44" s="164">
        <f>Rates!E37</f>
        <v>3.5999999999999997E-2</v>
      </c>
      <c r="AM44" s="8">
        <f>Rates!F37</f>
        <v>2128.511931765202</v>
      </c>
      <c r="AN44" s="15">
        <f>Rates!G37</f>
        <v>1672.4022321012301</v>
      </c>
      <c r="AP44" s="16">
        <f t="shared" si="9"/>
        <v>2050</v>
      </c>
      <c r="AQ44" s="77">
        <f t="shared" si="0"/>
        <v>0</v>
      </c>
      <c r="AS44" s="136">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4">
        <f t="shared" si="14"/>
        <v>2051</v>
      </c>
      <c r="C45" s="695">
        <v>0</v>
      </c>
      <c r="D45" s="695">
        <f>'Area Summary'!$C$44</f>
        <v>4.3366557156605179</v>
      </c>
      <c r="E45" s="66">
        <f t="shared" si="15"/>
        <v>0.65700000000000003</v>
      </c>
      <c r="F45" s="66">
        <f t="shared" si="16"/>
        <v>0</v>
      </c>
      <c r="G45" s="67">
        <f t="shared" si="17"/>
        <v>11.502264771262887</v>
      </c>
      <c r="H45" s="68">
        <f t="shared" si="1"/>
        <v>2.3969863805447917</v>
      </c>
      <c r="I45" s="66">
        <f t="shared" si="2"/>
        <v>0</v>
      </c>
      <c r="J45" s="67">
        <f t="shared" si="3"/>
        <v>11.502264771262887</v>
      </c>
      <c r="K45" s="68">
        <f t="shared" si="3"/>
        <v>2.3969863805447917</v>
      </c>
      <c r="L45" s="66">
        <f t="shared" si="4"/>
        <v>0</v>
      </c>
      <c r="M45" s="70">
        <f t="shared" si="5"/>
        <v>0</v>
      </c>
      <c r="N45" s="70">
        <f t="shared" si="6"/>
        <v>0</v>
      </c>
      <c r="O45" s="66">
        <f t="shared" si="18"/>
        <v>0</v>
      </c>
      <c r="P45" s="67">
        <f t="shared" si="7"/>
        <v>0</v>
      </c>
      <c r="Q45" s="67">
        <f t="shared" si="19"/>
        <v>13.899251151807679</v>
      </c>
      <c r="R45" s="71">
        <f t="shared" si="20"/>
        <v>431.08154374422759</v>
      </c>
      <c r="S45" s="694">
        <f>IF(NOT(EXACT(A45, "MP Complete")), INDEX(MP_new!$A$4:$J$9, MATCH(Step1!A45 - 1, MP_new!$A$4:$A$9, 0), 7), S43)</f>
        <v>48544.957141362807</v>
      </c>
      <c r="T45" s="693">
        <f>IF(EXACT($Q$5, "Yes"), IF(NOT(EXACT(A45, "MP Complete")), INDEX(MP_new!$A$4:$J$9, MATCH(Step1!A45, MP_new!$A$4:$A$9, 0), 10), T43), 0)</f>
        <v>9000</v>
      </c>
      <c r="U45" s="82">
        <f>('NPV Summary'!$B$16-S45)+T45</f>
        <v>25864.882970329993</v>
      </c>
      <c r="V45" s="82">
        <f>LOOKUP(B45,Rates!$A$5:$B$168)</f>
        <v>3253.8172254685705</v>
      </c>
      <c r="W45" s="70">
        <f t="shared" si="8"/>
        <v>84.159601743588411</v>
      </c>
      <c r="X45" s="71">
        <f t="shared" si="24"/>
        <v>1562.8692668024109</v>
      </c>
      <c r="Y45" s="470">
        <f t="shared" si="25"/>
        <v>70.260350591780735</v>
      </c>
      <c r="Z45" s="470">
        <f t="shared" si="25"/>
        <v>1131.7877230581835</v>
      </c>
      <c r="AA45" s="466">
        <f>IF(SUM(AA$11:AA44)&gt;0,0,IF(SUM(X45-R45)&gt;0,B45,0))</f>
        <v>0</v>
      </c>
      <c r="AB45" s="471">
        <f>ABS(Z45)*1000000/SUM(U$12:U45)</f>
        <v>1485.0473146160816</v>
      </c>
      <c r="AH45" s="52">
        <f t="shared" si="21"/>
        <v>2040</v>
      </c>
      <c r="AI45" s="53">
        <f>Rates!B38</f>
        <v>2205.1383613087492</v>
      </c>
      <c r="AK45" s="52">
        <f t="shared" si="22"/>
        <v>2040</v>
      </c>
      <c r="AL45" s="165">
        <f>Rates!E38</f>
        <v>3.5999999999999997E-2</v>
      </c>
      <c r="AM45" s="53">
        <f>Rates!F38</f>
        <v>2205.1383613087492</v>
      </c>
      <c r="AN45" s="54">
        <f>Rates!G38</f>
        <v>1732.6087124568744</v>
      </c>
      <c r="AP45" s="48">
        <f t="shared" si="9"/>
        <v>2051</v>
      </c>
      <c r="AQ45" s="78">
        <f t="shared" si="0"/>
        <v>0</v>
      </c>
      <c r="AS45" s="133">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5">
        <f t="shared" si="14"/>
        <v>2052</v>
      </c>
      <c r="C46" s="695">
        <v>0</v>
      </c>
      <c r="D46" s="695">
        <f>'Area Summary'!$C$44</f>
        <v>4.3366557156605179</v>
      </c>
      <c r="E46" s="64">
        <f t="shared" si="15"/>
        <v>0.65700000000000003</v>
      </c>
      <c r="F46" s="64">
        <f t="shared" si="16"/>
        <v>0</v>
      </c>
      <c r="G46" s="84">
        <f t="shared" si="17"/>
        <v>11.847332714400771</v>
      </c>
      <c r="H46" s="65">
        <f t="shared" si="1"/>
        <v>2.4928658357665836</v>
      </c>
      <c r="I46" s="64">
        <f t="shared" si="2"/>
        <v>0</v>
      </c>
      <c r="J46" s="84">
        <f t="shared" si="3"/>
        <v>11.847332714400771</v>
      </c>
      <c r="K46" s="65">
        <f t="shared" si="3"/>
        <v>2.4928658357665836</v>
      </c>
      <c r="L46" s="64">
        <f t="shared" si="4"/>
        <v>0</v>
      </c>
      <c r="M46" s="72">
        <f t="shared" si="5"/>
        <v>0</v>
      </c>
      <c r="N46" s="72">
        <f t="shared" si="6"/>
        <v>0</v>
      </c>
      <c r="O46" s="64">
        <f t="shared" si="18"/>
        <v>0</v>
      </c>
      <c r="P46" s="84">
        <f t="shared" si="7"/>
        <v>0</v>
      </c>
      <c r="Q46" s="84">
        <f t="shared" si="19"/>
        <v>14.340198550167354</v>
      </c>
      <c r="R46" s="73">
        <f t="shared" si="20"/>
        <v>445.42174229439496</v>
      </c>
      <c r="S46" s="694">
        <f>IF(NOT(EXACT(A46, "MP Complete")), INDEX(MP_new!$A$4:$J$9, MATCH(Step1!A46 - 1, MP_new!$A$4:$A$9, 0), 7), S44)</f>
        <v>48544.957141362807</v>
      </c>
      <c r="T46" s="693">
        <f>IF(EXACT($Q$5, "Yes"), IF(NOT(EXACT(A46, "MP Complete")), INDEX(MP_new!$A$4:$J$9, MATCH(Step1!A46, MP_new!$A$4:$A$9, 0), 10), T44), 0)</f>
        <v>9000</v>
      </c>
      <c r="U46" s="6">
        <f>('NPV Summary'!$B$16-S46)+T46</f>
        <v>25864.882970329993</v>
      </c>
      <c r="V46" s="6">
        <f>LOOKUP(B46,Rates!$A$5:$B$168)</f>
        <v>3370.9546455854393</v>
      </c>
      <c r="W46" s="72">
        <f t="shared" si="8"/>
        <v>87.189347406357598</v>
      </c>
      <c r="X46" s="73">
        <f t="shared" si="24"/>
        <v>1650.0586142087686</v>
      </c>
      <c r="Y46" s="20">
        <f t="shared" si="25"/>
        <v>72.84914885619024</v>
      </c>
      <c r="Z46" s="20">
        <f t="shared" si="25"/>
        <v>1204.6368719143736</v>
      </c>
      <c r="AA46" s="465">
        <f>IF(SUM(AA$11:AA45)&gt;0,0,IF(SUM(X46-R46)&gt;0,B46,0))</f>
        <v>0</v>
      </c>
      <c r="AB46" s="171">
        <f>ABS(Z46)*1000000/SUM(U$12:U46)</f>
        <v>1528.7517976189592</v>
      </c>
      <c r="AH46" s="55">
        <f t="shared" si="21"/>
        <v>2041</v>
      </c>
      <c r="AI46" s="8">
        <f>Rates!B39</f>
        <v>2284.5233423158643</v>
      </c>
      <c r="AK46" s="55">
        <f t="shared" si="22"/>
        <v>2041</v>
      </c>
      <c r="AL46" s="164">
        <f>Rates!E39</f>
        <v>3.5999999999999997E-2</v>
      </c>
      <c r="AM46" s="8">
        <f>Rates!F39</f>
        <v>2284.5233423158643</v>
      </c>
      <c r="AN46" s="15">
        <f>Rates!G39</f>
        <v>1794.982626105322</v>
      </c>
      <c r="AP46" s="16">
        <f t="shared" si="9"/>
        <v>2052</v>
      </c>
      <c r="AQ46" s="77">
        <f t="shared" si="0"/>
        <v>0</v>
      </c>
      <c r="AS46" s="136">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4">
        <f t="shared" si="14"/>
        <v>2053</v>
      </c>
      <c r="C47" s="695">
        <v>0</v>
      </c>
      <c r="D47" s="695">
        <f>'Area Summary'!$C$44</f>
        <v>4.3366557156605179</v>
      </c>
      <c r="E47" s="66">
        <f t="shared" si="15"/>
        <v>0.65700000000000003</v>
      </c>
      <c r="F47" s="66">
        <f t="shared" si="16"/>
        <v>0</v>
      </c>
      <c r="G47" s="67">
        <f t="shared" si="17"/>
        <v>12.202752695832796</v>
      </c>
      <c r="H47" s="68">
        <f t="shared" si="1"/>
        <v>2.5925804691972472</v>
      </c>
      <c r="I47" s="66">
        <f t="shared" si="2"/>
        <v>0</v>
      </c>
      <c r="J47" s="67">
        <f t="shared" si="3"/>
        <v>12.202752695832796</v>
      </c>
      <c r="K47" s="68">
        <f t="shared" si="3"/>
        <v>2.5925804691972472</v>
      </c>
      <c r="L47" s="66">
        <f t="shared" si="4"/>
        <v>0</v>
      </c>
      <c r="M47" s="70">
        <f t="shared" si="5"/>
        <v>0</v>
      </c>
      <c r="N47" s="70">
        <f t="shared" si="6"/>
        <v>0</v>
      </c>
      <c r="O47" s="66">
        <f t="shared" si="18"/>
        <v>0</v>
      </c>
      <c r="P47" s="67">
        <f t="shared" si="7"/>
        <v>0</v>
      </c>
      <c r="Q47" s="67">
        <f t="shared" si="19"/>
        <v>14.795333165030044</v>
      </c>
      <c r="R47" s="71">
        <f t="shared" si="20"/>
        <v>460.21707545942502</v>
      </c>
      <c r="S47" s="694">
        <f>IF(NOT(EXACT(A47, "MP Complete")), INDEX(MP_new!$A$4:$J$9, MATCH(Step1!A47 - 1, MP_new!$A$4:$A$9, 0), 7), S45)</f>
        <v>48544.957141362807</v>
      </c>
      <c r="T47" s="693">
        <f>IF(EXACT($Q$5, "Yes"), IF(NOT(EXACT(A47, "MP Complete")), INDEX(MP_new!$A$4:$J$9, MATCH(Step1!A47, MP_new!$A$4:$A$9, 0), 10), T45), 0)</f>
        <v>9000</v>
      </c>
      <c r="U47" s="82">
        <f>('NPV Summary'!$B$16-S47)+T47</f>
        <v>25864.882970329993</v>
      </c>
      <c r="V47" s="82">
        <f>LOOKUP(B47,Rates!$A$5:$B$168)</f>
        <v>3492.3090128265153</v>
      </c>
      <c r="W47" s="70">
        <f t="shared" si="8"/>
        <v>90.328163912986483</v>
      </c>
      <c r="X47" s="71">
        <f t="shared" si="24"/>
        <v>1740.386778121755</v>
      </c>
      <c r="Y47" s="470">
        <f t="shared" si="25"/>
        <v>75.532830747956439</v>
      </c>
      <c r="Z47" s="470">
        <f t="shared" si="25"/>
        <v>1280.1697026623301</v>
      </c>
      <c r="AA47" s="469">
        <f>IF(SUM(AA$11:AA46)&gt;0,0,IF(SUM(X47-R47)&gt;0,B47,0))</f>
        <v>0</v>
      </c>
      <c r="AB47" s="471">
        <f>ABS(Z47)*1000000/SUM(U$12:U47)</f>
        <v>1572.9758580934199</v>
      </c>
      <c r="AC47">
        <f>R47*1000000/SUM(U$12:U47)</f>
        <v>565.47998884408753</v>
      </c>
      <c r="AH47" s="52">
        <f t="shared" si="21"/>
        <v>2042</v>
      </c>
      <c r="AI47" s="53">
        <f>Rates!B40</f>
        <v>2366.7661826392355</v>
      </c>
      <c r="AK47" s="52">
        <f t="shared" si="22"/>
        <v>2042</v>
      </c>
      <c r="AL47" s="165">
        <f>Rates!E40</f>
        <v>3.5999999999999997E-2</v>
      </c>
      <c r="AM47" s="53">
        <f>Rates!F40</f>
        <v>2366.7661826392355</v>
      </c>
      <c r="AN47" s="54">
        <f>Rates!G40</f>
        <v>1859.6020006451135</v>
      </c>
      <c r="AP47" s="48">
        <f t="shared" si="9"/>
        <v>2053</v>
      </c>
      <c r="AQ47" s="78">
        <f t="shared" si="0"/>
        <v>0</v>
      </c>
      <c r="AS47" s="133">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5">
        <f t="shared" si="14"/>
        <v>2054</v>
      </c>
      <c r="C48" s="695">
        <v>0</v>
      </c>
      <c r="D48" s="695">
        <f>'Area Summary'!$C$44</f>
        <v>4.3366557156605179</v>
      </c>
      <c r="E48" s="64">
        <f t="shared" si="15"/>
        <v>0.65700000000000003</v>
      </c>
      <c r="F48" s="64">
        <f t="shared" si="16"/>
        <v>0</v>
      </c>
      <c r="G48" s="84">
        <f t="shared" si="17"/>
        <v>12.56883527670778</v>
      </c>
      <c r="H48" s="65">
        <f t="shared" si="1"/>
        <v>2.6962836879651366</v>
      </c>
      <c r="I48" s="64">
        <f t="shared" si="2"/>
        <v>0</v>
      </c>
      <c r="J48" s="84">
        <f t="shared" si="3"/>
        <v>12.56883527670778</v>
      </c>
      <c r="K48" s="65">
        <f t="shared" si="3"/>
        <v>2.6962836879651366</v>
      </c>
      <c r="L48" s="64">
        <f t="shared" si="4"/>
        <v>0</v>
      </c>
      <c r="M48" s="72">
        <f t="shared" si="5"/>
        <v>0</v>
      </c>
      <c r="N48" s="72">
        <f t="shared" si="6"/>
        <v>0</v>
      </c>
      <c r="O48" s="64">
        <f t="shared" si="18"/>
        <v>0</v>
      </c>
      <c r="P48" s="84">
        <f t="shared" si="7"/>
        <v>0</v>
      </c>
      <c r="Q48" s="84">
        <f t="shared" si="19"/>
        <v>15.265118964672917</v>
      </c>
      <c r="R48" s="73">
        <f t="shared" si="20"/>
        <v>475.48219442409794</v>
      </c>
      <c r="S48" s="694">
        <f>IF(NOT(EXACT(A48, "MP Complete")), INDEX(MP_new!$A$4:$J$9, MATCH(Step1!A48 - 1, MP_new!$A$4:$A$9, 0), 7), S46)</f>
        <v>48544.957141362807</v>
      </c>
      <c r="T48" s="693">
        <f>IF(EXACT($Q$5, "Yes"), IF(NOT(EXACT(A48, "MP Complete")), INDEX(MP_new!$A$4:$J$9, MATCH(Step1!A48, MP_new!$A$4:$A$9, 0), 10), T46), 0)</f>
        <v>9000</v>
      </c>
      <c r="U48" s="6">
        <f>('NPV Summary'!$B$16-S48)+T48</f>
        <v>25864.882970329993</v>
      </c>
      <c r="V48" s="6">
        <f>LOOKUP(B48,Rates!$A$5:$B$168)</f>
        <v>3618.03213728827</v>
      </c>
      <c r="W48" s="72">
        <f t="shared" si="8"/>
        <v>93.579977813854001</v>
      </c>
      <c r="X48" s="73">
        <f t="shared" si="24"/>
        <v>1833.9667559356089</v>
      </c>
      <c r="Y48" s="20">
        <f t="shared" si="25"/>
        <v>78.314858849181078</v>
      </c>
      <c r="Z48" s="20">
        <f t="shared" si="25"/>
        <v>1358.4845615115109</v>
      </c>
      <c r="AA48" s="468">
        <f>IF(SUM(AA$11:AA47)&gt;0,0,IF(SUM(X48-R48)&gt;0,B48,0))</f>
        <v>0</v>
      </c>
      <c r="AB48" s="171">
        <f>ABS(Z48)*1000000/SUM(U$12:U48)</f>
        <v>1617.7886023922749</v>
      </c>
      <c r="AH48" s="55">
        <f t="shared" si="21"/>
        <v>2043</v>
      </c>
      <c r="AI48" s="8">
        <f>Rates!B41</f>
        <v>2451.9697652142481</v>
      </c>
      <c r="AK48" s="55">
        <f t="shared" si="22"/>
        <v>2043</v>
      </c>
      <c r="AL48" s="164">
        <f>Rates!E41</f>
        <v>3.5999999999999997E-2</v>
      </c>
      <c r="AM48" s="8">
        <f>Rates!F41</f>
        <v>2451.9697652142481</v>
      </c>
      <c r="AN48" s="15">
        <f>Rates!G41</f>
        <v>1926.5476726683378</v>
      </c>
      <c r="AP48" s="16">
        <f t="shared" si="9"/>
        <v>2054</v>
      </c>
      <c r="AQ48" s="77">
        <f t="shared" si="0"/>
        <v>0</v>
      </c>
      <c r="AS48" s="136">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4">
        <f t="shared" si="14"/>
        <v>2055</v>
      </c>
      <c r="C49" s="695">
        <v>0</v>
      </c>
      <c r="D49" s="695">
        <f>'Area Summary'!$C$44</f>
        <v>4.3366557156605179</v>
      </c>
      <c r="E49" s="66">
        <f t="shared" si="15"/>
        <v>0.65700000000000003</v>
      </c>
      <c r="F49" s="66">
        <f t="shared" si="16"/>
        <v>0</v>
      </c>
      <c r="G49" s="67">
        <f t="shared" si="17"/>
        <v>12.945900335009011</v>
      </c>
      <c r="H49" s="68">
        <f t="shared" si="1"/>
        <v>2.8041350354837431</v>
      </c>
      <c r="I49" s="66">
        <f t="shared" si="2"/>
        <v>0</v>
      </c>
      <c r="J49" s="67">
        <f t="shared" si="3"/>
        <v>12.945900335009011</v>
      </c>
      <c r="K49" s="68">
        <f t="shared" si="3"/>
        <v>2.8041350354837431</v>
      </c>
      <c r="L49" s="66">
        <f t="shared" si="4"/>
        <v>0</v>
      </c>
      <c r="M49" s="70">
        <f t="shared" si="5"/>
        <v>0</v>
      </c>
      <c r="N49" s="70">
        <f t="shared" si="6"/>
        <v>0</v>
      </c>
      <c r="O49" s="66">
        <f t="shared" si="18"/>
        <v>0</v>
      </c>
      <c r="P49" s="67">
        <f t="shared" si="7"/>
        <v>0</v>
      </c>
      <c r="Q49" s="67">
        <f t="shared" si="19"/>
        <v>15.750035370492753</v>
      </c>
      <c r="R49" s="71">
        <f t="shared" si="20"/>
        <v>491.23222979459069</v>
      </c>
      <c r="S49" s="694">
        <f>IF(NOT(EXACT(A49, "MP Complete")), INDEX(MP_new!$A$4:$J$9, MATCH(Step1!A49 - 1, MP_new!$A$4:$A$9, 0), 7), S47)</f>
        <v>48544.957141362807</v>
      </c>
      <c r="T49" s="693">
        <f>IF(EXACT($Q$5, "Yes"), IF(NOT(EXACT(A49, "MP Complete")), INDEX(MP_new!$A$4:$J$9, MATCH(Step1!A49, MP_new!$A$4:$A$9, 0), 10), T47), 0)</f>
        <v>9000</v>
      </c>
      <c r="U49" s="82">
        <f>('NPV Summary'!$B$16-S49)+T49</f>
        <v>25864.882970329993</v>
      </c>
      <c r="V49" s="82">
        <f>LOOKUP(B49,Rates!$A$5:$B$168)</f>
        <v>3748.2812942306477</v>
      </c>
      <c r="W49" s="70">
        <f t="shared" si="8"/>
        <v>96.948857015152754</v>
      </c>
      <c r="X49" s="71">
        <f t="shared" si="24"/>
        <v>1930.9156129507617</v>
      </c>
      <c r="Y49" s="470">
        <f t="shared" si="25"/>
        <v>81.198821644660001</v>
      </c>
      <c r="Z49" s="470">
        <f t="shared" si="25"/>
        <v>1439.683383156171</v>
      </c>
      <c r="AA49" s="466">
        <f>IF(SUM(AA$11:AA48)&gt;0,0,IF(SUM(X49-R49)&gt;0,B49,0))</f>
        <v>0</v>
      </c>
      <c r="AB49" s="471">
        <f>ABS(Z49)*1000000/SUM(U$12:U49)</f>
        <v>1663.2550226114854</v>
      </c>
      <c r="AH49" s="52">
        <f t="shared" si="21"/>
        <v>2044</v>
      </c>
      <c r="AI49" s="53">
        <f>Rates!B42</f>
        <v>2540.2406767619609</v>
      </c>
      <c r="AK49" s="52">
        <f t="shared" si="22"/>
        <v>2044</v>
      </c>
      <c r="AL49" s="165">
        <f>Rates!E42</f>
        <v>3.5999999999999997E-2</v>
      </c>
      <c r="AM49" s="53">
        <f>Rates!F42</f>
        <v>2540.2406767619609</v>
      </c>
      <c r="AN49" s="54">
        <f>Rates!G42</f>
        <v>1995.9033888843981</v>
      </c>
      <c r="AP49" s="48">
        <f t="shared" si="9"/>
        <v>2055</v>
      </c>
      <c r="AQ49" s="78">
        <f t="shared" si="0"/>
        <v>0</v>
      </c>
      <c r="AS49" s="133">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5">
        <f>B49+1</f>
        <v>2056</v>
      </c>
      <c r="C50" s="695">
        <v>0</v>
      </c>
      <c r="D50" s="695">
        <f>'Area Summary'!$C$44</f>
        <v>4.3366557156605179</v>
      </c>
      <c r="E50" s="64">
        <f t="shared" si="15"/>
        <v>0.65700000000000003</v>
      </c>
      <c r="F50" s="64">
        <f t="shared" si="16"/>
        <v>0</v>
      </c>
      <c r="G50" s="84">
        <f t="shared" si="17"/>
        <v>13.334277345059281</v>
      </c>
      <c r="H50" s="65">
        <f t="shared" si="1"/>
        <v>2.916300436903092</v>
      </c>
      <c r="I50" s="64">
        <f t="shared" si="2"/>
        <v>0</v>
      </c>
      <c r="J50" s="84">
        <f t="shared" si="3"/>
        <v>13.334277345059281</v>
      </c>
      <c r="K50" s="65">
        <f t="shared" si="3"/>
        <v>2.916300436903092</v>
      </c>
      <c r="L50" s="64">
        <f t="shared" si="4"/>
        <v>0</v>
      </c>
      <c r="M50" s="72">
        <f t="shared" si="5"/>
        <v>0</v>
      </c>
      <c r="N50" s="72">
        <f t="shared" si="6"/>
        <v>0</v>
      </c>
      <c r="O50" s="64">
        <f>IF($L$5="Yes", IF( U50&gt;U49, (U50-U49)*$M$5/1000000,0),0)</f>
        <v>0</v>
      </c>
      <c r="P50" s="84">
        <f t="shared" si="7"/>
        <v>0</v>
      </c>
      <c r="Q50" s="84">
        <f t="shared" si="19"/>
        <v>16.250577781962374</v>
      </c>
      <c r="R50" s="73">
        <f>R49+Q50</f>
        <v>507.48280757655306</v>
      </c>
      <c r="S50" s="694">
        <f>IF(NOT(EXACT(A50, "MP Complete")), INDEX(MP_new!$A$4:$J$9, MATCH(Step1!A50 - 1, MP_new!$A$4:$A$9, 0), 7), S48)</f>
        <v>48544.957141362807</v>
      </c>
      <c r="T50" s="693">
        <f>IF(EXACT($Q$5, "Yes"), IF(NOT(EXACT(A50, "MP Complete")), INDEX(MP_new!$A$4:$J$9, MATCH(Step1!A50, MP_new!$A$4:$A$9, 0), 10), T48), 0)</f>
        <v>9000</v>
      </c>
      <c r="U50" s="6">
        <f>('NPV Summary'!$B$16-S50)+T50</f>
        <v>25864.882970329993</v>
      </c>
      <c r="V50" s="6">
        <f>LOOKUP(B50,Rates!$A$5:$B$168)</f>
        <v>3883.2194208229512</v>
      </c>
      <c r="W50" s="72">
        <f t="shared" si="8"/>
        <v>100.43901586769825</v>
      </c>
      <c r="X50" s="73">
        <f>X49+W50</f>
        <v>2031.35462881846</v>
      </c>
      <c r="Y50" s="20">
        <f t="shared" si="25"/>
        <v>84.188438085735868</v>
      </c>
      <c r="Z50" s="20">
        <f t="shared" si="25"/>
        <v>1523.8718212419069</v>
      </c>
      <c r="AA50" s="465">
        <f>IF(SUM(AA$11:AA49)&gt;0,0,IF(SUM(X50-R50)&gt;0,B50,0))</f>
        <v>0</v>
      </c>
      <c r="AB50" s="171">
        <f>ABS(Z50)*1000000/SUM(U$12:U50)</f>
        <v>1709.4367398094341</v>
      </c>
      <c r="AH50" s="55">
        <f>AH49+1</f>
        <v>2045</v>
      </c>
      <c r="AI50" s="8">
        <f>Rates!B43</f>
        <v>2631.6893411253914</v>
      </c>
      <c r="AK50" s="55">
        <f>AK49+1</f>
        <v>2045</v>
      </c>
      <c r="AL50" s="164">
        <f>Rates!E43</f>
        <v>3.5999999999999997E-2</v>
      </c>
      <c r="AM50" s="8">
        <f>Rates!F43</f>
        <v>2631.6893411253914</v>
      </c>
      <c r="AN50" s="15">
        <f>Rates!G43</f>
        <v>2067.7559108842365</v>
      </c>
      <c r="AP50" s="16">
        <f t="shared" si="9"/>
        <v>2056</v>
      </c>
      <c r="AQ50" s="77">
        <f t="shared" si="0"/>
        <v>0</v>
      </c>
      <c r="AS50" s="136">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4">
        <f t="shared" si="14"/>
        <v>2057</v>
      </c>
      <c r="C51" s="695">
        <v>0</v>
      </c>
      <c r="D51" s="695">
        <f>'Area Summary'!$C$44</f>
        <v>4.3366557156605179</v>
      </c>
      <c r="E51" s="66">
        <f t="shared" si="15"/>
        <v>0.65700000000000003</v>
      </c>
      <c r="F51" s="66">
        <f t="shared" si="16"/>
        <v>0</v>
      </c>
      <c r="G51" s="67">
        <f t="shared" si="17"/>
        <v>13.734305665411062</v>
      </c>
      <c r="H51" s="68">
        <f t="shared" si="1"/>
        <v>3.0329524543792159</v>
      </c>
      <c r="I51" s="66">
        <f t="shared" si="2"/>
        <v>0</v>
      </c>
      <c r="J51" s="67">
        <f t="shared" si="3"/>
        <v>13.734305665411062</v>
      </c>
      <c r="K51" s="68">
        <f t="shared" si="3"/>
        <v>3.0329524543792159</v>
      </c>
      <c r="L51" s="66">
        <f t="shared" si="4"/>
        <v>0</v>
      </c>
      <c r="M51" s="70">
        <f t="shared" si="5"/>
        <v>0</v>
      </c>
      <c r="N51" s="70">
        <f t="shared" si="6"/>
        <v>0</v>
      </c>
      <c r="O51" s="66">
        <f t="shared" si="18"/>
        <v>0</v>
      </c>
      <c r="P51" s="67">
        <f t="shared" si="7"/>
        <v>0</v>
      </c>
      <c r="Q51" s="67">
        <f t="shared" si="19"/>
        <v>16.767258119790277</v>
      </c>
      <c r="R51" s="71">
        <f t="shared" si="20"/>
        <v>524.25006569634331</v>
      </c>
      <c r="S51" s="694">
        <f>IF(NOT(EXACT(A51, "MP Complete")), INDEX(MP_new!$A$4:$J$9, MATCH(Step1!A51 - 1, MP_new!$A$4:$A$9, 0), 7), S49)</f>
        <v>48544.957141362807</v>
      </c>
      <c r="T51" s="693">
        <f>IF(EXACT($Q$5, "Yes"), IF(NOT(EXACT(A51, "MP Complete")), INDEX(MP_new!$A$4:$J$9, MATCH(Step1!A51, MP_new!$A$4:$A$9, 0), 10), T49), 0)</f>
        <v>9000</v>
      </c>
      <c r="U51" s="82">
        <f>('NPV Summary'!$B$16-S51)+T51</f>
        <v>25864.882970329993</v>
      </c>
      <c r="V51" s="82">
        <f>LOOKUP(B51,Rates!$A$5:$B$168)</f>
        <v>4023.0153199725773</v>
      </c>
      <c r="W51" s="70">
        <f t="shared" si="8"/>
        <v>104.05482043893538</v>
      </c>
      <c r="X51" s="74">
        <f t="shared" si="24"/>
        <v>2135.4094492573954</v>
      </c>
      <c r="Y51" s="470">
        <f t="shared" si="25"/>
        <v>87.28756231914511</v>
      </c>
      <c r="Z51" s="470">
        <f t="shared" si="25"/>
        <v>1611.159383561052</v>
      </c>
      <c r="AA51" s="466">
        <f>IF(SUM(AA$11:AA50)&gt;0,0,IF(SUM(X51-R51)&gt;0,B51,0))</f>
        <v>0</v>
      </c>
      <c r="AB51" s="471">
        <f>ABS(Z51)*1000000/SUM(U$12:U51)</f>
        <v>1756.3926266446874</v>
      </c>
      <c r="AH51" s="52">
        <f t="shared" si="21"/>
        <v>2046</v>
      </c>
      <c r="AI51" s="53">
        <f>Rates!B44</f>
        <v>2726.4301574059054</v>
      </c>
      <c r="AK51" s="52">
        <f t="shared" si="22"/>
        <v>2046</v>
      </c>
      <c r="AL51" s="165">
        <f>Rates!E44</f>
        <v>3.5999999999999997E-2</v>
      </c>
      <c r="AM51" s="53">
        <f>Rates!F44</f>
        <v>2726.4301574059054</v>
      </c>
      <c r="AN51" s="54">
        <f>Rates!G44</f>
        <v>2142.1951236760692</v>
      </c>
      <c r="AP51" s="48">
        <f t="shared" si="9"/>
        <v>2057</v>
      </c>
      <c r="AQ51" s="78">
        <f t="shared" si="0"/>
        <v>0</v>
      </c>
      <c r="AS51" s="133">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5">
        <f t="shared" si="14"/>
        <v>2058</v>
      </c>
      <c r="C52" s="695">
        <v>0</v>
      </c>
      <c r="D52" s="695">
        <f>'Area Summary'!$C$44</f>
        <v>4.3366557156605179</v>
      </c>
      <c r="E52" s="64">
        <f t="shared" si="15"/>
        <v>0.65700000000000003</v>
      </c>
      <c r="F52" s="64">
        <f t="shared" si="16"/>
        <v>0</v>
      </c>
      <c r="G52" s="84">
        <f t="shared" si="17"/>
        <v>14.146334835373391</v>
      </c>
      <c r="H52" s="65">
        <f t="shared" si="1"/>
        <v>3.1542705525543853</v>
      </c>
      <c r="I52" s="64">
        <f t="shared" si="2"/>
        <v>0</v>
      </c>
      <c r="J52" s="84">
        <f t="shared" si="3"/>
        <v>14.146334835373391</v>
      </c>
      <c r="K52" s="65">
        <f t="shared" si="3"/>
        <v>3.1542705525543853</v>
      </c>
      <c r="L52" s="64">
        <f t="shared" si="4"/>
        <v>0</v>
      </c>
      <c r="M52" s="72">
        <f t="shared" si="5"/>
        <v>0</v>
      </c>
      <c r="N52" s="72">
        <f t="shared" si="6"/>
        <v>0</v>
      </c>
      <c r="O52" s="64">
        <f t="shared" si="18"/>
        <v>0</v>
      </c>
      <c r="P52" s="84">
        <f t="shared" si="7"/>
        <v>0</v>
      </c>
      <c r="Q52" s="84">
        <f t="shared" si="19"/>
        <v>17.300605387927778</v>
      </c>
      <c r="R52" s="73">
        <f t="shared" si="20"/>
        <v>541.55067108427113</v>
      </c>
      <c r="S52" s="694">
        <f>IF(NOT(EXACT(A52, "MP Complete")), INDEX(MP_new!$A$4:$J$9, MATCH(Step1!A52 - 1, MP_new!$A$4:$A$9, 0), 7), S50)</f>
        <v>48544.957141362807</v>
      </c>
      <c r="T52" s="693">
        <f>IF(EXACT($Q$5, "Yes"), IF(NOT(EXACT(A52, "MP Complete")), INDEX(MP_new!$A$4:$J$9, MATCH(Step1!A52, MP_new!$A$4:$A$9, 0), 10), T50), 0)</f>
        <v>9000</v>
      </c>
      <c r="U52" s="6">
        <f>('NPV Summary'!$B$16-S52)+T52</f>
        <v>25864.882970329993</v>
      </c>
      <c r="V52" s="6">
        <f>LOOKUP(B52,Rates!$A$5:$B$168)</f>
        <v>4167.8438714915901</v>
      </c>
      <c r="W52" s="72">
        <f t="shared" si="8"/>
        <v>107.80079397473705</v>
      </c>
      <c r="X52" s="73">
        <f t="shared" si="24"/>
        <v>2243.2102432321326</v>
      </c>
      <c r="Y52" s="20">
        <f t="shared" si="25"/>
        <v>90.500188586809273</v>
      </c>
      <c r="Z52" s="20">
        <f t="shared" si="25"/>
        <v>1701.6595721478616</v>
      </c>
      <c r="AA52" s="465">
        <f>IF(SUM(AA$11:AA51)&gt;0,0,IF(SUM(X52-R52)&gt;0,B52,0))</f>
        <v>0</v>
      </c>
      <c r="AB52" s="171">
        <f>ABS(Z52)*1000000/SUM(U$12:U52)</f>
        <v>1804.1793327605585</v>
      </c>
      <c r="AH52" s="55">
        <f t="shared" si="21"/>
        <v>2047</v>
      </c>
      <c r="AI52" s="8">
        <f>Rates!B45</f>
        <v>2824.5816430725181</v>
      </c>
      <c r="AK52" s="55">
        <f t="shared" si="22"/>
        <v>2047</v>
      </c>
      <c r="AL52" s="164">
        <f>Rates!E45</f>
        <v>3.5999999999999997E-2</v>
      </c>
      <c r="AM52" s="8">
        <f>Rates!F45</f>
        <v>2824.5816430725181</v>
      </c>
      <c r="AN52" s="15">
        <f>Rates!G45</f>
        <v>2219.3141481284079</v>
      </c>
      <c r="AP52" s="16">
        <f t="shared" si="9"/>
        <v>2058</v>
      </c>
      <c r="AQ52" s="77">
        <f t="shared" si="0"/>
        <v>0</v>
      </c>
      <c r="AS52" s="136">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4">
        <f t="shared" si="14"/>
        <v>2059</v>
      </c>
      <c r="C53" s="695">
        <v>0</v>
      </c>
      <c r="D53" s="695">
        <f>'Area Summary'!$C$44</f>
        <v>4.3366557156605179</v>
      </c>
      <c r="E53" s="66">
        <f t="shared" si="15"/>
        <v>0.65700000000000003</v>
      </c>
      <c r="F53" s="66">
        <f t="shared" si="16"/>
        <v>0</v>
      </c>
      <c r="G53" s="67">
        <f t="shared" si="17"/>
        <v>14.570724880434593</v>
      </c>
      <c r="H53" s="68">
        <f t="shared" si="1"/>
        <v>3.2804413746565606</v>
      </c>
      <c r="I53" s="66">
        <f t="shared" si="2"/>
        <v>0</v>
      </c>
      <c r="J53" s="67">
        <f t="shared" si="3"/>
        <v>14.570724880434593</v>
      </c>
      <c r="K53" s="68">
        <f t="shared" si="3"/>
        <v>3.2804413746565606</v>
      </c>
      <c r="L53" s="66">
        <f t="shared" si="4"/>
        <v>0</v>
      </c>
      <c r="M53" s="70">
        <f t="shared" si="5"/>
        <v>0</v>
      </c>
      <c r="N53" s="70">
        <f t="shared" si="6"/>
        <v>0</v>
      </c>
      <c r="O53" s="66">
        <f t="shared" si="18"/>
        <v>0</v>
      </c>
      <c r="P53" s="67">
        <f t="shared" si="7"/>
        <v>0</v>
      </c>
      <c r="Q53" s="67">
        <f t="shared" si="19"/>
        <v>17.851166255091155</v>
      </c>
      <c r="R53" s="71">
        <f t="shared" si="20"/>
        <v>559.40183733936226</v>
      </c>
      <c r="S53" s="694">
        <f>IF(NOT(EXACT(A53, "MP Complete")), INDEX(MP_new!$A$4:$J$9, MATCH(Step1!A53 - 1, MP_new!$A$4:$A$9, 0), 7), S51)</f>
        <v>48544.957141362807</v>
      </c>
      <c r="T53" s="693">
        <f>IF(EXACT($Q$5, "Yes"), IF(NOT(EXACT(A53, "MP Complete")), INDEX(MP_new!$A$4:$J$9, MATCH(Step1!A53, MP_new!$A$4:$A$9, 0), 10), T51), 0)</f>
        <v>9000</v>
      </c>
      <c r="U53" s="82">
        <f>('NPV Summary'!$B$16-S53)+T53</f>
        <v>25864.882970329993</v>
      </c>
      <c r="V53" s="82">
        <f>LOOKUP(B53,Rates!$A$5:$B$168)</f>
        <v>4317.8862508652874</v>
      </c>
      <c r="W53" s="70">
        <f t="shared" si="8"/>
        <v>111.68162255782759</v>
      </c>
      <c r="X53" s="71">
        <f t="shared" si="24"/>
        <v>2354.8918657899603</v>
      </c>
      <c r="Y53" s="470">
        <f t="shared" si="25"/>
        <v>93.830456302736437</v>
      </c>
      <c r="Z53" s="470">
        <f t="shared" si="25"/>
        <v>1795.4900284505979</v>
      </c>
      <c r="AA53" s="474">
        <f>IF(SUM(AA$11:AA52)&gt;0,0,IF(SUM(X53-R53)&gt;0,B53,0))</f>
        <v>0</v>
      </c>
      <c r="AB53" s="471">
        <f>ABS(Z53)*1000000/SUM(U$12:U53)</f>
        <v>1852.8517312698868</v>
      </c>
      <c r="AH53" s="52">
        <f t="shared" si="21"/>
        <v>2048</v>
      </c>
      <c r="AI53" s="53">
        <f>Rates!B46</f>
        <v>2926.2665822231288</v>
      </c>
      <c r="AK53" s="52">
        <f t="shared" si="22"/>
        <v>2048</v>
      </c>
      <c r="AL53" s="165">
        <f>Rates!E46</f>
        <v>3.5999999999999997E-2</v>
      </c>
      <c r="AM53" s="53">
        <f>Rates!F46</f>
        <v>2926.2665822231288</v>
      </c>
      <c r="AN53" s="54">
        <f>Rates!G46</f>
        <v>2299.2094574610305</v>
      </c>
      <c r="AP53" s="48">
        <f t="shared" si="9"/>
        <v>2059</v>
      </c>
      <c r="AQ53" s="78">
        <f t="shared" si="0"/>
        <v>0</v>
      </c>
      <c r="AS53" s="133">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5">
        <f>B53+1</f>
        <v>2060</v>
      </c>
      <c r="C54" s="695">
        <v>0</v>
      </c>
      <c r="D54" s="695">
        <f>'Area Summary'!$C$44</f>
        <v>4.3366557156605179</v>
      </c>
      <c r="E54" s="64">
        <f t="shared" si="15"/>
        <v>0.65700000000000003</v>
      </c>
      <c r="F54" s="64">
        <f t="shared" si="16"/>
        <v>0</v>
      </c>
      <c r="G54" s="84">
        <f t="shared" si="17"/>
        <v>15.007846626847632</v>
      </c>
      <c r="H54" s="65">
        <f t="shared" si="1"/>
        <v>3.4116590296428231</v>
      </c>
      <c r="I54" s="64">
        <f t="shared" si="2"/>
        <v>0</v>
      </c>
      <c r="J54" s="84">
        <f t="shared" si="3"/>
        <v>15.007846626847632</v>
      </c>
      <c r="K54" s="65">
        <f t="shared" si="3"/>
        <v>3.4116590296428231</v>
      </c>
      <c r="L54" s="64">
        <f t="shared" si="4"/>
        <v>0</v>
      </c>
      <c r="M54" s="72">
        <f t="shared" si="5"/>
        <v>0</v>
      </c>
      <c r="N54" s="72">
        <f t="shared" si="6"/>
        <v>0</v>
      </c>
      <c r="O54" s="64">
        <f>IF($L$5="Yes", IF( U54&gt;U53, (U54-U53)*$M$5/1000000,0),0)</f>
        <v>0</v>
      </c>
      <c r="P54" s="84">
        <f t="shared" si="7"/>
        <v>0</v>
      </c>
      <c r="Q54" s="84">
        <f t="shared" si="19"/>
        <v>18.419505656490454</v>
      </c>
      <c r="R54" s="73">
        <f>R53+Q54</f>
        <v>577.82134299585266</v>
      </c>
      <c r="S54" s="694">
        <f>IF(NOT(EXACT(A54, "MP Complete")), INDEX(MP_new!$A$4:$J$9, MATCH(Step1!A54 - 1, MP_new!$A$4:$A$9, 0), 7), S52)</f>
        <v>48544.957141362807</v>
      </c>
      <c r="T54" s="693">
        <f>IF(EXACT($Q$5, "Yes"), IF(NOT(EXACT(A54, "MP Complete")), INDEX(MP_new!$A$4:$J$9, MATCH(Step1!A54, MP_new!$A$4:$A$9, 0), 10), T52), 0)</f>
        <v>9000</v>
      </c>
      <c r="U54" s="6">
        <f>('NPV Summary'!$B$16-S54)+T54</f>
        <v>25864.882970329993</v>
      </c>
      <c r="V54" s="6">
        <f>LOOKUP(B54,Rates!$A$5:$B$168)</f>
        <v>4473.3301558964376</v>
      </c>
      <c r="W54" s="72">
        <f t="shared" si="8"/>
        <v>115.70216096990939</v>
      </c>
      <c r="X54" s="73">
        <f>X53+W54</f>
        <v>2470.5940267598698</v>
      </c>
      <c r="Y54" s="20">
        <f>W54-Q54</f>
        <v>97.282655313418928</v>
      </c>
      <c r="Z54" s="20">
        <f>X54-R54</f>
        <v>1892.7726837640171</v>
      </c>
      <c r="AA54" s="467">
        <f>IF(SUM(AA$11:AA53)&gt;0,0,IF(SUM(X54-R54)&gt;0,B54,0))</f>
        <v>0</v>
      </c>
      <c r="AB54" s="171">
        <f>ABS(Z54)*1000000/SUM(U$12:U54)</f>
        <v>1902.4633008827388</v>
      </c>
      <c r="AH54" s="55">
        <f>AH53+1</f>
        <v>2049</v>
      </c>
      <c r="AI54" s="8">
        <f>Rates!B47</f>
        <v>3031.6121791831615</v>
      </c>
      <c r="AK54" s="55">
        <f>AK53+1</f>
        <v>2049</v>
      </c>
      <c r="AL54" s="164">
        <f>Rates!E47</f>
        <v>3.5999999999999997E-2</v>
      </c>
      <c r="AM54" s="8">
        <f>Rates!F47</f>
        <v>3031.6121791831615</v>
      </c>
      <c r="AN54" s="15">
        <f>Rates!G47</f>
        <v>2381.9809979296278</v>
      </c>
      <c r="AP54" s="16">
        <f t="shared" si="9"/>
        <v>2060</v>
      </c>
      <c r="AQ54" s="77">
        <f t="shared" si="0"/>
        <v>0</v>
      </c>
      <c r="AS54" s="136">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53" t="s">
        <v>118</v>
      </c>
      <c r="Q55" s="166">
        <f>NPV($E$5,Q12:Q54)*(1+$E$5)^($D$5-($C$5-1))</f>
        <v>302.70433628994908</v>
      </c>
      <c r="V55" s="153" t="s">
        <v>119</v>
      </c>
      <c r="W55" s="167">
        <f>NPV($E$5,W12:W54)*(1+$E$5)^($D$5-($C$5-1))</f>
        <v>922.31836795913887</v>
      </c>
      <c r="X55" s="61" t="s">
        <v>30</v>
      </c>
      <c r="Y55" s="62">
        <f>IFERROR(IRR(Y12:Y54), 0)</f>
        <v>0.18031852954725092</v>
      </c>
      <c r="AA55" s="475" t="s">
        <v>535</v>
      </c>
      <c r="AB55" s="476">
        <f>R54*1000000/SUM(U$12:U54)</f>
        <v>580.77967256497095</v>
      </c>
      <c r="AH55" s="55">
        <f t="shared" ref="AH55:AH62" si="36">AH54+1</f>
        <v>2050</v>
      </c>
      <c r="AI55" s="8">
        <f>Rates!B48</f>
        <v>3140.7502176337553</v>
      </c>
      <c r="AK55" s="55">
        <f t="shared" ref="AK55:AK62" si="37">AK54+1</f>
        <v>2050</v>
      </c>
      <c r="AL55" s="164">
        <f>Rates!E48</f>
        <v>3.5999999999999997E-2</v>
      </c>
      <c r="AM55" s="8">
        <f>Rates!F48</f>
        <v>3140.7502176337553</v>
      </c>
      <c r="AN55" s="15">
        <f>Rates!G48</f>
        <v>2467.7323138550946</v>
      </c>
    </row>
    <row r="56" spans="1:61" x14ac:dyDescent="0.25">
      <c r="A56" s="622" t="s">
        <v>120</v>
      </c>
      <c r="B56" s="622"/>
      <c r="C56" s="622"/>
      <c r="D56" s="622"/>
      <c r="E56" s="622"/>
      <c r="F56" s="622"/>
      <c r="G56" s="622"/>
      <c r="H56" s="622"/>
      <c r="I56" s="622"/>
      <c r="J56" s="622"/>
      <c r="K56" s="622"/>
      <c r="AH56" s="55">
        <f t="shared" si="36"/>
        <v>2051</v>
      </c>
      <c r="AI56" s="8">
        <f>Rates!B49</f>
        <v>3253.8172254685705</v>
      </c>
      <c r="AK56" s="55">
        <f t="shared" si="37"/>
        <v>2051</v>
      </c>
      <c r="AL56" s="164">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64">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64">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64">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64">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64">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64">
        <f>Rates!E55</f>
        <v>3.5999999999999997E-2</v>
      </c>
      <c r="AM62" s="8">
        <f>Rates!F55</f>
        <v>4023.0153199725773</v>
      </c>
      <c r="AN62" s="15">
        <f>Rates!G55</f>
        <v>3160.9406085498831</v>
      </c>
    </row>
    <row r="63" spans="1:61" x14ac:dyDescent="0.25">
      <c r="AH63" s="55">
        <f>AH62+1</f>
        <v>2058</v>
      </c>
      <c r="AI63" s="8">
        <f>Rates!B56</f>
        <v>4167.8438714915901</v>
      </c>
      <c r="AK63" s="55">
        <f>AK62+1</f>
        <v>2058</v>
      </c>
      <c r="AL63" s="164">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64">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64">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zoomScale="85" zoomScaleNormal="85" workbookViewId="0">
      <selection activeCell="C1" sqref="C1"/>
    </sheetView>
    <sheetView topLeftCell="A18" workbookViewId="1">
      <selection activeCell="D19" sqref="D19:D54"/>
    </sheetView>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58"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42" t="s">
        <v>545</v>
      </c>
      <c r="Y1" s="458"/>
      <c r="Z1"/>
      <c r="AA1"/>
      <c r="BW1" s="9"/>
      <c r="BX1" s="9"/>
    </row>
    <row r="2" spans="1:76" ht="15.75" customHeight="1" thickBot="1" x14ac:dyDescent="0.3">
      <c r="B2" s="578" t="s">
        <v>1</v>
      </c>
      <c r="C2" s="604"/>
      <c r="D2" s="604"/>
      <c r="E2" s="604"/>
      <c r="F2" s="604"/>
      <c r="G2" s="604"/>
      <c r="H2" s="604"/>
      <c r="I2" s="604"/>
      <c r="J2" s="604"/>
      <c r="K2" s="604"/>
      <c r="L2" s="604"/>
      <c r="M2" s="604"/>
      <c r="N2" s="604"/>
      <c r="O2" s="604"/>
      <c r="P2" s="604"/>
      <c r="Q2" s="604"/>
      <c r="R2" s="604"/>
      <c r="Y2" s="458"/>
      <c r="Z2"/>
      <c r="AA2"/>
      <c r="BW2" s="9"/>
      <c r="BX2" s="9"/>
    </row>
    <row r="3" spans="1:76" s="56" customFormat="1" ht="24" customHeight="1" x14ac:dyDescent="0.25">
      <c r="B3" s="125"/>
      <c r="C3" s="126"/>
      <c r="D3" s="595" t="s">
        <v>2</v>
      </c>
      <c r="E3" s="596"/>
      <c r="F3" s="580" t="s">
        <v>3</v>
      </c>
      <c r="G3" s="580"/>
      <c r="H3" s="587"/>
      <c r="I3" s="590" t="s">
        <v>4</v>
      </c>
      <c r="J3" s="591"/>
      <c r="K3" s="592"/>
      <c r="L3" s="587" t="s">
        <v>5</v>
      </c>
      <c r="M3" s="588"/>
      <c r="N3" s="589"/>
      <c r="O3" s="593" t="s">
        <v>6</v>
      </c>
      <c r="P3" s="594"/>
      <c r="Q3" s="579" t="s">
        <v>7</v>
      </c>
      <c r="R3" s="675"/>
      <c r="Y3" s="459"/>
    </row>
    <row r="4" spans="1:76" s="56" customFormat="1" ht="51.75" customHeight="1" thickBot="1" x14ac:dyDescent="0.3">
      <c r="B4" s="108" t="s">
        <v>8</v>
      </c>
      <c r="C4" s="109" t="s">
        <v>9</v>
      </c>
      <c r="D4" s="99" t="s">
        <v>10</v>
      </c>
      <c r="E4" s="113" t="s">
        <v>11</v>
      </c>
      <c r="F4" s="110" t="s">
        <v>12</v>
      </c>
      <c r="G4" s="98" t="s">
        <v>13</v>
      </c>
      <c r="H4" s="98" t="s">
        <v>14</v>
      </c>
      <c r="I4" s="108" t="s">
        <v>15</v>
      </c>
      <c r="J4" s="97" t="s">
        <v>16</v>
      </c>
      <c r="K4" s="109" t="s">
        <v>17</v>
      </c>
      <c r="L4" s="101" t="s">
        <v>18</v>
      </c>
      <c r="M4" s="93" t="s">
        <v>19</v>
      </c>
      <c r="N4" s="100" t="s">
        <v>20</v>
      </c>
      <c r="O4" s="108" t="s">
        <v>21</v>
      </c>
      <c r="P4" s="109" t="s">
        <v>22</v>
      </c>
      <c r="Q4" s="122" t="s">
        <v>23</v>
      </c>
      <c r="R4" s="123" t="s">
        <v>24</v>
      </c>
      <c r="Y4" s="459"/>
    </row>
    <row r="5" spans="1:76" s="56" customFormat="1" ht="15.75" customHeight="1" thickBot="1" x14ac:dyDescent="0.3">
      <c r="B5" s="129">
        <f>'NPV Summary'!B5</f>
        <v>2018</v>
      </c>
      <c r="C5" s="129">
        <f>'NPV Summary'!C5</f>
        <v>2018</v>
      </c>
      <c r="D5" s="129">
        <f>'NPV Summary'!D5</f>
        <v>2018</v>
      </c>
      <c r="E5" s="129">
        <f>'NPV Summary'!E5</f>
        <v>0.04</v>
      </c>
      <c r="F5" s="129">
        <f>'NPV Summary'!F5</f>
        <v>2.1999999999999999E-2</v>
      </c>
      <c r="G5" s="129">
        <f>'NPV Summary'!G5</f>
        <v>0.03</v>
      </c>
      <c r="H5" s="129">
        <f>'NPV Summary'!H5</f>
        <v>0.04</v>
      </c>
      <c r="I5" s="129">
        <f>'NPV Summary'!I5</f>
        <v>0</v>
      </c>
      <c r="J5" s="129">
        <f>'NPV Summary'!J5</f>
        <v>30</v>
      </c>
      <c r="K5" s="129">
        <f>'NPV Summary'!K5</f>
        <v>0.05</v>
      </c>
      <c r="L5" s="129" t="str">
        <f>'NPV Summary'!L5</f>
        <v>No</v>
      </c>
      <c r="M5" s="129">
        <f>'NPV Summary'!M5</f>
        <v>475</v>
      </c>
      <c r="N5" s="129">
        <f>'NPV Summary'!N5</f>
        <v>15</v>
      </c>
      <c r="O5" s="129" t="str">
        <f>'NPV Summary'!O5</f>
        <v>Treated</v>
      </c>
      <c r="P5" s="129">
        <f>'NPV Summary'!P5</f>
        <v>3.5999999999999997E-2</v>
      </c>
      <c r="Q5" s="129" t="str">
        <f>'NPV Summary'!Q5</f>
        <v>Yes</v>
      </c>
      <c r="R5" s="129">
        <f>'NPV Summary'!R5</f>
        <v>73</v>
      </c>
      <c r="Y5" s="459"/>
    </row>
    <row r="6" spans="1:76" s="56" customFormat="1" ht="15" customHeight="1" thickBot="1" x14ac:dyDescent="0.3">
      <c r="A6" s="103"/>
      <c r="B6" s="130" t="s">
        <v>67</v>
      </c>
      <c r="C6" s="57"/>
      <c r="D6" s="158"/>
      <c r="E6" s="158"/>
      <c r="F6" s="158"/>
      <c r="G6" s="158"/>
      <c r="H6" s="158"/>
      <c r="I6" s="57"/>
      <c r="J6" s="57"/>
      <c r="K6" s="103"/>
      <c r="L6" s="103"/>
      <c r="M6" s="91"/>
      <c r="N6" s="58"/>
      <c r="O6" s="158"/>
      <c r="P6" s="57"/>
      <c r="Q6" s="159"/>
      <c r="R6" s="159"/>
      <c r="S6" s="159"/>
      <c r="T6" s="159"/>
      <c r="V6" s="159"/>
      <c r="W6" s="92"/>
      <c r="AA6" s="459"/>
    </row>
    <row r="7" spans="1:76" s="56" customFormat="1" ht="15" customHeight="1" thickBot="1" x14ac:dyDescent="0.3">
      <c r="A7" s="103"/>
      <c r="B7" s="118"/>
      <c r="C7" s="118"/>
      <c r="D7" s="163"/>
      <c r="E7" s="163"/>
      <c r="F7" s="163"/>
      <c r="G7" s="163"/>
      <c r="H7" s="163"/>
      <c r="I7" s="118"/>
      <c r="J7" s="118"/>
      <c r="K7" s="118"/>
      <c r="L7" s="118"/>
      <c r="M7" s="119"/>
      <c r="N7" s="119"/>
      <c r="O7" s="163"/>
      <c r="P7" s="118"/>
      <c r="Q7" s="159"/>
      <c r="R7" s="159"/>
      <c r="S7" s="159"/>
      <c r="T7" s="159"/>
      <c r="U7" s="103"/>
      <c r="V7" s="159"/>
      <c r="W7" s="92"/>
      <c r="X7" s="86"/>
      <c r="Z7" s="162"/>
      <c r="AA7" s="460"/>
      <c r="AH7" s="623" t="s">
        <v>68</v>
      </c>
      <c r="AI7" s="624"/>
      <c r="AJ7" s="624"/>
      <c r="AK7" s="624"/>
      <c r="AL7" s="624"/>
      <c r="AM7" s="624"/>
      <c r="AN7" s="625"/>
    </row>
    <row r="8" spans="1:76" ht="13.5" customHeight="1" thickBot="1" x14ac:dyDescent="0.3">
      <c r="A8" s="629" t="s">
        <v>69</v>
      </c>
      <c r="B8" s="620"/>
      <c r="C8" s="620"/>
      <c r="D8" s="620"/>
      <c r="E8" s="620"/>
      <c r="F8" s="620"/>
      <c r="G8" s="620"/>
      <c r="H8" s="620"/>
      <c r="I8" s="620"/>
      <c r="J8" s="620"/>
      <c r="K8" s="620"/>
      <c r="L8" s="620"/>
      <c r="M8" s="620"/>
      <c r="N8" s="620"/>
      <c r="O8" s="620"/>
      <c r="P8" s="620"/>
      <c r="Q8" s="620"/>
      <c r="R8" s="620"/>
      <c r="S8" s="620"/>
      <c r="T8" s="620"/>
      <c r="U8" s="620"/>
      <c r="V8" s="620"/>
      <c r="W8" s="620"/>
      <c r="X8" s="620"/>
      <c r="Y8" s="620"/>
      <c r="Z8" s="621"/>
      <c r="AA8" s="461"/>
      <c r="AH8" s="626"/>
      <c r="AI8" s="627"/>
      <c r="AJ8" s="627"/>
      <c r="AK8" s="627"/>
      <c r="AL8" s="627"/>
      <c r="AM8" s="627"/>
      <c r="AN8" s="628"/>
    </row>
    <row r="9" spans="1:76" ht="38.25" customHeight="1" thickBot="1" x14ac:dyDescent="0.3">
      <c r="A9" s="630"/>
      <c r="B9" s="631"/>
      <c r="C9" s="632" t="str">
        <f>"Projected Annual Cost
"&amp;B5&amp;" Dollar Year" &amp;"
($Million)"</f>
        <v>Projected Annual Cost
2018 Dollar Year
($Million)</v>
      </c>
      <c r="D9" s="633"/>
      <c r="E9" s="634"/>
      <c r="F9" s="633" t="s">
        <v>70</v>
      </c>
      <c r="G9" s="633"/>
      <c r="H9" s="634"/>
      <c r="I9" s="635" t="str">
        <f>"Projected Annual Cost with Financing
($Million; NPV=$"&amp;ROUND(Q55,3)&amp;")"</f>
        <v>Projected Annual Cost with Financing
($Million; NPV=$614.056)</v>
      </c>
      <c r="J9" s="636"/>
      <c r="K9" s="636"/>
      <c r="L9" s="636"/>
      <c r="M9" s="636"/>
      <c r="N9" s="636"/>
      <c r="O9" s="636"/>
      <c r="P9" s="636"/>
      <c r="Q9" s="636"/>
      <c r="R9" s="637"/>
      <c r="S9" s="632" t="str">
        <f>"Avoided MWD Purchase 
 ($Million; NPV=$"&amp;ROUND(W55,3)&amp;")"</f>
        <v>Avoided MWD Purchase 
 ($Million; NPV=$922.318)</v>
      </c>
      <c r="T9" s="633"/>
      <c r="U9" s="633"/>
      <c r="V9" s="633"/>
      <c r="W9" s="633"/>
      <c r="X9" s="634"/>
      <c r="Y9" s="632" t="s">
        <v>71</v>
      </c>
      <c r="Z9" s="634"/>
      <c r="AA9" s="462"/>
      <c r="AH9" s="638" t="s">
        <v>72</v>
      </c>
      <c r="AI9" s="639"/>
      <c r="AJ9" s="41"/>
      <c r="AK9" s="640" t="s">
        <v>73</v>
      </c>
      <c r="AL9" s="641"/>
      <c r="AM9" s="641"/>
      <c r="AN9" s="642"/>
      <c r="AP9" s="617" t="s">
        <v>74</v>
      </c>
      <c r="AQ9" s="618"/>
      <c r="AS9" s="619" t="s">
        <v>75</v>
      </c>
      <c r="AT9" s="620"/>
      <c r="AU9" s="620"/>
      <c r="AV9" s="620"/>
      <c r="AW9" s="620"/>
      <c r="AX9" s="620"/>
      <c r="AY9" s="620"/>
      <c r="AZ9" s="620"/>
      <c r="BA9" s="620"/>
      <c r="BB9" s="621"/>
      <c r="BD9" s="617" t="s">
        <v>76</v>
      </c>
      <c r="BE9" s="618"/>
      <c r="BF9" s="9"/>
      <c r="BG9" s="619" t="s">
        <v>77</v>
      </c>
      <c r="BH9" s="620"/>
      <c r="BI9" s="620"/>
    </row>
    <row r="10" spans="1:76" ht="51.75" customHeight="1" thickBot="1" x14ac:dyDescent="0.3">
      <c r="A10" s="34" t="s">
        <v>29</v>
      </c>
      <c r="B10" s="69" t="s">
        <v>78</v>
      </c>
      <c r="C10" s="117" t="s">
        <v>79</v>
      </c>
      <c r="D10" s="13" t="s">
        <v>80</v>
      </c>
      <c r="E10" s="14" t="s">
        <v>81</v>
      </c>
      <c r="F10" s="117" t="s">
        <v>82</v>
      </c>
      <c r="G10" s="13" t="s">
        <v>83</v>
      </c>
      <c r="H10" s="14" t="s">
        <v>84</v>
      </c>
      <c r="I10" s="18" t="s">
        <v>85</v>
      </c>
      <c r="J10" s="19" t="s">
        <v>86</v>
      </c>
      <c r="K10" s="19" t="s">
        <v>87</v>
      </c>
      <c r="L10" s="117" t="s">
        <v>88</v>
      </c>
      <c r="M10" s="13" t="s">
        <v>89</v>
      </c>
      <c r="N10" s="19" t="s">
        <v>90</v>
      </c>
      <c r="O10" s="38" t="s">
        <v>91</v>
      </c>
      <c r="P10" s="13" t="s">
        <v>92</v>
      </c>
      <c r="Q10" s="18" t="s">
        <v>93</v>
      </c>
      <c r="R10" s="487" t="s">
        <v>94</v>
      </c>
      <c r="S10" s="486" t="s">
        <v>95</v>
      </c>
      <c r="T10" s="14" t="s">
        <v>96</v>
      </c>
      <c r="U10" s="117" t="s">
        <v>97</v>
      </c>
      <c r="V10" s="13" t="s">
        <v>98</v>
      </c>
      <c r="W10" s="13" t="s">
        <v>99</v>
      </c>
      <c r="X10" s="14" t="s">
        <v>100</v>
      </c>
      <c r="Y10" s="117" t="s">
        <v>101</v>
      </c>
      <c r="Z10" s="14" t="s">
        <v>102</v>
      </c>
      <c r="AA10" s="463" t="s">
        <v>534</v>
      </c>
      <c r="AB10" s="14" t="s">
        <v>372</v>
      </c>
      <c r="AH10" s="21" t="s">
        <v>103</v>
      </c>
      <c r="AI10" s="23" t="str">
        <f>IF(O5= "Treated","Tier 1 Treated     ($/Acre-Ft)", IF(O5 = "Untreated", "Tier 1 Untreated         ($/Acre-Ft)",0))</f>
        <v>Tier 1 Treated     ($/Acre-Ft)</v>
      </c>
      <c r="AK10" s="21" t="s">
        <v>103</v>
      </c>
      <c r="AL10" s="22" t="s">
        <v>104</v>
      </c>
      <c r="AM10" s="22" t="s">
        <v>105</v>
      </c>
      <c r="AN10" s="23" t="s">
        <v>106</v>
      </c>
      <c r="AP10" s="75" t="s">
        <v>103</v>
      </c>
      <c r="AQ10" s="76" t="str">
        <f t="shared" ref="AQ10:AQ54" si="0">IF($J$5=5,AT10,IF($J$5=10,AU10,IF($J$5=15,AV10,IF($J$5=18,AW10,IF($J$5=20,AX10,IF($J$5=25,AY10,IF($J$5=30,AZ10,IF($J$5=35,BA10,IF($J$5=40,BB10)))))))))</f>
        <v>30 Year 
Borrowing
Term</v>
      </c>
      <c r="AS10" s="75" t="s">
        <v>103</v>
      </c>
      <c r="AT10" s="76" t="s">
        <v>107</v>
      </c>
      <c r="AU10" s="76" t="s">
        <v>108</v>
      </c>
      <c r="AV10" s="76" t="s">
        <v>109</v>
      </c>
      <c r="AW10" s="76" t="s">
        <v>110</v>
      </c>
      <c r="AX10" s="76" t="s">
        <v>111</v>
      </c>
      <c r="AY10" s="76" t="s">
        <v>112</v>
      </c>
      <c r="AZ10" s="76" t="s">
        <v>113</v>
      </c>
      <c r="BA10" s="76" t="s">
        <v>114</v>
      </c>
      <c r="BB10" s="76" t="s">
        <v>115</v>
      </c>
      <c r="BD10" s="75" t="s">
        <v>103</v>
      </c>
      <c r="BE10" s="76" t="str">
        <f>IF(N5=15,BH10,IF(N5=25,BI10,0))</f>
        <v>15 Year Term</v>
      </c>
      <c r="BF10" s="60"/>
      <c r="BG10" s="75" t="s">
        <v>103</v>
      </c>
      <c r="BH10" s="76" t="s">
        <v>116</v>
      </c>
      <c r="BI10" s="76" t="s">
        <v>117</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27"/>
      <c r="T11" s="127"/>
      <c r="U11" s="1"/>
      <c r="V11" s="2"/>
      <c r="W11" s="3"/>
      <c r="X11" s="10"/>
      <c r="Y11" s="12"/>
      <c r="Z11" s="4"/>
      <c r="AA11" s="464"/>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5">
        <f>$C$5</f>
        <v>2018</v>
      </c>
      <c r="C12" s="695">
        <f>'10 YEAR PROJECTION'!$H$54/1000000</f>
        <v>1.5</v>
      </c>
      <c r="D12" s="69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694">
        <f>IF(NOT(EXACT(A12, "MP Complete")), INDEX(MP_new!$A$4:$J$9, MATCH(Step2!A12, MP_new!$A$4:$A$9, 0), 7), S10)</f>
        <v>65409.8401116928</v>
      </c>
      <c r="T12" s="693">
        <f>IF(EXACT($Q$5, "Yes"), IF(NOT(EXACT(A12, "MP Complete")), INDEX(MP_new!$A$4:$J$9, MATCH(Step2!A12, MP_new!$A$4:$A$9, 0), 10), T10), 0)</f>
        <v>0</v>
      </c>
      <c r="U12" s="6">
        <f>('NPV Summary'!$B$16-S12)+T12</f>
        <v>0</v>
      </c>
      <c r="V12" s="6">
        <f>LOOKUP(B12,AH12:AI62)</f>
        <v>1015</v>
      </c>
      <c r="W12" s="72">
        <f t="shared" ref="W12:W54" si="8">(U12*V12)/1000000</f>
        <v>0</v>
      </c>
      <c r="X12" s="73">
        <f>W12</f>
        <v>0</v>
      </c>
      <c r="Y12" s="20">
        <f>W12-Q12</f>
        <v>-1.5</v>
      </c>
      <c r="Z12" s="20">
        <f>X12-R12</f>
        <v>-1.5</v>
      </c>
      <c r="AA12" s="468">
        <f>IF(SUM(AA$11:AA11)&gt;0,0,IF(SUM(X12-R12)&gt;0,B12,0))</f>
        <v>0</v>
      </c>
      <c r="AB12" s="171"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36">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4">
        <f t="shared" ref="B13:B53" si="14">B12+1</f>
        <v>2019</v>
      </c>
      <c r="C13" s="695">
        <f>'10 YEAR PROJECTION'!$I$54/1000000</f>
        <v>3.84896875</v>
      </c>
      <c r="D13" s="695"/>
      <c r="E13" s="66">
        <f t="shared" ref="E13:E54" si="15">IF( $Q$5="Yes", ($R$5)*T13, 0)/1000000</f>
        <v>0.36499999999999999</v>
      </c>
      <c r="F13" s="66">
        <f t="shared" ref="F13:F54" si="16">IF(B13&gt;$B$5,(C13)*(1+$F$5)^(B13-$B$5),C13)</f>
        <v>3.9336460625000003</v>
      </c>
      <c r="G13" s="67">
        <f t="shared" ref="G13:G54" si="17">IF(B13&gt;$B$5, (D13)*(1+$G$5)^(B13-$B$5),D13)</f>
        <v>0</v>
      </c>
      <c r="H13" s="68">
        <f t="shared" si="1"/>
        <v>0.37959999999999999</v>
      </c>
      <c r="I13" s="66">
        <f t="shared" si="2"/>
        <v>3.9336460625000003</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4.3132460625000002</v>
      </c>
      <c r="R13" s="71">
        <f t="shared" ref="R13:R53" si="20">R12+Q13</f>
        <v>5.8132460625000002</v>
      </c>
      <c r="S13" s="694">
        <f>IF(NOT(EXACT(A13, "MP Complete")), INDEX(MP_new!$A$4:$J$9, MATCH(Step2!A13 - 1, MP_new!$A$4:$A$9, 0), 7), S11)</f>
        <v>65409.8401116928</v>
      </c>
      <c r="T13" s="693">
        <f>IF(EXACT($Q$5, "Yes"), IF(NOT(EXACT(A13, "MP Complete")), INDEX(MP_new!$A$4:$J$9, MATCH(Step2!A13, MP_new!$A$4:$A$9, 0), 10), T11), 0)</f>
        <v>5000</v>
      </c>
      <c r="U13" s="82">
        <f>('NPV Summary'!$B$16-S13)+T13</f>
        <v>5000</v>
      </c>
      <c r="V13" s="82">
        <f>LOOKUP(B13,Rates!$A$5:$B$168)</f>
        <v>1053</v>
      </c>
      <c r="W13" s="70">
        <f t="shared" si="8"/>
        <v>5.2649999999999997</v>
      </c>
      <c r="X13" s="71">
        <f>X12+W13</f>
        <v>5.2649999999999997</v>
      </c>
      <c r="Y13" s="470">
        <f>W13-Q13</f>
        <v>0.95175393749999948</v>
      </c>
      <c r="Z13" s="470">
        <f>X13-R13</f>
        <v>-0.54824606250000052</v>
      </c>
      <c r="AA13" s="466">
        <f>IF(SUM(AA$11:AA12)&gt;0,0,IF(SUM(X13-R13)&gt;0,B13,0))</f>
        <v>0</v>
      </c>
      <c r="AB13" s="471">
        <f>ABS(Z13)*1000000/SUM(U$12:U13)</f>
        <v>109.64921250000009</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33">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5">
        <f t="shared" si="14"/>
        <v>2020</v>
      </c>
      <c r="C14" s="695">
        <f>'10 YEAR PROJECTION'!$J$54/1000000</f>
        <v>46.371124999999999</v>
      </c>
      <c r="D14" s="695">
        <f>'Area Summary'!$C$44</f>
        <v>4.3366557156605179</v>
      </c>
      <c r="E14" s="64">
        <f t="shared" si="15"/>
        <v>0.36499999999999999</v>
      </c>
      <c r="F14" s="64">
        <f t="shared" si="16"/>
        <v>48.433898124499997</v>
      </c>
      <c r="G14" s="84">
        <f t="shared" si="17"/>
        <v>4.6007580487442432</v>
      </c>
      <c r="H14" s="65">
        <f t="shared" si="1"/>
        <v>0.39478400000000002</v>
      </c>
      <c r="I14" s="64">
        <f t="shared" si="2"/>
        <v>48.433898124499997</v>
      </c>
      <c r="J14" s="84">
        <f t="shared" si="3"/>
        <v>4.6007580487442432</v>
      </c>
      <c r="K14" s="65">
        <f t="shared" si="3"/>
        <v>0.39478400000000002</v>
      </c>
      <c r="L14" s="64">
        <f t="shared" si="4"/>
        <v>0</v>
      </c>
      <c r="M14" s="72">
        <f t="shared" si="5"/>
        <v>0</v>
      </c>
      <c r="N14" s="72">
        <f t="shared" si="6"/>
        <v>0</v>
      </c>
      <c r="O14" s="64">
        <f t="shared" si="18"/>
        <v>0</v>
      </c>
      <c r="P14" s="84">
        <f t="shared" si="7"/>
        <v>0</v>
      </c>
      <c r="Q14" s="84">
        <f t="shared" si="19"/>
        <v>53.429440173244245</v>
      </c>
      <c r="R14" s="73">
        <f t="shared" si="20"/>
        <v>59.242686235744245</v>
      </c>
      <c r="S14" s="694">
        <f>IF(NOT(EXACT(A14, "MP Complete")), INDEX(MP_new!$A$4:$J$9, MATCH(Step2!A14 - 1, MP_new!$A$4:$A$9, 0), 7), S12)</f>
        <v>65409.8401116928</v>
      </c>
      <c r="T14" s="693">
        <f>IF(EXACT($Q$5, "Yes"), IF(NOT(EXACT(A14, "MP Complete")), INDEX(MP_new!$A$4:$J$9, MATCH(Step2!A14, MP_new!$A$4:$A$9, 0), 10), T12), 0)</f>
        <v>5000</v>
      </c>
      <c r="U14" s="6">
        <f>('NPV Summary'!$B$16-S14)+T14</f>
        <v>5000</v>
      </c>
      <c r="V14" s="6">
        <f>LOOKUP(B14,Rates!$A$5:$B$168)</f>
        <v>1092</v>
      </c>
      <c r="W14" s="72">
        <f t="shared" si="8"/>
        <v>5.46</v>
      </c>
      <c r="X14" s="73">
        <f t="shared" ref="X14:X53" si="24">X13+W14</f>
        <v>10.725</v>
      </c>
      <c r="Y14" s="20">
        <f t="shared" ref="Y14:Z53" si="25">W14-Q14</f>
        <v>-47.969440173244244</v>
      </c>
      <c r="Z14" s="20">
        <f t="shared" si="25"/>
        <v>-48.517686235744243</v>
      </c>
      <c r="AA14" s="465">
        <f>IF(SUM(AA$11:AA13)&gt;0,0,IF(SUM(X14-R14)&gt;0,B14,0))</f>
        <v>0</v>
      </c>
      <c r="AB14" s="171">
        <f>ABS(Z14)*1000000/SUM(U$12:U14)</f>
        <v>4851.768623574425</v>
      </c>
      <c r="AH14" s="28">
        <f t="shared" si="21"/>
        <v>2009</v>
      </c>
      <c r="AI14" s="30">
        <f>Rates!B7</f>
        <v>579</v>
      </c>
      <c r="AK14" s="29">
        <f t="shared" si="22"/>
        <v>2009</v>
      </c>
      <c r="AL14" s="8" t="str">
        <f>Rates!E7</f>
        <v>-</v>
      </c>
      <c r="AM14" s="30">
        <f>Rates!F7</f>
        <v>579</v>
      </c>
      <c r="AN14" s="31">
        <f>Rates!G7</f>
        <v>412</v>
      </c>
      <c r="AP14" s="16">
        <f t="shared" si="9"/>
        <v>2020</v>
      </c>
      <c r="AQ14" s="77">
        <f t="shared" si="0"/>
        <v>0</v>
      </c>
      <c r="AS14" s="136">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4">
        <f t="shared" si="14"/>
        <v>2021</v>
      </c>
      <c r="C15" s="695">
        <f>'10 YEAR PROJECTION'!$K$54/1000000</f>
        <v>85.595343749999998</v>
      </c>
      <c r="D15" s="695">
        <f>'Area Summary'!$C$44</f>
        <v>4.3366557156605179</v>
      </c>
      <c r="E15" s="66">
        <f t="shared" si="15"/>
        <v>0.36499999999999999</v>
      </c>
      <c r="F15" s="66">
        <f t="shared" si="16"/>
        <v>91.369832295845242</v>
      </c>
      <c r="G15" s="67">
        <f t="shared" si="17"/>
        <v>4.7387807902065706</v>
      </c>
      <c r="H15" s="68">
        <f t="shared" si="1"/>
        <v>0.41057536</v>
      </c>
      <c r="I15" s="66">
        <f t="shared" si="2"/>
        <v>91.369832295845242</v>
      </c>
      <c r="J15" s="67">
        <f t="shared" si="3"/>
        <v>4.7387807902065706</v>
      </c>
      <c r="K15" s="68">
        <f t="shared" si="3"/>
        <v>0.41057536</v>
      </c>
      <c r="L15" s="66">
        <f t="shared" si="4"/>
        <v>0</v>
      </c>
      <c r="M15" s="70">
        <f t="shared" si="5"/>
        <v>0</v>
      </c>
      <c r="N15" s="70">
        <f t="shared" si="6"/>
        <v>0</v>
      </c>
      <c r="O15" s="66">
        <f t="shared" si="18"/>
        <v>0</v>
      </c>
      <c r="P15" s="67">
        <f t="shared" si="7"/>
        <v>0</v>
      </c>
      <c r="Q15" s="67">
        <f t="shared" si="19"/>
        <v>96.519188446051814</v>
      </c>
      <c r="R15" s="71">
        <f t="shared" si="20"/>
        <v>155.76187468179606</v>
      </c>
      <c r="S15" s="694">
        <f>IF(NOT(EXACT(A15, "MP Complete")), INDEX(MP_new!$A$4:$J$9, MATCH(Step2!A15 - 1, MP_new!$A$4:$A$9, 0), 7), S13)</f>
        <v>65409.8401116928</v>
      </c>
      <c r="T15" s="693">
        <f>IF(EXACT($Q$5, "Yes"), IF(NOT(EXACT(A15, "MP Complete")), INDEX(MP_new!$A$4:$J$9, MATCH(Step2!A15, MP_new!$A$4:$A$9, 0), 10), T13), 0)</f>
        <v>5000</v>
      </c>
      <c r="U15" s="82">
        <f>('NPV Summary'!$B$16-S15)+T15</f>
        <v>5000</v>
      </c>
      <c r="V15" s="82">
        <f>LOOKUP(B15,Rates!$A$5:$B$168)</f>
        <v>1123</v>
      </c>
      <c r="W15" s="70">
        <f t="shared" si="8"/>
        <v>5.6150000000000002</v>
      </c>
      <c r="X15" s="71">
        <f t="shared" si="24"/>
        <v>16.34</v>
      </c>
      <c r="Y15" s="470">
        <f t="shared" si="25"/>
        <v>-90.904188446051819</v>
      </c>
      <c r="Z15" s="470">
        <f t="shared" si="25"/>
        <v>-139.42187468179606</v>
      </c>
      <c r="AA15" s="466">
        <f>IF(SUM(AA$11:AA14)&gt;0,0,IF(SUM(X15-R15)&gt;0,B15,0))</f>
        <v>0</v>
      </c>
      <c r="AB15" s="471">
        <f>ABS(Z15)*1000000/SUM(U$12:U15)</f>
        <v>9294.7916454530696</v>
      </c>
      <c r="AH15" s="43">
        <f t="shared" si="21"/>
        <v>2010</v>
      </c>
      <c r="AI15" s="46">
        <f>Rates!B8</f>
        <v>701</v>
      </c>
      <c r="AK15" s="44">
        <f t="shared" si="22"/>
        <v>2010</v>
      </c>
      <c r="AL15" s="53" t="str">
        <f>Rates!E8</f>
        <v>-</v>
      </c>
      <c r="AM15" s="46">
        <f>Rates!F8</f>
        <v>701</v>
      </c>
      <c r="AN15" s="47">
        <f>Rates!G8</f>
        <v>484</v>
      </c>
      <c r="AP15" s="48">
        <f t="shared" si="9"/>
        <v>2021</v>
      </c>
      <c r="AQ15" s="78">
        <f t="shared" si="0"/>
        <v>0</v>
      </c>
      <c r="AS15" s="133">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5">
        <f t="shared" si="14"/>
        <v>2022</v>
      </c>
      <c r="C16" s="695">
        <f>'10 YEAR PROJECTION'!L$54/1000000</f>
        <v>48.660440625</v>
      </c>
      <c r="D16" s="695">
        <f>'Area Summary'!$C$44</f>
        <v>4.3366557156605179</v>
      </c>
      <c r="E16" s="64">
        <f t="shared" si="15"/>
        <v>0.65700000000000003</v>
      </c>
      <c r="F16" s="64">
        <f t="shared" si="16"/>
        <v>53.085953264062283</v>
      </c>
      <c r="G16" s="84">
        <f t="shared" si="17"/>
        <v>4.8809442139127679</v>
      </c>
      <c r="H16" s="65">
        <f t="shared" si="1"/>
        <v>0.76859707392000021</v>
      </c>
      <c r="I16" s="64">
        <f t="shared" si="2"/>
        <v>53.085953264062283</v>
      </c>
      <c r="J16" s="84">
        <f t="shared" si="3"/>
        <v>4.8809442139127679</v>
      </c>
      <c r="K16" s="65">
        <f t="shared" si="3"/>
        <v>0.76859707392000021</v>
      </c>
      <c r="L16" s="64">
        <f t="shared" si="4"/>
        <v>0</v>
      </c>
      <c r="M16" s="72">
        <f t="shared" si="5"/>
        <v>0</v>
      </c>
      <c r="N16" s="72">
        <f t="shared" si="6"/>
        <v>0</v>
      </c>
      <c r="O16" s="64">
        <f t="shared" si="18"/>
        <v>0</v>
      </c>
      <c r="P16" s="84">
        <f t="shared" si="7"/>
        <v>0</v>
      </c>
      <c r="Q16" s="84">
        <f t="shared" si="19"/>
        <v>58.735494551895052</v>
      </c>
      <c r="R16" s="73">
        <f t="shared" si="20"/>
        <v>214.4973692336911</v>
      </c>
      <c r="S16" s="694">
        <f>IF(NOT(EXACT(A16, "MP Complete")), INDEX(MP_new!$A$4:$J$9, MATCH(Step2!A16 - 1, MP_new!$A$4:$A$9, 0), 7), S14)</f>
        <v>54321.653018812802</v>
      </c>
      <c r="T16" s="693">
        <f>IF(EXACT($Q$5, "Yes"), IF(NOT(EXACT(A16, "MP Complete")), INDEX(MP_new!$A$4:$J$9, MATCH(Step2!A16, MP_new!$A$4:$A$9, 0), 10), T14), 0)</f>
        <v>9000</v>
      </c>
      <c r="U16" s="6">
        <f>('NPV Summary'!$B$16-S16)+T16</f>
        <v>20088.187092879998</v>
      </c>
      <c r="V16" s="6">
        <f>LOOKUP(B16,Rates!$A$5:$B$168)</f>
        <v>1164</v>
      </c>
      <c r="W16" s="72">
        <f t="shared" si="8"/>
        <v>23.382649776112316</v>
      </c>
      <c r="X16" s="73">
        <f t="shared" si="24"/>
        <v>39.72264977611232</v>
      </c>
      <c r="Y16" s="20">
        <f t="shared" si="25"/>
        <v>-35.352844775782735</v>
      </c>
      <c r="Z16" s="20">
        <f t="shared" si="25"/>
        <v>-174.77471945757878</v>
      </c>
      <c r="AA16" s="465">
        <f>IF(SUM(AA$11:AA15)&gt;0,0,IF(SUM(X16-R16)&gt;0,B16,0))</f>
        <v>0</v>
      </c>
      <c r="AB16" s="171">
        <f>ABS(Z16)*1000000/SUM(U$12:U16)</f>
        <v>4981.0130969417796</v>
      </c>
      <c r="AH16" s="28">
        <f t="shared" si="21"/>
        <v>2011</v>
      </c>
      <c r="AI16" s="30">
        <f>Rates!B9</f>
        <v>744</v>
      </c>
      <c r="AK16" s="29">
        <f t="shared" si="22"/>
        <v>2011</v>
      </c>
      <c r="AL16" s="87" t="str">
        <f>Rates!E9</f>
        <v>-</v>
      </c>
      <c r="AM16" s="30">
        <f>Rates!F9</f>
        <v>744</v>
      </c>
      <c r="AN16" s="31">
        <f>Rates!G9</f>
        <v>527</v>
      </c>
      <c r="AP16" s="16">
        <f t="shared" si="9"/>
        <v>2022</v>
      </c>
      <c r="AQ16" s="77">
        <f t="shared" si="0"/>
        <v>0</v>
      </c>
      <c r="AS16" s="136">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4">
        <f t="shared" si="14"/>
        <v>2023</v>
      </c>
      <c r="C17" s="695">
        <f>'10 YEAR PROJECTION'!M$54/1000000</f>
        <v>44.700837499999992</v>
      </c>
      <c r="D17" s="695">
        <f>'Area Summary'!$C$44</f>
        <v>4.3366557156605179</v>
      </c>
      <c r="E17" s="66">
        <f t="shared" si="15"/>
        <v>0.65700000000000003</v>
      </c>
      <c r="F17" s="66">
        <f t="shared" si="16"/>
        <v>49.839094011245606</v>
      </c>
      <c r="G17" s="67">
        <f t="shared" si="17"/>
        <v>5.0273725403301501</v>
      </c>
      <c r="H17" s="68">
        <f t="shared" si="1"/>
        <v>0.79934095687680029</v>
      </c>
      <c r="I17" s="66">
        <f t="shared" si="2"/>
        <v>49.839094011245606</v>
      </c>
      <c r="J17" s="67">
        <f t="shared" si="3"/>
        <v>5.0273725403301501</v>
      </c>
      <c r="K17" s="68">
        <f t="shared" si="3"/>
        <v>0.79934095687680029</v>
      </c>
      <c r="L17" s="66">
        <f t="shared" si="4"/>
        <v>0</v>
      </c>
      <c r="M17" s="70">
        <f t="shared" si="5"/>
        <v>0</v>
      </c>
      <c r="N17" s="70">
        <f t="shared" si="6"/>
        <v>0</v>
      </c>
      <c r="O17" s="66">
        <f t="shared" si="18"/>
        <v>0</v>
      </c>
      <c r="P17" s="67">
        <f t="shared" si="7"/>
        <v>0</v>
      </c>
      <c r="Q17" s="67">
        <f t="shared" si="19"/>
        <v>55.665807508452552</v>
      </c>
      <c r="R17" s="71">
        <f t="shared" si="20"/>
        <v>270.16317674214366</v>
      </c>
      <c r="S17" s="694">
        <f>IF(NOT(EXACT(A17, "MP Complete")), INDEX(MP_new!$A$4:$J$9, MATCH(Step2!A17 - 1, MP_new!$A$4:$A$9, 0), 7), S15)</f>
        <v>54321.653018812802</v>
      </c>
      <c r="T17" s="693">
        <f>IF(EXACT($Q$5, "Yes"), IF(NOT(EXACT(A17, "MP Complete")), INDEX(MP_new!$A$4:$J$9, MATCH(Step2!A17, MP_new!$A$4:$A$9, 0), 10), T15), 0)</f>
        <v>9000</v>
      </c>
      <c r="U17" s="82">
        <f>('NPV Summary'!$B$16-S17)+T17</f>
        <v>20088.187092879998</v>
      </c>
      <c r="V17" s="82">
        <f>LOOKUP(B17,Rates!$A$5:$B$168)</f>
        <v>1205</v>
      </c>
      <c r="W17" s="70">
        <f t="shared" si="8"/>
        <v>24.206265446920398</v>
      </c>
      <c r="X17" s="71">
        <f t="shared" si="24"/>
        <v>63.928915223032718</v>
      </c>
      <c r="Y17" s="470">
        <f t="shared" si="25"/>
        <v>-31.459542061532154</v>
      </c>
      <c r="Z17" s="470">
        <f t="shared" si="25"/>
        <v>-206.23426151911093</v>
      </c>
      <c r="AA17" s="466">
        <f>IF(SUM(AA$11:AA16)&gt;0,0,IF(SUM(X17-R17)&gt;0,B17,0))</f>
        <v>0</v>
      </c>
      <c r="AB17" s="471">
        <f>ABS(Z17)*1000000/SUM(U$12:U17)</f>
        <v>3737.7276880280433</v>
      </c>
      <c r="AH17" s="43">
        <f t="shared" si="21"/>
        <v>2012</v>
      </c>
      <c r="AI17" s="46">
        <f>Rates!B10</f>
        <v>794</v>
      </c>
      <c r="AK17" s="44">
        <f t="shared" si="22"/>
        <v>2012</v>
      </c>
      <c r="AL17" s="89" t="str">
        <f>Rates!E10</f>
        <v>-</v>
      </c>
      <c r="AM17" s="46">
        <f>Rates!F10</f>
        <v>794</v>
      </c>
      <c r="AN17" s="47">
        <f>Rates!G10</f>
        <v>560</v>
      </c>
      <c r="AP17" s="48">
        <f t="shared" si="9"/>
        <v>2023</v>
      </c>
      <c r="AQ17" s="78">
        <f t="shared" si="0"/>
        <v>0</v>
      </c>
      <c r="AS17" s="133">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5">
        <f t="shared" si="14"/>
        <v>2024</v>
      </c>
      <c r="C18" s="695">
        <f>'10 YEAR PROJECTION'!N$54/1000000</f>
        <v>82.433728124999988</v>
      </c>
      <c r="D18" s="695">
        <f>'Area Summary'!$C$44</f>
        <v>4.3366557156605179</v>
      </c>
      <c r="E18" s="64">
        <f t="shared" si="15"/>
        <v>0.65700000000000003</v>
      </c>
      <c r="F18" s="64">
        <f t="shared" si="16"/>
        <v>93.931296407705133</v>
      </c>
      <c r="G18" s="84">
        <f t="shared" si="17"/>
        <v>5.1781937165400551</v>
      </c>
      <c r="H18" s="65">
        <f t="shared" si="1"/>
        <v>0.83131459515187223</v>
      </c>
      <c r="I18" s="64">
        <f t="shared" si="2"/>
        <v>93.931296407705133</v>
      </c>
      <c r="J18" s="84">
        <f t="shared" si="3"/>
        <v>5.1781937165400551</v>
      </c>
      <c r="K18" s="65">
        <f t="shared" si="3"/>
        <v>0.83131459515187223</v>
      </c>
      <c r="L18" s="64">
        <f t="shared" si="4"/>
        <v>0</v>
      </c>
      <c r="M18" s="72">
        <f t="shared" si="5"/>
        <v>0</v>
      </c>
      <c r="N18" s="72">
        <f t="shared" si="6"/>
        <v>0</v>
      </c>
      <c r="O18" s="64">
        <f t="shared" si="18"/>
        <v>0</v>
      </c>
      <c r="P18" s="84">
        <f t="shared" si="7"/>
        <v>0</v>
      </c>
      <c r="Q18" s="84">
        <f t="shared" si="19"/>
        <v>99.94080471939705</v>
      </c>
      <c r="R18" s="73">
        <f t="shared" si="20"/>
        <v>370.10398146154068</v>
      </c>
      <c r="S18" s="694">
        <f>IF(NOT(EXACT(A18, "MP Complete")), INDEX(MP_new!$A$4:$J$9, MATCH(Step2!A18 - 1, MP_new!$A$4:$A$9, 0), 7), S16)</f>
        <v>54321.653018812802</v>
      </c>
      <c r="T18" s="693">
        <f>IF(EXACT($Q$5, "Yes"), IF(NOT(EXACT(A18, "MP Complete")), INDEX(MP_new!$A$4:$J$9, MATCH(Step2!A18, MP_new!$A$4:$A$9, 0), 10), T16), 0)</f>
        <v>9000</v>
      </c>
      <c r="U18" s="6">
        <f>('NPV Summary'!$B$16-S18)+T18</f>
        <v>20088.187092879998</v>
      </c>
      <c r="V18" s="6">
        <f>LOOKUP(B18,Rates!$A$5:$B$168)</f>
        <v>1249</v>
      </c>
      <c r="W18" s="72">
        <f t="shared" si="8"/>
        <v>25.090145679007115</v>
      </c>
      <c r="X18" s="73">
        <f t="shared" si="24"/>
        <v>89.019060902039826</v>
      </c>
      <c r="Y18" s="20">
        <f t="shared" si="25"/>
        <v>-74.850659040389928</v>
      </c>
      <c r="Z18" s="20">
        <f t="shared" si="25"/>
        <v>-281.08492055950086</v>
      </c>
      <c r="AA18" s="465">
        <f>IF(SUM(AA$11:AA17)&gt;0,0,IF(SUM(X18-R18)&gt;0,B18,0))</f>
        <v>0</v>
      </c>
      <c r="AB18" s="171">
        <f>ABS(Z18)*1000000/SUM(U$12:U18)</f>
        <v>3734.6251115300456</v>
      </c>
      <c r="AH18" s="28">
        <f t="shared" si="21"/>
        <v>2013</v>
      </c>
      <c r="AI18" s="30">
        <f>Rates!B11</f>
        <v>847</v>
      </c>
      <c r="AK18" s="29">
        <f t="shared" si="22"/>
        <v>2013</v>
      </c>
      <c r="AL18" s="8" t="str">
        <f>Rates!E11</f>
        <v>-</v>
      </c>
      <c r="AM18" s="30">
        <f>Rates!F11</f>
        <v>847</v>
      </c>
      <c r="AN18" s="31">
        <f>Rates!G11</f>
        <v>593</v>
      </c>
      <c r="AP18" s="16">
        <f t="shared" si="9"/>
        <v>2024</v>
      </c>
      <c r="AQ18" s="77">
        <f t="shared" si="0"/>
        <v>0</v>
      </c>
      <c r="AS18" s="136">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4">
        <f t="shared" si="14"/>
        <v>2025</v>
      </c>
      <c r="C19" s="695">
        <v>0</v>
      </c>
      <c r="D19" s="695">
        <f>'Area Summary'!$D$44</f>
        <v>9.616785314343435</v>
      </c>
      <c r="E19" s="66">
        <f t="shared" si="15"/>
        <v>0.65700000000000003</v>
      </c>
      <c r="F19" s="66">
        <f t="shared" si="16"/>
        <v>0</v>
      </c>
      <c r="G19" s="67">
        <f t="shared" si="17"/>
        <v>11.827432927512683</v>
      </c>
      <c r="H19" s="68">
        <f t="shared" si="1"/>
        <v>0.8645671789579471</v>
      </c>
      <c r="I19" s="66">
        <f t="shared" si="2"/>
        <v>0</v>
      </c>
      <c r="J19" s="67">
        <f t="shared" si="3"/>
        <v>11.827432927512683</v>
      </c>
      <c r="K19" s="68">
        <f t="shared" si="3"/>
        <v>0.8645671789579471</v>
      </c>
      <c r="L19" s="66">
        <f t="shared" si="4"/>
        <v>0</v>
      </c>
      <c r="M19" s="70">
        <f t="shared" si="5"/>
        <v>0</v>
      </c>
      <c r="N19" s="70">
        <f t="shared" si="6"/>
        <v>0</v>
      </c>
      <c r="O19" s="66">
        <f t="shared" si="18"/>
        <v>0</v>
      </c>
      <c r="P19" s="67">
        <f t="shared" si="7"/>
        <v>0</v>
      </c>
      <c r="Q19" s="67">
        <f t="shared" si="19"/>
        <v>12.69200010647063</v>
      </c>
      <c r="R19" s="71">
        <f t="shared" si="20"/>
        <v>382.79598156801131</v>
      </c>
      <c r="S19" s="694">
        <f>IF(NOT(EXACT(A19, "MP Complete")), INDEX(MP_new!$A$4:$J$9, MATCH(Step2!A19 - 1, MP_new!$A$4:$A$9, 0), 7), S17)</f>
        <v>51216.431518812809</v>
      </c>
      <c r="T19" s="693">
        <f>IF(EXACT($Q$5, "Yes"), IF(NOT(EXACT(A19, "MP Complete")), INDEX(MP_new!$A$4:$J$9, MATCH(Step2!A19, MP_new!$A$4:$A$9, 0), 10), T17), 0)</f>
        <v>9000</v>
      </c>
      <c r="U19" s="82">
        <f>('NPV Summary'!$B$16-S19)+T19</f>
        <v>23193.40859287999</v>
      </c>
      <c r="V19" s="82">
        <f>LOOKUP(B19,Rates!$A$5:$B$168)</f>
        <v>1296</v>
      </c>
      <c r="W19" s="70">
        <f t="shared" si="8"/>
        <v>30.058657536372468</v>
      </c>
      <c r="X19" s="71">
        <f t="shared" si="24"/>
        <v>119.07771843841229</v>
      </c>
      <c r="Y19" s="470">
        <f t="shared" si="25"/>
        <v>17.366657429901839</v>
      </c>
      <c r="Z19" s="470">
        <f t="shared" si="25"/>
        <v>-263.71826312959899</v>
      </c>
      <c r="AA19" s="466">
        <f>IF(SUM(AA$11:AA18)&gt;0,0,IF(SUM(X19-R19)&gt;0,B19,0))</f>
        <v>0</v>
      </c>
      <c r="AB19" s="471">
        <f>ABS(Z19)*1000000/SUM(U$12:U19)</f>
        <v>2678.4856875855849</v>
      </c>
      <c r="AH19" s="43">
        <f t="shared" si="21"/>
        <v>2014</v>
      </c>
      <c r="AI19" s="49">
        <f>Rates!B12</f>
        <v>890</v>
      </c>
      <c r="AK19" s="44">
        <f t="shared" si="22"/>
        <v>2014</v>
      </c>
      <c r="AL19" s="53" t="str">
        <f>Rates!E12</f>
        <v>-</v>
      </c>
      <c r="AM19" s="49">
        <f>Rates!F12</f>
        <v>890</v>
      </c>
      <c r="AN19" s="50">
        <f>Rates!G12</f>
        <v>593</v>
      </c>
      <c r="AP19" s="48">
        <f t="shared" si="9"/>
        <v>2025</v>
      </c>
      <c r="AQ19" s="78">
        <f t="shared" si="0"/>
        <v>0</v>
      </c>
      <c r="AS19" s="133">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5">
        <f t="shared" si="14"/>
        <v>2026</v>
      </c>
      <c r="C20" s="695">
        <v>0</v>
      </c>
      <c r="D20" s="695">
        <f>'Area Summary'!$D$44</f>
        <v>9.616785314343435</v>
      </c>
      <c r="E20" s="64">
        <f t="shared" si="15"/>
        <v>0.65700000000000003</v>
      </c>
      <c r="F20" s="64">
        <f t="shared" si="16"/>
        <v>0</v>
      </c>
      <c r="G20" s="84">
        <f t="shared" si="17"/>
        <v>12.182255915338063</v>
      </c>
      <c r="H20" s="65">
        <f t="shared" si="1"/>
        <v>0.89914986611626513</v>
      </c>
      <c r="I20" s="64">
        <f t="shared" si="2"/>
        <v>0</v>
      </c>
      <c r="J20" s="84">
        <f t="shared" si="3"/>
        <v>12.182255915338063</v>
      </c>
      <c r="K20" s="65">
        <f t="shared" si="3"/>
        <v>0.89914986611626513</v>
      </c>
      <c r="L20" s="64">
        <f t="shared" si="4"/>
        <v>0</v>
      </c>
      <c r="M20" s="72">
        <f t="shared" si="5"/>
        <v>0</v>
      </c>
      <c r="N20" s="72">
        <f t="shared" si="6"/>
        <v>0</v>
      </c>
      <c r="O20" s="64">
        <f t="shared" si="18"/>
        <v>0</v>
      </c>
      <c r="P20" s="84">
        <f t="shared" si="7"/>
        <v>0</v>
      </c>
      <c r="Q20" s="84">
        <f t="shared" si="19"/>
        <v>13.081405781454327</v>
      </c>
      <c r="R20" s="73">
        <f t="shared" si="20"/>
        <v>395.87738734946566</v>
      </c>
      <c r="S20" s="694">
        <f>IF(NOT(EXACT(A20, "MP Complete")), INDEX(MP_new!$A$4:$J$9, MATCH(Step2!A20 - 1, MP_new!$A$4:$A$9, 0), 7), S18)</f>
        <v>51216.431518812809</v>
      </c>
      <c r="T20" s="693">
        <f>IF(EXACT($Q$5, "Yes"), IF(NOT(EXACT(A20, "MP Complete")), INDEX(MP_new!$A$4:$J$9, MATCH(Step2!A20, MP_new!$A$4:$A$9, 0), 10), T18), 0)</f>
        <v>9000</v>
      </c>
      <c r="U20" s="6">
        <f>('NPV Summary'!$B$16-S20)+T20</f>
        <v>23193.40859287999</v>
      </c>
      <c r="V20" s="6">
        <f>LOOKUP(B20,Rates!$A$5:$B$168)</f>
        <v>1344</v>
      </c>
      <c r="W20" s="72">
        <f t="shared" si="8"/>
        <v>31.171941148830708</v>
      </c>
      <c r="X20" s="73">
        <f t="shared" si="24"/>
        <v>150.249659587243</v>
      </c>
      <c r="Y20" s="20">
        <f t="shared" si="25"/>
        <v>18.090535367376383</v>
      </c>
      <c r="Z20" s="20">
        <f t="shared" si="25"/>
        <v>-245.62772776222266</v>
      </c>
      <c r="AA20" s="465">
        <f>IF(SUM(AA$11:AA19)&gt;0,0,IF(SUM(X20-R20)&gt;0,B20,0))</f>
        <v>0</v>
      </c>
      <c r="AB20" s="171">
        <f>ABS(Z20)*1000000/SUM(U$12:U20)</f>
        <v>2019.1117508306991</v>
      </c>
      <c r="AH20" s="55">
        <f t="shared" si="21"/>
        <v>2015</v>
      </c>
      <c r="AI20" s="87">
        <f>Rates!B13</f>
        <v>923</v>
      </c>
      <c r="AK20" s="55">
        <f t="shared" si="22"/>
        <v>2015</v>
      </c>
      <c r="AL20" s="87" t="str">
        <f>Rates!E13</f>
        <v>-</v>
      </c>
      <c r="AM20" s="87">
        <f>Rates!F13</f>
        <v>923</v>
      </c>
      <c r="AN20" s="88">
        <f>Rates!G13</f>
        <v>582</v>
      </c>
      <c r="AP20" s="16">
        <f t="shared" si="9"/>
        <v>2026</v>
      </c>
      <c r="AQ20" s="77">
        <f t="shared" si="0"/>
        <v>0</v>
      </c>
      <c r="AS20" s="136">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4">
        <f t="shared" si="14"/>
        <v>2027</v>
      </c>
      <c r="C21" s="695">
        <v>0</v>
      </c>
      <c r="D21" s="695">
        <f>'Area Summary'!$D$44</f>
        <v>9.616785314343435</v>
      </c>
      <c r="E21" s="66">
        <f t="shared" si="15"/>
        <v>0.65700000000000003</v>
      </c>
      <c r="F21" s="66">
        <f t="shared" si="16"/>
        <v>0</v>
      </c>
      <c r="G21" s="67">
        <f t="shared" si="17"/>
        <v>12.547723592798205</v>
      </c>
      <c r="H21" s="68">
        <f t="shared" si="1"/>
        <v>0.9351158607609158</v>
      </c>
      <c r="I21" s="66">
        <f t="shared" si="2"/>
        <v>0</v>
      </c>
      <c r="J21" s="67">
        <f t="shared" si="3"/>
        <v>12.547723592798205</v>
      </c>
      <c r="K21" s="68">
        <f t="shared" si="3"/>
        <v>0.9351158607609158</v>
      </c>
      <c r="L21" s="66">
        <f t="shared" si="4"/>
        <v>0</v>
      </c>
      <c r="M21" s="70">
        <f t="shared" si="5"/>
        <v>0</v>
      </c>
      <c r="N21" s="70">
        <f t="shared" si="6"/>
        <v>0</v>
      </c>
      <c r="O21" s="66">
        <f t="shared" si="18"/>
        <v>0</v>
      </c>
      <c r="P21" s="67">
        <f t="shared" si="7"/>
        <v>0</v>
      </c>
      <c r="Q21" s="67">
        <f t="shared" si="19"/>
        <v>13.482839453559121</v>
      </c>
      <c r="R21" s="71">
        <f t="shared" si="20"/>
        <v>409.36022680302477</v>
      </c>
      <c r="S21" s="694">
        <f>IF(NOT(EXACT(A21, "MP Complete")), INDEX(MP_new!$A$4:$J$9, MATCH(Step2!A21 - 1, MP_new!$A$4:$A$9, 0), 7), S19)</f>
        <v>51216.431518812809</v>
      </c>
      <c r="T21" s="693">
        <f>IF(EXACT($Q$5, "Yes"), IF(NOT(EXACT(A21, "MP Complete")), INDEX(MP_new!$A$4:$J$9, MATCH(Step2!A21, MP_new!$A$4:$A$9, 0), 10), T19), 0)</f>
        <v>9000</v>
      </c>
      <c r="U21" s="82">
        <f>('NPV Summary'!$B$16-S21)+T21</f>
        <v>23193.40859287999</v>
      </c>
      <c r="V21" s="82">
        <f>LOOKUP(B21,Rates!$A$5:$B$168)</f>
        <v>1392.384</v>
      </c>
      <c r="W21" s="70">
        <f t="shared" si="8"/>
        <v>32.294131030188609</v>
      </c>
      <c r="X21" s="71">
        <f t="shared" si="24"/>
        <v>182.54379061743163</v>
      </c>
      <c r="Y21" s="470">
        <f t="shared" si="25"/>
        <v>18.811291576629486</v>
      </c>
      <c r="Z21" s="470">
        <f t="shared" si="25"/>
        <v>-226.81643618559315</v>
      </c>
      <c r="AA21" s="466">
        <f>IF(SUM(AA$11:AA20)&gt;0,0,IF(SUM(X21-R21)&gt;0,B21,0))</f>
        <v>0</v>
      </c>
      <c r="AB21" s="471">
        <f>ABS(Z21)*1000000/SUM(U$12:U21)</f>
        <v>1565.9275062201368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34">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5">
        <f t="shared" si="14"/>
        <v>2028</v>
      </c>
      <c r="C22" s="695">
        <v>0</v>
      </c>
      <c r="D22" s="695">
        <f>'Area Summary'!$D$44</f>
        <v>9.616785314343435</v>
      </c>
      <c r="E22" s="64">
        <f t="shared" si="15"/>
        <v>0.65700000000000003</v>
      </c>
      <c r="F22" s="64">
        <f t="shared" si="16"/>
        <v>0</v>
      </c>
      <c r="G22" s="84">
        <f t="shared" si="17"/>
        <v>12.924155300582152</v>
      </c>
      <c r="H22" s="65">
        <f t="shared" si="1"/>
        <v>0.97252049519135242</v>
      </c>
      <c r="I22" s="64">
        <f t="shared" si="2"/>
        <v>0</v>
      </c>
      <c r="J22" s="84">
        <f t="shared" si="3"/>
        <v>12.924155300582152</v>
      </c>
      <c r="K22" s="65">
        <f t="shared" si="3"/>
        <v>0.97252049519135242</v>
      </c>
      <c r="L22" s="64">
        <f t="shared" si="4"/>
        <v>0</v>
      </c>
      <c r="M22" s="72">
        <f t="shared" si="5"/>
        <v>0</v>
      </c>
      <c r="N22" s="72">
        <f t="shared" si="6"/>
        <v>0</v>
      </c>
      <c r="O22" s="64">
        <f t="shared" si="18"/>
        <v>0</v>
      </c>
      <c r="P22" s="84">
        <f t="shared" si="7"/>
        <v>0</v>
      </c>
      <c r="Q22" s="84">
        <f t="shared" si="19"/>
        <v>13.896675795773504</v>
      </c>
      <c r="R22" s="73">
        <f t="shared" si="20"/>
        <v>423.25690259879826</v>
      </c>
      <c r="S22" s="694">
        <f>IF(NOT(EXACT(A22, "MP Complete")), INDEX(MP_new!$A$4:$J$9, MATCH(Step2!A22 - 1, MP_new!$A$4:$A$9, 0), 7), S20)</f>
        <v>49704.839141362812</v>
      </c>
      <c r="T22" s="693">
        <f>IF(EXACT($Q$5, "Yes"), IF(NOT(EXACT(A22, "MP Complete")), INDEX(MP_new!$A$4:$J$9, MATCH(Step2!A22, MP_new!$A$4:$A$9, 0), 10), T20), 0)</f>
        <v>9000</v>
      </c>
      <c r="U22" s="6">
        <f>('NPV Summary'!$B$16-S22)+T22</f>
        <v>24705.000970329987</v>
      </c>
      <c r="V22" s="6">
        <f>LOOKUP(B22,Rates!$A$5:$B$168)</f>
        <v>1442.509824</v>
      </c>
      <c r="W22" s="72">
        <f t="shared" si="8"/>
        <v>35.637206601630538</v>
      </c>
      <c r="X22" s="73">
        <f t="shared" si="24"/>
        <v>218.18099721906216</v>
      </c>
      <c r="Y22" s="20">
        <f t="shared" si="25"/>
        <v>21.740530805857034</v>
      </c>
      <c r="Z22" s="20">
        <f t="shared" si="25"/>
        <v>-205.0759053797361</v>
      </c>
      <c r="AA22" s="465">
        <f>IF(SUM(AA$11:AA21)&gt;0,0,IF(SUM(X22-R22)&gt;0,B22,0))</f>
        <v>0</v>
      </c>
      <c r="AB22" s="171">
        <f>ABS(Z22)*1000000/SUM(U$12:U22)</f>
        <v>1209.5320658633971</v>
      </c>
      <c r="AH22" s="55">
        <f t="shared" si="21"/>
        <v>2017</v>
      </c>
      <c r="AI22" s="8">
        <f>Rates!B15</f>
        <v>979</v>
      </c>
      <c r="AK22" s="55">
        <f t="shared" si="22"/>
        <v>2017</v>
      </c>
      <c r="AL22" s="8" t="str">
        <f>Rates!E15</f>
        <v>-</v>
      </c>
      <c r="AM22" s="114">
        <f>Rates!F15</f>
        <v>979</v>
      </c>
      <c r="AN22" s="115">
        <f>Rates!G15</f>
        <v>666</v>
      </c>
      <c r="AP22" s="16">
        <f t="shared" si="9"/>
        <v>2028</v>
      </c>
      <c r="AQ22" s="77">
        <f t="shared" si="0"/>
        <v>0</v>
      </c>
      <c r="AS22" s="135">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4">
        <f t="shared" si="14"/>
        <v>2029</v>
      </c>
      <c r="C23" s="695">
        <v>0</v>
      </c>
      <c r="D23" s="695">
        <f>'Area Summary'!$D$44</f>
        <v>9.616785314343435</v>
      </c>
      <c r="E23" s="66">
        <f t="shared" si="15"/>
        <v>0.65700000000000003</v>
      </c>
      <c r="F23" s="66">
        <f t="shared" si="16"/>
        <v>0</v>
      </c>
      <c r="G23" s="67">
        <f t="shared" si="17"/>
        <v>13.311879959599617</v>
      </c>
      <c r="H23" s="68">
        <f t="shared" si="1"/>
        <v>1.0114213149990066</v>
      </c>
      <c r="I23" s="66">
        <f t="shared" si="2"/>
        <v>0</v>
      </c>
      <c r="J23" s="67">
        <f t="shared" si="3"/>
        <v>13.311879959599617</v>
      </c>
      <c r="K23" s="68">
        <f t="shared" si="3"/>
        <v>1.0114213149990066</v>
      </c>
      <c r="L23" s="66">
        <f t="shared" si="4"/>
        <v>0</v>
      </c>
      <c r="M23" s="70">
        <f t="shared" si="5"/>
        <v>0</v>
      </c>
      <c r="N23" s="70">
        <f t="shared" si="6"/>
        <v>0</v>
      </c>
      <c r="O23" s="66">
        <f t="shared" si="18"/>
        <v>0</v>
      </c>
      <c r="P23" s="67">
        <f t="shared" si="7"/>
        <v>0</v>
      </c>
      <c r="Q23" s="67">
        <f t="shared" si="19"/>
        <v>14.323301274598624</v>
      </c>
      <c r="R23" s="71">
        <f t="shared" si="20"/>
        <v>437.5802038733969</v>
      </c>
      <c r="S23" s="694">
        <f>IF(NOT(EXACT(A23, "MP Complete")), INDEX(MP_new!$A$4:$J$9, MATCH(Step2!A23 - 1, MP_new!$A$4:$A$9, 0), 7), S21)</f>
        <v>49704.839141362812</v>
      </c>
      <c r="T23" s="693">
        <f>IF(EXACT($Q$5, "Yes"), IF(NOT(EXACT(A23, "MP Complete")), INDEX(MP_new!$A$4:$J$9, MATCH(Step2!A23, MP_new!$A$4:$A$9, 0), 10), T21), 0)</f>
        <v>9000</v>
      </c>
      <c r="U23" s="82">
        <f>('NPV Summary'!$B$16-S23)+T23</f>
        <v>24705.000970329987</v>
      </c>
      <c r="V23" s="82">
        <f>LOOKUP(B23,Rates!$A$5:$B$168)</f>
        <v>1494.440177664</v>
      </c>
      <c r="W23" s="70">
        <f t="shared" si="8"/>
        <v>36.920146039289236</v>
      </c>
      <c r="X23" s="71">
        <f t="shared" si="24"/>
        <v>255.10114325835139</v>
      </c>
      <c r="Y23" s="470">
        <f t="shared" si="25"/>
        <v>22.596844764690612</v>
      </c>
      <c r="Z23" s="470">
        <f t="shared" si="25"/>
        <v>-182.47906061504551</v>
      </c>
      <c r="AA23" s="466">
        <f>IF(SUM(AA$11:AA22)&gt;0,0,IF(SUM(X23-R23)&gt;0,B23,0))</f>
        <v>0</v>
      </c>
      <c r="AB23" s="471">
        <f>ABS(Z23)*1000000/SUM(U$12:U23)</f>
        <v>939.37998417624976</v>
      </c>
      <c r="AH23" s="52">
        <f t="shared" si="21"/>
        <v>2018</v>
      </c>
      <c r="AI23" s="53">
        <f>Rates!B16</f>
        <v>1015</v>
      </c>
      <c r="AK23" s="52">
        <f t="shared" si="22"/>
        <v>2018</v>
      </c>
      <c r="AL23" s="53" t="str">
        <f>Rates!E16</f>
        <v>-</v>
      </c>
      <c r="AM23" s="472">
        <f>Rates!F16</f>
        <v>1015</v>
      </c>
      <c r="AN23" s="473">
        <f>Rates!G16</f>
        <v>695</v>
      </c>
      <c r="AP23" s="48">
        <f t="shared" si="9"/>
        <v>2029</v>
      </c>
      <c r="AQ23" s="78">
        <f t="shared" si="0"/>
        <v>0</v>
      </c>
      <c r="AS23" s="133">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5">
        <f t="shared" si="14"/>
        <v>2030</v>
      </c>
      <c r="C24" s="695">
        <v>0</v>
      </c>
      <c r="D24" s="695">
        <f>'Area Summary'!$D$44</f>
        <v>9.616785314343435</v>
      </c>
      <c r="E24" s="64">
        <f t="shared" si="15"/>
        <v>0.65700000000000003</v>
      </c>
      <c r="F24" s="64">
        <f t="shared" si="16"/>
        <v>0</v>
      </c>
      <c r="G24" s="84">
        <f t="shared" si="17"/>
        <v>13.711236358387602</v>
      </c>
      <c r="H24" s="65">
        <f t="shared" si="1"/>
        <v>1.051878167598967</v>
      </c>
      <c r="I24" s="64">
        <f t="shared" si="2"/>
        <v>0</v>
      </c>
      <c r="J24" s="84">
        <f t="shared" si="3"/>
        <v>13.711236358387602</v>
      </c>
      <c r="K24" s="65">
        <f t="shared" si="3"/>
        <v>1.051878167598967</v>
      </c>
      <c r="L24" s="64">
        <f t="shared" si="4"/>
        <v>0</v>
      </c>
      <c r="M24" s="72">
        <f t="shared" si="5"/>
        <v>0</v>
      </c>
      <c r="N24" s="72">
        <f t="shared" si="6"/>
        <v>0</v>
      </c>
      <c r="O24" s="64">
        <f t="shared" si="18"/>
        <v>0</v>
      </c>
      <c r="P24" s="84">
        <f t="shared" si="7"/>
        <v>0</v>
      </c>
      <c r="Q24" s="84">
        <f t="shared" si="19"/>
        <v>14.76311452598657</v>
      </c>
      <c r="R24" s="73">
        <f t="shared" si="20"/>
        <v>452.34331839938346</v>
      </c>
      <c r="S24" s="694">
        <f>IF(NOT(EXACT(A24, "MP Complete")), INDEX(MP_new!$A$4:$J$9, MATCH(Step2!A24 - 1, MP_new!$A$4:$A$9, 0), 7), S22)</f>
        <v>49704.839141362812</v>
      </c>
      <c r="T24" s="693">
        <f>IF(EXACT($Q$5, "Yes"), IF(NOT(EXACT(A24, "MP Complete")), INDEX(MP_new!$A$4:$J$9, MATCH(Step2!A24, MP_new!$A$4:$A$9, 0), 10), T22), 0)</f>
        <v>9000</v>
      </c>
      <c r="U24" s="6">
        <f>('NPV Summary'!$B$16-S24)+T24</f>
        <v>24705.000970329987</v>
      </c>
      <c r="V24" s="6">
        <f>LOOKUP(B24,Rates!$A$5:$B$168)</f>
        <v>1548.240024059904</v>
      </c>
      <c r="W24" s="72">
        <f t="shared" si="8"/>
        <v>38.249271296703654</v>
      </c>
      <c r="X24" s="73">
        <f t="shared" si="24"/>
        <v>293.35041455505507</v>
      </c>
      <c r="Y24" s="20">
        <f t="shared" si="25"/>
        <v>23.486156770717084</v>
      </c>
      <c r="Z24" s="20">
        <f t="shared" si="25"/>
        <v>-158.9929038443284</v>
      </c>
      <c r="AA24" s="465">
        <f>IF(SUM(AA$11:AA23)&gt;0,0,IF(SUM(X24-R24)&gt;0,B24,0))</f>
        <v>0</v>
      </c>
      <c r="AB24" s="171">
        <f>ABS(Z24)*1000000/SUM(U$12:U24)</f>
        <v>726.12831729226878</v>
      </c>
      <c r="AH24" s="55">
        <f t="shared" si="21"/>
        <v>2019</v>
      </c>
      <c r="AI24" s="8">
        <f>Rates!B17</f>
        <v>1053</v>
      </c>
      <c r="AK24" s="55">
        <f t="shared" si="22"/>
        <v>2019</v>
      </c>
      <c r="AL24" s="8" t="str">
        <f>Rates!E17</f>
        <v>-</v>
      </c>
      <c r="AM24" s="114">
        <f>Rates!F17</f>
        <v>1053</v>
      </c>
      <c r="AN24" s="115">
        <f>Rates!G17</f>
        <v>738</v>
      </c>
      <c r="AP24" s="16">
        <f t="shared" si="9"/>
        <v>2030</v>
      </c>
      <c r="AQ24" s="77">
        <f t="shared" si="0"/>
        <v>0</v>
      </c>
      <c r="AS24" s="136">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4">
        <f t="shared" si="14"/>
        <v>2031</v>
      </c>
      <c r="C25" s="695">
        <v>0</v>
      </c>
      <c r="D25" s="695">
        <f>'Area Summary'!$D$44</f>
        <v>9.616785314343435</v>
      </c>
      <c r="E25" s="66">
        <f t="shared" si="15"/>
        <v>0.65700000000000003</v>
      </c>
      <c r="F25" s="66">
        <f t="shared" si="16"/>
        <v>0</v>
      </c>
      <c r="G25" s="67">
        <f t="shared" si="17"/>
        <v>14.12257344913923</v>
      </c>
      <c r="H25" s="68">
        <f t="shared" si="1"/>
        <v>1.0939532943029258</v>
      </c>
      <c r="I25" s="66">
        <f t="shared" si="2"/>
        <v>0</v>
      </c>
      <c r="J25" s="67">
        <f t="shared" si="3"/>
        <v>14.12257344913923</v>
      </c>
      <c r="K25" s="68">
        <f t="shared" si="3"/>
        <v>1.0939532943029258</v>
      </c>
      <c r="L25" s="66">
        <f t="shared" si="4"/>
        <v>0</v>
      </c>
      <c r="M25" s="70">
        <f t="shared" si="5"/>
        <v>0</v>
      </c>
      <c r="N25" s="70">
        <f t="shared" si="6"/>
        <v>0</v>
      </c>
      <c r="O25" s="66">
        <f t="shared" si="18"/>
        <v>0</v>
      </c>
      <c r="P25" s="67">
        <f t="shared" si="7"/>
        <v>0</v>
      </c>
      <c r="Q25" s="67">
        <f t="shared" si="19"/>
        <v>15.216526743442156</v>
      </c>
      <c r="R25" s="71">
        <f t="shared" si="20"/>
        <v>467.55984514282562</v>
      </c>
      <c r="S25" s="694">
        <f>IF(NOT(EXACT(A25, "MP Complete")), INDEX(MP_new!$A$4:$J$9, MATCH(Step2!A25 - 1, MP_new!$A$4:$A$9, 0), 7), S23)</f>
        <v>48544.957141362807</v>
      </c>
      <c r="T25" s="693">
        <f>IF(EXACT($Q$5, "Yes"), IF(NOT(EXACT(A25, "MP Complete")), INDEX(MP_new!$A$4:$J$9, MATCH(Step2!A25, MP_new!$A$4:$A$9, 0), 10), T23), 0)</f>
        <v>9000</v>
      </c>
      <c r="U25" s="82">
        <f>('NPV Summary'!$B$16-S25)+T25</f>
        <v>25864.882970329993</v>
      </c>
      <c r="V25" s="82">
        <f>LOOKUP(B25,Rates!$A$5:$B$168)</f>
        <v>1603.9766649260607</v>
      </c>
      <c r="W25" s="70">
        <f t="shared" si="8"/>
        <v>41.486668725452766</v>
      </c>
      <c r="X25" s="71">
        <f t="shared" si="24"/>
        <v>334.83708328050784</v>
      </c>
      <c r="Y25" s="470">
        <f t="shared" si="25"/>
        <v>26.27014198201061</v>
      </c>
      <c r="Z25" s="470">
        <f t="shared" si="25"/>
        <v>-132.72276186231778</v>
      </c>
      <c r="AA25" s="466">
        <f>IF(SUM(AA$11:AA24)&gt;0,0,IF(SUM(X25-R25)&gt;0,B25,0))</f>
        <v>0</v>
      </c>
      <c r="AB25" s="471">
        <f>ABS(Z25)*1000000/SUM(U$12:U25)</f>
        <v>542.1135062461766</v>
      </c>
      <c r="AH25" s="52">
        <f t="shared" si="21"/>
        <v>2020</v>
      </c>
      <c r="AI25" s="53">
        <f>Rates!B18</f>
        <v>1092</v>
      </c>
      <c r="AK25" s="52">
        <f t="shared" si="22"/>
        <v>2020</v>
      </c>
      <c r="AL25" s="53" t="str">
        <f>Rates!E18</f>
        <v>-</v>
      </c>
      <c r="AM25" s="472">
        <f>Rates!F18</f>
        <v>1092</v>
      </c>
      <c r="AN25" s="473">
        <f>Rates!G18</f>
        <v>783</v>
      </c>
      <c r="AP25" s="48">
        <f t="shared" si="9"/>
        <v>2031</v>
      </c>
      <c r="AQ25" s="78">
        <f t="shared" si="0"/>
        <v>0</v>
      </c>
      <c r="AS25" s="133">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5">
        <f t="shared" si="14"/>
        <v>2032</v>
      </c>
      <c r="C26" s="695">
        <v>0</v>
      </c>
      <c r="D26" s="695">
        <f>'Area Summary'!$D$44</f>
        <v>9.616785314343435</v>
      </c>
      <c r="E26" s="64">
        <f t="shared" si="15"/>
        <v>0.65700000000000003</v>
      </c>
      <c r="F26" s="64">
        <f t="shared" si="16"/>
        <v>0</v>
      </c>
      <c r="G26" s="84">
        <f t="shared" si="17"/>
        <v>14.546250652613409</v>
      </c>
      <c r="H26" s="65">
        <f t="shared" si="1"/>
        <v>1.1377114260750427</v>
      </c>
      <c r="I26" s="64">
        <f t="shared" si="2"/>
        <v>0</v>
      </c>
      <c r="J26" s="84">
        <f t="shared" si="3"/>
        <v>14.546250652613409</v>
      </c>
      <c r="K26" s="65">
        <f t="shared" si="3"/>
        <v>1.1377114260750427</v>
      </c>
      <c r="L26" s="64">
        <f t="shared" si="4"/>
        <v>0</v>
      </c>
      <c r="M26" s="72">
        <f t="shared" si="5"/>
        <v>0</v>
      </c>
      <c r="N26" s="72">
        <f t="shared" si="6"/>
        <v>0</v>
      </c>
      <c r="O26" s="64">
        <f t="shared" si="18"/>
        <v>0</v>
      </c>
      <c r="P26" s="84">
        <f t="shared" si="7"/>
        <v>0</v>
      </c>
      <c r="Q26" s="84">
        <f t="shared" si="19"/>
        <v>15.683962078688452</v>
      </c>
      <c r="R26" s="73">
        <f t="shared" si="20"/>
        <v>483.24380722151409</v>
      </c>
      <c r="S26" s="694">
        <f>IF(NOT(EXACT(A26, "MP Complete")), INDEX(MP_new!$A$4:$J$9, MATCH(Step2!A26 - 1, MP_new!$A$4:$A$9, 0), 7), S24)</f>
        <v>48544.957141362807</v>
      </c>
      <c r="T26" s="693">
        <f>IF(EXACT($Q$5, "Yes"), IF(NOT(EXACT(A26, "MP Complete")), INDEX(MP_new!$A$4:$J$9, MATCH(Step2!A26, MP_new!$A$4:$A$9, 0), 10), T24), 0)</f>
        <v>9000</v>
      </c>
      <c r="U26" s="6">
        <f>('NPV Summary'!$B$16-S26)+T26</f>
        <v>25864.882970329993</v>
      </c>
      <c r="V26" s="6">
        <f>LOOKUP(B26,Rates!$A$5:$B$168)</f>
        <v>1661.719824863399</v>
      </c>
      <c r="W26" s="72">
        <f t="shared" si="8"/>
        <v>42.980188799569071</v>
      </c>
      <c r="X26" s="73">
        <f t="shared" si="24"/>
        <v>377.81727208007692</v>
      </c>
      <c r="Y26" s="20">
        <f t="shared" si="25"/>
        <v>27.296226720880618</v>
      </c>
      <c r="Z26" s="20">
        <f t="shared" si="25"/>
        <v>-105.42653514143717</v>
      </c>
      <c r="AA26" s="465">
        <f>IF(SUM(AA$11:AA25)&gt;0,0,IF(SUM(X26-R26)&gt;0,B26,0))</f>
        <v>0</v>
      </c>
      <c r="AB26" s="171">
        <f>ABS(Z26)*1000000/SUM(U$12:U26)</f>
        <v>389.4739669117734</v>
      </c>
      <c r="AH26" s="55">
        <f t="shared" si="21"/>
        <v>2021</v>
      </c>
      <c r="AI26" s="8">
        <f>Rates!B19</f>
        <v>1123</v>
      </c>
      <c r="AK26" s="55">
        <f t="shared" si="22"/>
        <v>2021</v>
      </c>
      <c r="AL26" s="8" t="str">
        <f>Rates!E19</f>
        <v>-</v>
      </c>
      <c r="AM26" s="114">
        <f>Rates!F19</f>
        <v>1123</v>
      </c>
      <c r="AN26" s="115">
        <f>Rates!G19</f>
        <v>835</v>
      </c>
      <c r="AP26" s="16">
        <f t="shared" si="9"/>
        <v>2032</v>
      </c>
      <c r="AQ26" s="77">
        <f t="shared" si="0"/>
        <v>0</v>
      </c>
      <c r="AS26" s="136">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4">
        <f t="shared" si="14"/>
        <v>2033</v>
      </c>
      <c r="C27" s="695">
        <f>'10 YEAR PROJECTION'!X$55/1000000</f>
        <v>0</v>
      </c>
      <c r="D27" s="695">
        <f>'Area Summary'!$D$44</f>
        <v>9.616785314343435</v>
      </c>
      <c r="E27" s="66">
        <f t="shared" si="15"/>
        <v>0.65700000000000003</v>
      </c>
      <c r="F27" s="66">
        <f t="shared" si="16"/>
        <v>0</v>
      </c>
      <c r="G27" s="67">
        <f t="shared" si="17"/>
        <v>14.982638172191812</v>
      </c>
      <c r="H27" s="68">
        <f t="shared" si="1"/>
        <v>1.1832198831180443</v>
      </c>
      <c r="I27" s="66">
        <f t="shared" si="2"/>
        <v>0</v>
      </c>
      <c r="J27" s="67">
        <f t="shared" si="3"/>
        <v>14.982638172191812</v>
      </c>
      <c r="K27" s="68">
        <f t="shared" si="3"/>
        <v>1.1832198831180443</v>
      </c>
      <c r="L27" s="66">
        <f t="shared" si="4"/>
        <v>0</v>
      </c>
      <c r="M27" s="70">
        <f t="shared" si="5"/>
        <v>0</v>
      </c>
      <c r="N27" s="70">
        <f t="shared" si="6"/>
        <v>0</v>
      </c>
      <c r="O27" s="66">
        <f t="shared" si="18"/>
        <v>0</v>
      </c>
      <c r="P27" s="67">
        <f t="shared" si="7"/>
        <v>0</v>
      </c>
      <c r="Q27" s="67">
        <f t="shared" si="19"/>
        <v>16.165858055309858</v>
      </c>
      <c r="R27" s="71">
        <f t="shared" si="20"/>
        <v>499.40966527682394</v>
      </c>
      <c r="S27" s="694">
        <f>IF(NOT(EXACT(A27, "MP Complete")), INDEX(MP_new!$A$4:$J$9, MATCH(Step2!A27 - 1, MP_new!$A$4:$A$9, 0), 7), S25)</f>
        <v>48544.957141362807</v>
      </c>
      <c r="T27" s="693">
        <f>IF(EXACT($Q$5, "Yes"), IF(NOT(EXACT(A27, "MP Complete")), INDEX(MP_new!$A$4:$J$9, MATCH(Step2!A27, MP_new!$A$4:$A$9, 0), 10), T25), 0)</f>
        <v>9000</v>
      </c>
      <c r="U27" s="82">
        <f>('NPV Summary'!$B$16-S27)+T27</f>
        <v>25864.882970329993</v>
      </c>
      <c r="V27" s="82">
        <f>LOOKUP(B27,Rates!$A$5:$B$168)</f>
        <v>1721.5417385584815</v>
      </c>
      <c r="W27" s="70">
        <f t="shared" si="8"/>
        <v>44.527475596353554</v>
      </c>
      <c r="X27" s="71">
        <f t="shared" si="24"/>
        <v>422.34474767643047</v>
      </c>
      <c r="Y27" s="470">
        <f t="shared" si="25"/>
        <v>28.361617541043696</v>
      </c>
      <c r="Z27" s="470">
        <f t="shared" si="25"/>
        <v>-77.064917600393471</v>
      </c>
      <c r="AA27" s="466">
        <f>IF(SUM(AA$11:AA26)&gt;0,0,IF(SUM(X27-R27)&gt;0,B27,0))</f>
        <v>0</v>
      </c>
      <c r="AB27" s="471">
        <f>ABS(Z27)*1000000/SUM(U$12:U27)</f>
        <v>259.86769205558892</v>
      </c>
      <c r="AH27" s="52">
        <f t="shared" si="21"/>
        <v>2022</v>
      </c>
      <c r="AI27" s="53">
        <f>Rates!B20</f>
        <v>1164</v>
      </c>
      <c r="AK27" s="52">
        <f t="shared" si="22"/>
        <v>2022</v>
      </c>
      <c r="AL27" s="53" t="str">
        <f>Rates!E20</f>
        <v>-</v>
      </c>
      <c r="AM27" s="472">
        <f>Rates!F20</f>
        <v>1164</v>
      </c>
      <c r="AN27" s="473">
        <f>Rates!G20</f>
        <v>876</v>
      </c>
      <c r="AP27" s="48">
        <f t="shared" si="9"/>
        <v>2033</v>
      </c>
      <c r="AQ27" s="78">
        <f t="shared" si="0"/>
        <v>0</v>
      </c>
      <c r="AS27" s="133">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5">
        <f t="shared" si="14"/>
        <v>2034</v>
      </c>
      <c r="C28" s="695">
        <v>0</v>
      </c>
      <c r="D28" s="695">
        <f>'Area Summary'!$D$44</f>
        <v>9.616785314343435</v>
      </c>
      <c r="E28" s="64">
        <f t="shared" si="15"/>
        <v>0.65700000000000003</v>
      </c>
      <c r="F28" s="64">
        <f t="shared" si="16"/>
        <v>0</v>
      </c>
      <c r="G28" s="84">
        <f t="shared" si="17"/>
        <v>15.432117317357564</v>
      </c>
      <c r="H28" s="65">
        <f t="shared" si="1"/>
        <v>1.2305486784427664</v>
      </c>
      <c r="I28" s="64">
        <f t="shared" si="2"/>
        <v>0</v>
      </c>
      <c r="J28" s="84">
        <f t="shared" si="3"/>
        <v>15.432117317357564</v>
      </c>
      <c r="K28" s="65">
        <f t="shared" si="3"/>
        <v>1.2305486784427664</v>
      </c>
      <c r="L28" s="64">
        <f t="shared" si="4"/>
        <v>0</v>
      </c>
      <c r="M28" s="72">
        <f t="shared" si="5"/>
        <v>0</v>
      </c>
      <c r="N28" s="72">
        <f t="shared" si="6"/>
        <v>0</v>
      </c>
      <c r="O28" s="64">
        <f t="shared" si="18"/>
        <v>0</v>
      </c>
      <c r="P28" s="84">
        <f t="shared" si="7"/>
        <v>0</v>
      </c>
      <c r="Q28" s="84">
        <f t="shared" si="19"/>
        <v>16.662665995800332</v>
      </c>
      <c r="R28" s="73">
        <f t="shared" si="20"/>
        <v>516.0723312726243</v>
      </c>
      <c r="S28" s="694">
        <f>IF(NOT(EXACT(A28, "MP Complete")), INDEX(MP_new!$A$4:$J$9, MATCH(Step2!A28 - 1, MP_new!$A$4:$A$9, 0), 7), S26)</f>
        <v>48544.957141362807</v>
      </c>
      <c r="T28" s="693">
        <f>IF(EXACT($Q$5, "Yes"), IF(NOT(EXACT(A28, "MP Complete")), INDEX(MP_new!$A$4:$J$9, MATCH(Step2!A28, MP_new!$A$4:$A$9, 0), 10), T26), 0)</f>
        <v>9000</v>
      </c>
      <c r="U28" s="6">
        <f>('NPV Summary'!$B$16-S28)+T28</f>
        <v>25864.882970329993</v>
      </c>
      <c r="V28" s="6">
        <f>LOOKUP(B28,Rates!$A$5:$B$168)</f>
        <v>1783.5172411465869</v>
      </c>
      <c r="W28" s="72">
        <f t="shared" si="8"/>
        <v>46.130464717822285</v>
      </c>
      <c r="X28" s="73">
        <f t="shared" si="24"/>
        <v>468.47521239425276</v>
      </c>
      <c r="Y28" s="20">
        <f t="shared" si="25"/>
        <v>29.467798722021953</v>
      </c>
      <c r="Z28" s="20">
        <f t="shared" si="25"/>
        <v>-47.597118878371532</v>
      </c>
      <c r="AA28" s="465">
        <f>IF(SUM(AA$11:AA27)&gt;0,0,IF(SUM(X28-R28)&gt;0,B28,0))</f>
        <v>0</v>
      </c>
      <c r="AB28" s="171">
        <f>ABS(Z28)*1000000/SUM(U$12:U28)</f>
        <v>147.62489606803345</v>
      </c>
      <c r="AH28" s="55">
        <f t="shared" si="21"/>
        <v>2023</v>
      </c>
      <c r="AI28" s="8">
        <f>Rates!B21</f>
        <v>1205</v>
      </c>
      <c r="AK28" s="55">
        <f t="shared" si="22"/>
        <v>2023</v>
      </c>
      <c r="AL28" s="8" t="str">
        <f>Rates!E21</f>
        <v>-</v>
      </c>
      <c r="AM28" s="114">
        <f>Rates!F21</f>
        <v>1205</v>
      </c>
      <c r="AN28" s="115">
        <f>Rates!G21</f>
        <v>917</v>
      </c>
      <c r="AP28" s="16">
        <f t="shared" si="9"/>
        <v>2034</v>
      </c>
      <c r="AQ28" s="77">
        <f t="shared" si="0"/>
        <v>0</v>
      </c>
      <c r="AS28" s="136">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4">
        <f t="shared" si="14"/>
        <v>2035</v>
      </c>
      <c r="C29" s="695">
        <v>0</v>
      </c>
      <c r="D29" s="695">
        <f>'Area Summary'!$D$44</f>
        <v>9.616785314343435</v>
      </c>
      <c r="E29" s="66">
        <f t="shared" si="15"/>
        <v>0.65700000000000003</v>
      </c>
      <c r="F29" s="66">
        <f t="shared" si="16"/>
        <v>0</v>
      </c>
      <c r="G29" s="67">
        <f t="shared" si="17"/>
        <v>15.895080836878289</v>
      </c>
      <c r="H29" s="68">
        <f t="shared" si="1"/>
        <v>1.2797706255804771</v>
      </c>
      <c r="I29" s="66">
        <f t="shared" si="2"/>
        <v>0</v>
      </c>
      <c r="J29" s="67">
        <f t="shared" si="3"/>
        <v>15.895080836878289</v>
      </c>
      <c r="K29" s="68">
        <f t="shared" si="3"/>
        <v>1.2797706255804771</v>
      </c>
      <c r="L29" s="66">
        <f t="shared" si="4"/>
        <v>0</v>
      </c>
      <c r="M29" s="70">
        <f t="shared" si="5"/>
        <v>0</v>
      </c>
      <c r="N29" s="70">
        <f t="shared" si="6"/>
        <v>0</v>
      </c>
      <c r="O29" s="66">
        <f t="shared" si="18"/>
        <v>0</v>
      </c>
      <c r="P29" s="67">
        <f t="shared" si="7"/>
        <v>0</v>
      </c>
      <c r="Q29" s="67">
        <f t="shared" si="19"/>
        <v>17.174851462458765</v>
      </c>
      <c r="R29" s="71">
        <f t="shared" si="20"/>
        <v>533.24718273508302</v>
      </c>
      <c r="S29" s="694">
        <f>IF(NOT(EXACT(A29, "MP Complete")), INDEX(MP_new!$A$4:$J$9, MATCH(Step2!A29 - 1, MP_new!$A$4:$A$9, 0), 7), S27)</f>
        <v>48544.957141362807</v>
      </c>
      <c r="T29" s="693">
        <f>IF(EXACT($Q$5, "Yes"), IF(NOT(EXACT(A29, "MP Complete")), INDEX(MP_new!$A$4:$J$9, MATCH(Step2!A29, MP_new!$A$4:$A$9, 0), 10), T27), 0)</f>
        <v>9000</v>
      </c>
      <c r="U29" s="82">
        <f>('NPV Summary'!$B$16-S29)+T29</f>
        <v>25864.882970329993</v>
      </c>
      <c r="V29" s="82">
        <f>LOOKUP(B29,Rates!$A$5:$B$168)</f>
        <v>1847.7238618278641</v>
      </c>
      <c r="W29" s="70">
        <f t="shared" si="8"/>
        <v>47.791161447663889</v>
      </c>
      <c r="X29" s="71">
        <f t="shared" si="24"/>
        <v>516.26637384191667</v>
      </c>
      <c r="Y29" s="470">
        <f t="shared" si="25"/>
        <v>30.616309985205124</v>
      </c>
      <c r="Z29" s="470">
        <f t="shared" si="25"/>
        <v>-16.980808893166341</v>
      </c>
      <c r="AA29" s="466">
        <f>IF(SUM(AA$11:AA28)&gt;0,0,IF(SUM(X29-R29)&gt;0,B29,0))</f>
        <v>0</v>
      </c>
      <c r="AB29" s="471">
        <f>ABS(Z29)*1000000/SUM(U$12:U29)</f>
        <v>48.755610097065002</v>
      </c>
      <c r="AH29" s="52">
        <f t="shared" si="21"/>
        <v>2024</v>
      </c>
      <c r="AI29" s="53">
        <f>Rates!B22</f>
        <v>1249</v>
      </c>
      <c r="AK29" s="52">
        <f t="shared" si="22"/>
        <v>2024</v>
      </c>
      <c r="AL29" s="53" t="str">
        <f>Rates!E22</f>
        <v>-</v>
      </c>
      <c r="AM29" s="472">
        <f>Rates!F22</f>
        <v>1249</v>
      </c>
      <c r="AN29" s="473">
        <f>Rates!G22</f>
        <v>961</v>
      </c>
      <c r="AP29" s="48">
        <f t="shared" si="9"/>
        <v>2035</v>
      </c>
      <c r="AQ29" s="78">
        <f t="shared" si="0"/>
        <v>0</v>
      </c>
      <c r="AS29" s="133">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5">
        <f t="shared" si="14"/>
        <v>2036</v>
      </c>
      <c r="C30" s="695">
        <v>0</v>
      </c>
      <c r="D30" s="695">
        <f>'Area Summary'!$D$44</f>
        <v>9.616785314343435</v>
      </c>
      <c r="E30" s="64">
        <f t="shared" si="15"/>
        <v>0.65700000000000003</v>
      </c>
      <c r="F30" s="64">
        <f t="shared" si="16"/>
        <v>0</v>
      </c>
      <c r="G30" s="84">
        <f t="shared" si="17"/>
        <v>16.37193326198464</v>
      </c>
      <c r="H30" s="65">
        <f t="shared" si="1"/>
        <v>1.3309614506036962</v>
      </c>
      <c r="I30" s="64">
        <f t="shared" si="2"/>
        <v>0</v>
      </c>
      <c r="J30" s="84">
        <f t="shared" si="3"/>
        <v>16.37193326198464</v>
      </c>
      <c r="K30" s="65">
        <f t="shared" si="3"/>
        <v>1.3309614506036962</v>
      </c>
      <c r="L30" s="64">
        <f t="shared" si="4"/>
        <v>0</v>
      </c>
      <c r="M30" s="72">
        <f t="shared" si="5"/>
        <v>0</v>
      </c>
      <c r="N30" s="72">
        <f t="shared" si="6"/>
        <v>0</v>
      </c>
      <c r="O30" s="64">
        <f t="shared" si="18"/>
        <v>0</v>
      </c>
      <c r="P30" s="84">
        <f t="shared" si="7"/>
        <v>0</v>
      </c>
      <c r="Q30" s="84">
        <f t="shared" si="19"/>
        <v>17.702894712588336</v>
      </c>
      <c r="R30" s="73">
        <f t="shared" si="20"/>
        <v>550.95007744767133</v>
      </c>
      <c r="S30" s="694">
        <f>IF(NOT(EXACT(A30, "MP Complete")), INDEX(MP_new!$A$4:$J$9, MATCH(Step2!A30 - 1, MP_new!$A$4:$A$9, 0), 7), S28)</f>
        <v>48544.957141362807</v>
      </c>
      <c r="T30" s="693">
        <f>IF(EXACT($Q$5, "Yes"), IF(NOT(EXACT(A30, "MP Complete")), INDEX(MP_new!$A$4:$J$9, MATCH(Step2!A30, MP_new!$A$4:$A$9, 0), 10), T28), 0)</f>
        <v>9000</v>
      </c>
      <c r="U30" s="6">
        <f>('NPV Summary'!$B$16-S30)+T30</f>
        <v>25864.882970329993</v>
      </c>
      <c r="V30" s="6">
        <f>LOOKUP(B30,Rates!$A$5:$B$168)</f>
        <v>1914.2419208536674</v>
      </c>
      <c r="W30" s="72">
        <f t="shared" si="8"/>
        <v>49.511643259779795</v>
      </c>
      <c r="X30" s="73">
        <f t="shared" si="24"/>
        <v>565.77801710169649</v>
      </c>
      <c r="Y30" s="20">
        <f t="shared" si="25"/>
        <v>31.80874854719146</v>
      </c>
      <c r="Z30" s="20">
        <f t="shared" si="25"/>
        <v>14.827939654025158</v>
      </c>
      <c r="AA30" s="465">
        <f>IF(SUM(AA$11:AA29)&gt;0,0,IF(SUM(X30-R30)&gt;0,B30,0))</f>
        <v>2036</v>
      </c>
      <c r="AB30" s="171">
        <f>ABS(Z30)*1000000/SUM(U$12:U30)</f>
        <v>39.631099307497934</v>
      </c>
      <c r="AH30" s="55">
        <f t="shared" si="21"/>
        <v>2025</v>
      </c>
      <c r="AI30" s="8">
        <f>Rates!B23</f>
        <v>1296</v>
      </c>
      <c r="AK30" s="55">
        <f t="shared" si="22"/>
        <v>2025</v>
      </c>
      <c r="AL30" s="8" t="str">
        <f>Rates!E23</f>
        <v>-</v>
      </c>
      <c r="AM30" s="114">
        <f>Rates!F23</f>
        <v>1296</v>
      </c>
      <c r="AN30" s="115">
        <f>Rates!G23</f>
        <v>1008</v>
      </c>
      <c r="AP30" s="16">
        <f t="shared" si="9"/>
        <v>2036</v>
      </c>
      <c r="AQ30" s="77">
        <f t="shared" si="0"/>
        <v>0</v>
      </c>
      <c r="AS30" s="136">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4">
        <f t="shared" si="14"/>
        <v>2037</v>
      </c>
      <c r="C31" s="695">
        <v>0</v>
      </c>
      <c r="D31" s="695">
        <f>'Area Summary'!$D$44</f>
        <v>9.616785314343435</v>
      </c>
      <c r="E31" s="66">
        <f t="shared" si="15"/>
        <v>0.65700000000000003</v>
      </c>
      <c r="F31" s="66">
        <f t="shared" si="16"/>
        <v>0</v>
      </c>
      <c r="G31" s="67">
        <f t="shared" si="17"/>
        <v>16.863091259844179</v>
      </c>
      <c r="H31" s="68">
        <f t="shared" si="1"/>
        <v>1.384199908627844</v>
      </c>
      <c r="I31" s="66">
        <f t="shared" si="2"/>
        <v>0</v>
      </c>
      <c r="J31" s="67">
        <f t="shared" si="3"/>
        <v>16.863091259844179</v>
      </c>
      <c r="K31" s="68">
        <f t="shared" si="3"/>
        <v>1.384199908627844</v>
      </c>
      <c r="L31" s="66">
        <f t="shared" si="4"/>
        <v>0</v>
      </c>
      <c r="M31" s="70">
        <f t="shared" si="5"/>
        <v>0</v>
      </c>
      <c r="N31" s="70">
        <f t="shared" si="6"/>
        <v>0</v>
      </c>
      <c r="O31" s="66">
        <f t="shared" si="18"/>
        <v>0</v>
      </c>
      <c r="P31" s="67">
        <f t="shared" si="7"/>
        <v>0</v>
      </c>
      <c r="Q31" s="67">
        <f t="shared" si="19"/>
        <v>18.247291168472024</v>
      </c>
      <c r="R31" s="71">
        <f t="shared" si="20"/>
        <v>569.19736861614331</v>
      </c>
      <c r="S31" s="694">
        <f>IF(NOT(EXACT(A31, "MP Complete")), INDEX(MP_new!$A$4:$J$9, MATCH(Step2!A31 - 1, MP_new!$A$4:$A$9, 0), 7), S29)</f>
        <v>48544.957141362807</v>
      </c>
      <c r="T31" s="693">
        <f>IF(EXACT($Q$5, "Yes"), IF(NOT(EXACT(A31, "MP Complete")), INDEX(MP_new!$A$4:$J$9, MATCH(Step2!A31, MP_new!$A$4:$A$9, 0), 10), T29), 0)</f>
        <v>9000</v>
      </c>
      <c r="U31" s="82">
        <f>('NPV Summary'!$B$16-S31)+T31</f>
        <v>25864.882970329993</v>
      </c>
      <c r="V31" s="82">
        <f>LOOKUP(B31,Rates!$A$5:$B$168)</f>
        <v>1983.1546300043995</v>
      </c>
      <c r="W31" s="70">
        <f t="shared" si="8"/>
        <v>51.294062417131869</v>
      </c>
      <c r="X31" s="71">
        <f t="shared" si="24"/>
        <v>617.07207951882833</v>
      </c>
      <c r="Y31" s="470">
        <f t="shared" si="25"/>
        <v>33.046771248659844</v>
      </c>
      <c r="Z31" s="470">
        <f t="shared" si="25"/>
        <v>47.874710902685024</v>
      </c>
      <c r="AA31" s="466">
        <f>IF(SUM(AA$11:AA30)&gt;0,0,IF(SUM(X31-R31)&gt;0,B31,0))</f>
        <v>0</v>
      </c>
      <c r="AB31" s="471">
        <f>ABS(Z31)*1000000/SUM(U$12:U31)</f>
        <v>119.68259711443788</v>
      </c>
      <c r="AH31" s="52">
        <f t="shared" si="21"/>
        <v>2026</v>
      </c>
      <c r="AI31" s="53">
        <f>Rates!B24</f>
        <v>1344</v>
      </c>
      <c r="AK31" s="52">
        <f t="shared" si="22"/>
        <v>2026</v>
      </c>
      <c r="AL31" s="53" t="str">
        <f>Rates!E24</f>
        <v>-</v>
      </c>
      <c r="AM31" s="472">
        <f>Rates!F24</f>
        <v>1344</v>
      </c>
      <c r="AN31" s="473">
        <f>Rates!G24</f>
        <v>1056</v>
      </c>
      <c r="AP31" s="48">
        <f t="shared" si="9"/>
        <v>2037</v>
      </c>
      <c r="AQ31" s="78">
        <f t="shared" si="0"/>
        <v>0</v>
      </c>
      <c r="AS31" s="133">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5">
        <f t="shared" si="14"/>
        <v>2038</v>
      </c>
      <c r="C32" s="695">
        <v>0</v>
      </c>
      <c r="D32" s="695">
        <f>'Area Summary'!$D$44</f>
        <v>9.616785314343435</v>
      </c>
      <c r="E32" s="64">
        <f t="shared" si="15"/>
        <v>0.65700000000000003</v>
      </c>
      <c r="F32" s="64">
        <f t="shared" si="16"/>
        <v>0</v>
      </c>
      <c r="G32" s="84">
        <f t="shared" si="17"/>
        <v>17.368983997639504</v>
      </c>
      <c r="H32" s="65">
        <f t="shared" si="1"/>
        <v>1.4395679049729577</v>
      </c>
      <c r="I32" s="64">
        <f t="shared" si="2"/>
        <v>0</v>
      </c>
      <c r="J32" s="84">
        <f t="shared" si="3"/>
        <v>17.368983997639504</v>
      </c>
      <c r="K32" s="65">
        <f t="shared" si="3"/>
        <v>1.4395679049729577</v>
      </c>
      <c r="L32" s="64">
        <f t="shared" si="4"/>
        <v>0</v>
      </c>
      <c r="M32" s="72">
        <f t="shared" si="5"/>
        <v>0</v>
      </c>
      <c r="N32" s="72">
        <f t="shared" si="6"/>
        <v>0</v>
      </c>
      <c r="O32" s="64">
        <f t="shared" si="18"/>
        <v>0</v>
      </c>
      <c r="P32" s="84">
        <f t="shared" si="7"/>
        <v>0</v>
      </c>
      <c r="Q32" s="84">
        <f t="shared" si="19"/>
        <v>18.808551902612461</v>
      </c>
      <c r="R32" s="73">
        <f t="shared" si="20"/>
        <v>588.00592051875572</v>
      </c>
      <c r="S32" s="694">
        <f>IF(NOT(EXACT(A32, "MP Complete")), INDEX(MP_new!$A$4:$J$9, MATCH(Step2!A32 - 1, MP_new!$A$4:$A$9, 0), 7), S30)</f>
        <v>48544.957141362807</v>
      </c>
      <c r="T32" s="693">
        <f>IF(EXACT($Q$5, "Yes"), IF(NOT(EXACT(A32, "MP Complete")), INDEX(MP_new!$A$4:$J$9, MATCH(Step2!A32, MP_new!$A$4:$A$9, 0), 10), T30), 0)</f>
        <v>9000</v>
      </c>
      <c r="U32" s="6">
        <f>('NPV Summary'!$B$16-S32)+T32</f>
        <v>25864.882970329993</v>
      </c>
      <c r="V32" s="6">
        <f>LOOKUP(B32,Rates!$A$5:$B$168)</f>
        <v>2054.5481966845578</v>
      </c>
      <c r="W32" s="72">
        <f t="shared" si="8"/>
        <v>53.140648664148614</v>
      </c>
      <c r="X32" s="73">
        <f t="shared" si="24"/>
        <v>670.21272818297689</v>
      </c>
      <c r="Y32" s="20">
        <f t="shared" si="25"/>
        <v>34.33209676153615</v>
      </c>
      <c r="Z32" s="20">
        <f t="shared" si="25"/>
        <v>82.206807664221174</v>
      </c>
      <c r="AA32" s="465">
        <f>IF(SUM(AA$11:AA31)&gt;0,0,IF(SUM(X32-R32)&gt;0,B32,0))</f>
        <v>0</v>
      </c>
      <c r="AB32" s="171">
        <f>ABS(Z32)*1000000/SUM(U$12:U32)</f>
        <v>193.02862056673811</v>
      </c>
      <c r="AH32" s="55">
        <f t="shared" si="21"/>
        <v>2027</v>
      </c>
      <c r="AI32" s="8">
        <f>Rates!B25</f>
        <v>1392.384</v>
      </c>
      <c r="AK32" s="55">
        <f t="shared" si="22"/>
        <v>2027</v>
      </c>
      <c r="AL32" s="164">
        <f>Rates!E25</f>
        <v>3.5999999999999997E-2</v>
      </c>
      <c r="AM32" s="8">
        <f>Rates!F25</f>
        <v>1392.384</v>
      </c>
      <c r="AN32" s="132">
        <f>Rates!G25</f>
        <v>1094.0160000000001</v>
      </c>
      <c r="AP32" s="16">
        <f t="shared" si="9"/>
        <v>2038</v>
      </c>
      <c r="AQ32" s="77">
        <f t="shared" si="0"/>
        <v>0</v>
      </c>
      <c r="AS32" s="136">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4">
        <f t="shared" si="14"/>
        <v>2039</v>
      </c>
      <c r="C33" s="695">
        <v>0</v>
      </c>
      <c r="D33" s="695">
        <f>'Area Summary'!$D$44</f>
        <v>9.616785314343435</v>
      </c>
      <c r="E33" s="66">
        <f t="shared" si="15"/>
        <v>0.65700000000000003</v>
      </c>
      <c r="F33" s="66">
        <f t="shared" si="16"/>
        <v>0</v>
      </c>
      <c r="G33" s="67">
        <f t="shared" si="17"/>
        <v>17.890053517568685</v>
      </c>
      <c r="H33" s="68">
        <f t="shared" si="1"/>
        <v>1.4971506211718766</v>
      </c>
      <c r="I33" s="66">
        <f t="shared" si="2"/>
        <v>0</v>
      </c>
      <c r="J33" s="67">
        <f t="shared" si="3"/>
        <v>17.890053517568685</v>
      </c>
      <c r="K33" s="68">
        <f t="shared" si="3"/>
        <v>1.4971506211718766</v>
      </c>
      <c r="L33" s="66">
        <f t="shared" si="4"/>
        <v>0</v>
      </c>
      <c r="M33" s="70">
        <f t="shared" si="5"/>
        <v>0</v>
      </c>
      <c r="N33" s="70">
        <f t="shared" si="6"/>
        <v>0</v>
      </c>
      <c r="O33" s="66">
        <f t="shared" si="18"/>
        <v>0</v>
      </c>
      <c r="P33" s="67">
        <f t="shared" si="7"/>
        <v>0</v>
      </c>
      <c r="Q33" s="67">
        <f t="shared" si="19"/>
        <v>19.387204138740561</v>
      </c>
      <c r="R33" s="71">
        <f t="shared" si="20"/>
        <v>607.39312465749629</v>
      </c>
      <c r="S33" s="694">
        <f>IF(NOT(EXACT(A33, "MP Complete")), INDEX(MP_new!$A$4:$J$9, MATCH(Step2!A33 - 1, MP_new!$A$4:$A$9, 0), 7), S31)</f>
        <v>48544.957141362807</v>
      </c>
      <c r="T33" s="693">
        <f>IF(EXACT($Q$5, "Yes"), IF(NOT(EXACT(A33, "MP Complete")), INDEX(MP_new!$A$4:$J$9, MATCH(Step2!A33, MP_new!$A$4:$A$9, 0), 10), T31), 0)</f>
        <v>9000</v>
      </c>
      <c r="U33" s="82">
        <f>('NPV Summary'!$B$16-S33)+T33</f>
        <v>25864.882970329993</v>
      </c>
      <c r="V33" s="82">
        <f>LOOKUP(B33,Rates!$A$5:$B$168)</f>
        <v>2128.511931765202</v>
      </c>
      <c r="W33" s="70">
        <f t="shared" si="8"/>
        <v>55.053712016057965</v>
      </c>
      <c r="X33" s="71">
        <f t="shared" si="24"/>
        <v>725.26644019903483</v>
      </c>
      <c r="Y33" s="470">
        <f t="shared" si="25"/>
        <v>35.6665078773174</v>
      </c>
      <c r="Z33" s="470">
        <f t="shared" si="25"/>
        <v>117.87331554153855</v>
      </c>
      <c r="AA33" s="466">
        <f>IF(SUM(AA$11:AA32)&gt;0,0,IF(SUM(X33-R33)&gt;0,B33,0))</f>
        <v>0</v>
      </c>
      <c r="AB33" s="471">
        <f>ABS(Z33)*1000000/SUM(U$12:U33)</f>
        <v>260.9296066887008</v>
      </c>
      <c r="AH33" s="52">
        <f t="shared" si="21"/>
        <v>2028</v>
      </c>
      <c r="AI33" s="53">
        <f>Rates!B26</f>
        <v>1442.509824</v>
      </c>
      <c r="AK33" s="52">
        <f t="shared" si="22"/>
        <v>2028</v>
      </c>
      <c r="AL33" s="165">
        <f>Rates!E26</f>
        <v>3.5999999999999997E-2</v>
      </c>
      <c r="AM33" s="53">
        <f>Rates!F26</f>
        <v>1442.509824</v>
      </c>
      <c r="AN33" s="54">
        <f>Rates!G26</f>
        <v>1133.400576</v>
      </c>
      <c r="AP33" s="48">
        <f t="shared" si="9"/>
        <v>2039</v>
      </c>
      <c r="AQ33" s="78">
        <f t="shared" si="0"/>
        <v>0</v>
      </c>
      <c r="AS33" s="133">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5">
        <f t="shared" si="14"/>
        <v>2040</v>
      </c>
      <c r="C34" s="695">
        <v>0</v>
      </c>
      <c r="D34" s="695">
        <f>'Area Summary'!$D$44</f>
        <v>9.616785314343435</v>
      </c>
      <c r="E34" s="64">
        <f t="shared" si="15"/>
        <v>0.65700000000000003</v>
      </c>
      <c r="F34" s="64">
        <f t="shared" si="16"/>
        <v>0</v>
      </c>
      <c r="G34" s="84">
        <f t="shared" si="17"/>
        <v>18.426755123095749</v>
      </c>
      <c r="H34" s="65">
        <f t="shared" si="1"/>
        <v>1.5570366460187515</v>
      </c>
      <c r="I34" s="64">
        <f t="shared" si="2"/>
        <v>0</v>
      </c>
      <c r="J34" s="84">
        <f t="shared" si="3"/>
        <v>18.426755123095749</v>
      </c>
      <c r="K34" s="65">
        <f t="shared" si="3"/>
        <v>1.5570366460187515</v>
      </c>
      <c r="L34" s="64">
        <f t="shared" si="4"/>
        <v>0</v>
      </c>
      <c r="M34" s="72">
        <f t="shared" si="5"/>
        <v>0</v>
      </c>
      <c r="N34" s="72">
        <f t="shared" si="6"/>
        <v>0</v>
      </c>
      <c r="O34" s="64">
        <f t="shared" si="18"/>
        <v>0</v>
      </c>
      <c r="P34" s="84">
        <f t="shared" si="7"/>
        <v>0</v>
      </c>
      <c r="Q34" s="84">
        <f t="shared" si="19"/>
        <v>19.9837917691145</v>
      </c>
      <c r="R34" s="73">
        <f t="shared" si="20"/>
        <v>627.37691642661082</v>
      </c>
      <c r="S34" s="694">
        <f>IF(NOT(EXACT(A34, "MP Complete")), INDEX(MP_new!$A$4:$J$9, MATCH(Step2!A34 - 1, MP_new!$A$4:$A$9, 0), 7), S32)</f>
        <v>48544.957141362807</v>
      </c>
      <c r="T34" s="693">
        <f>IF(EXACT($Q$5, "Yes"), IF(NOT(EXACT(A34, "MP Complete")), INDEX(MP_new!$A$4:$J$9, MATCH(Step2!A34, MP_new!$A$4:$A$9, 0), 10), T32), 0)</f>
        <v>9000</v>
      </c>
      <c r="U34" s="6">
        <f>('NPV Summary'!$B$16-S34)+T34</f>
        <v>25864.882970329993</v>
      </c>
      <c r="V34" s="6">
        <f>LOOKUP(B34,Rates!$A$5:$B$168)</f>
        <v>2205.1383613087492</v>
      </c>
      <c r="W34" s="72">
        <f t="shared" si="8"/>
        <v>57.035645648636049</v>
      </c>
      <c r="X34" s="73">
        <f t="shared" si="24"/>
        <v>782.30208584767092</v>
      </c>
      <c r="Y34" s="20">
        <f t="shared" si="25"/>
        <v>37.051853879521545</v>
      </c>
      <c r="Z34" s="20">
        <f t="shared" si="25"/>
        <v>154.9251694210601</v>
      </c>
      <c r="AA34" s="465">
        <f>IF(SUM(AA$11:AA33)&gt;0,0,IF(SUM(X34-R34)&gt;0,B34,0))</f>
        <v>0</v>
      </c>
      <c r="AB34" s="171">
        <f>ABS(Z34)*1000000/SUM(U$12:U34)</f>
        <v>324.37682872556866</v>
      </c>
      <c r="AH34" s="55">
        <f t="shared" si="21"/>
        <v>2029</v>
      </c>
      <c r="AI34" s="8">
        <f>Rates!B27</f>
        <v>1494.440177664</v>
      </c>
      <c r="AK34" s="55">
        <f t="shared" si="22"/>
        <v>2029</v>
      </c>
      <c r="AL34" s="164">
        <f>Rates!E27</f>
        <v>3.5999999999999997E-2</v>
      </c>
      <c r="AM34" s="8">
        <f>Rates!F27</f>
        <v>1494.440177664</v>
      </c>
      <c r="AN34" s="15">
        <f>Rates!G27</f>
        <v>1174.2029967359999</v>
      </c>
      <c r="AP34" s="16">
        <f t="shared" si="9"/>
        <v>2040</v>
      </c>
      <c r="AQ34" s="77">
        <f t="shared" si="0"/>
        <v>0</v>
      </c>
      <c r="AS34" s="136">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4">
        <f t="shared" si="14"/>
        <v>2041</v>
      </c>
      <c r="C35" s="695">
        <v>0</v>
      </c>
      <c r="D35" s="695">
        <f>'Area Summary'!$D$44</f>
        <v>9.616785314343435</v>
      </c>
      <c r="E35" s="66">
        <f t="shared" si="15"/>
        <v>0.65700000000000003</v>
      </c>
      <c r="F35" s="66">
        <f t="shared" si="16"/>
        <v>0</v>
      </c>
      <c r="G35" s="67">
        <f t="shared" si="17"/>
        <v>18.979557776788621</v>
      </c>
      <c r="H35" s="68">
        <f t="shared" si="1"/>
        <v>1.6193181118595015</v>
      </c>
      <c r="I35" s="66">
        <f t="shared" si="2"/>
        <v>0</v>
      </c>
      <c r="J35" s="67">
        <f t="shared" si="3"/>
        <v>18.979557776788621</v>
      </c>
      <c r="K35" s="68">
        <f t="shared" si="3"/>
        <v>1.6193181118595015</v>
      </c>
      <c r="L35" s="66">
        <f t="shared" si="4"/>
        <v>0</v>
      </c>
      <c r="M35" s="70">
        <f t="shared" si="5"/>
        <v>0</v>
      </c>
      <c r="N35" s="70">
        <f t="shared" si="6"/>
        <v>0</v>
      </c>
      <c r="O35" s="66">
        <f t="shared" si="18"/>
        <v>0</v>
      </c>
      <c r="P35" s="67">
        <f t="shared" si="7"/>
        <v>0</v>
      </c>
      <c r="Q35" s="67">
        <f t="shared" si="19"/>
        <v>20.598875888648124</v>
      </c>
      <c r="R35" s="71">
        <f t="shared" si="20"/>
        <v>647.9757923152589</v>
      </c>
      <c r="S35" s="694">
        <f>IF(NOT(EXACT(A35, "MP Complete")), INDEX(MP_new!$A$4:$J$9, MATCH(Step2!A35 - 1, MP_new!$A$4:$A$9, 0), 7), S33)</f>
        <v>48544.957141362807</v>
      </c>
      <c r="T35" s="693">
        <f>IF(EXACT($Q$5, "Yes"), IF(NOT(EXACT(A35, "MP Complete")), INDEX(MP_new!$A$4:$J$9, MATCH(Step2!A35, MP_new!$A$4:$A$9, 0), 10), T33), 0)</f>
        <v>9000</v>
      </c>
      <c r="U35" s="82">
        <f>('NPV Summary'!$B$16-S35)+T35</f>
        <v>25864.882970329993</v>
      </c>
      <c r="V35" s="82">
        <f>LOOKUP(B35,Rates!$A$5:$B$168)</f>
        <v>2284.5233423158643</v>
      </c>
      <c r="W35" s="70">
        <f t="shared" si="8"/>
        <v>59.088928891986953</v>
      </c>
      <c r="X35" s="71">
        <f t="shared" si="24"/>
        <v>841.39101473965786</v>
      </c>
      <c r="Y35" s="470">
        <f t="shared" si="25"/>
        <v>38.490053003338829</v>
      </c>
      <c r="Z35" s="470">
        <f t="shared" si="25"/>
        <v>193.41522242439896</v>
      </c>
      <c r="AA35" s="466">
        <f>IF(SUM(AA$11:AA34)&gt;0,0,IF(SUM(X35-R35)&gt;0,B35,0))</f>
        <v>0</v>
      </c>
      <c r="AB35" s="471">
        <f>ABS(Z35)*1000000/SUM(U$12:U35)</f>
        <v>384.16167168576351</v>
      </c>
      <c r="AH35" s="52">
        <f t="shared" si="21"/>
        <v>2030</v>
      </c>
      <c r="AI35" s="53">
        <f>Rates!B28</f>
        <v>1548.240024059904</v>
      </c>
      <c r="AK35" s="52">
        <f t="shared" si="22"/>
        <v>2030</v>
      </c>
      <c r="AL35" s="165">
        <f>Rates!E28</f>
        <v>3.5999999999999997E-2</v>
      </c>
      <c r="AM35" s="53">
        <f>Rates!F28</f>
        <v>1548.240024059904</v>
      </c>
      <c r="AN35" s="54">
        <f>Rates!G28</f>
        <v>1216.474304618496</v>
      </c>
      <c r="AP35" s="48">
        <f t="shared" si="9"/>
        <v>2041</v>
      </c>
      <c r="AQ35" s="78">
        <f t="shared" si="0"/>
        <v>0</v>
      </c>
      <c r="AS35" s="133">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5">
        <f t="shared" si="14"/>
        <v>2042</v>
      </c>
      <c r="C36" s="695">
        <v>0</v>
      </c>
      <c r="D36" s="695">
        <f>'Area Summary'!$D$44</f>
        <v>9.616785314343435</v>
      </c>
      <c r="E36" s="64">
        <f t="shared" si="15"/>
        <v>0.65700000000000003</v>
      </c>
      <c r="F36" s="64">
        <f t="shared" si="16"/>
        <v>0</v>
      </c>
      <c r="G36" s="84">
        <f t="shared" si="17"/>
        <v>19.548944510092277</v>
      </c>
      <c r="H36" s="65">
        <f t="shared" si="1"/>
        <v>1.6840908363338816</v>
      </c>
      <c r="I36" s="64">
        <f t="shared" si="2"/>
        <v>0</v>
      </c>
      <c r="J36" s="84">
        <f t="shared" si="3"/>
        <v>19.548944510092277</v>
      </c>
      <c r="K36" s="65">
        <f t="shared" si="3"/>
        <v>1.6840908363338816</v>
      </c>
      <c r="L36" s="64">
        <f t="shared" si="4"/>
        <v>0</v>
      </c>
      <c r="M36" s="72">
        <f t="shared" si="5"/>
        <v>0</v>
      </c>
      <c r="N36" s="72">
        <f t="shared" si="6"/>
        <v>0</v>
      </c>
      <c r="O36" s="64">
        <f t="shared" si="18"/>
        <v>0</v>
      </c>
      <c r="P36" s="84">
        <f t="shared" si="7"/>
        <v>0</v>
      </c>
      <c r="Q36" s="84">
        <f t="shared" si="19"/>
        <v>21.233035346426156</v>
      </c>
      <c r="R36" s="73">
        <f t="shared" si="20"/>
        <v>669.20882766168506</v>
      </c>
      <c r="S36" s="694">
        <f>IF(NOT(EXACT(A36, "MP Complete")), INDEX(MP_new!$A$4:$J$9, MATCH(Step2!A36 - 1, MP_new!$A$4:$A$9, 0), 7), S34)</f>
        <v>48544.957141362807</v>
      </c>
      <c r="T36" s="693">
        <f>IF(EXACT($Q$5, "Yes"), IF(NOT(EXACT(A36, "MP Complete")), INDEX(MP_new!$A$4:$J$9, MATCH(Step2!A36, MP_new!$A$4:$A$9, 0), 10), T34), 0)</f>
        <v>9000</v>
      </c>
      <c r="U36" s="6">
        <f>('NPV Summary'!$B$16-S36)+T36</f>
        <v>25864.882970329993</v>
      </c>
      <c r="V36" s="6">
        <f>LOOKUP(B36,Rates!$A$5:$B$168)</f>
        <v>2366.7661826392355</v>
      </c>
      <c r="W36" s="72">
        <f t="shared" si="8"/>
        <v>61.216130332098487</v>
      </c>
      <c r="X36" s="73">
        <f t="shared" si="24"/>
        <v>902.60714507175635</v>
      </c>
      <c r="Y36" s="20">
        <f t="shared" si="25"/>
        <v>39.983094985672331</v>
      </c>
      <c r="Z36" s="20">
        <f t="shared" si="25"/>
        <v>233.39831741007129</v>
      </c>
      <c r="AA36" s="465">
        <f>IF(SUM(AA$11:AA35)&gt;0,0,IF(SUM(X36-R36)&gt;0,B36,0))</f>
        <v>0</v>
      </c>
      <c r="AB36" s="171">
        <f>ABS(Z36)*1000000/SUM(U$12:U36)</f>
        <v>440.92460277582938</v>
      </c>
      <c r="AH36" s="55">
        <f t="shared" si="21"/>
        <v>2031</v>
      </c>
      <c r="AI36" s="8">
        <f>Rates!B29</f>
        <v>1603.9766649260607</v>
      </c>
      <c r="AK36" s="55">
        <f t="shared" si="22"/>
        <v>2031</v>
      </c>
      <c r="AL36" s="164">
        <f>Rates!E29</f>
        <v>3.5999999999999997E-2</v>
      </c>
      <c r="AM36" s="8">
        <f>Rates!F29</f>
        <v>1603.9766649260607</v>
      </c>
      <c r="AN36" s="15">
        <f>Rates!G29</f>
        <v>1260.267379584762</v>
      </c>
      <c r="AP36" s="16">
        <f t="shared" si="9"/>
        <v>2042</v>
      </c>
      <c r="AQ36" s="77">
        <f t="shared" si="0"/>
        <v>0</v>
      </c>
      <c r="AS36" s="136">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4">
        <f t="shared" si="14"/>
        <v>2043</v>
      </c>
      <c r="C37" s="695">
        <v>0</v>
      </c>
      <c r="D37" s="695">
        <f>'Area Summary'!$D$44</f>
        <v>9.616785314343435</v>
      </c>
      <c r="E37" s="66">
        <f t="shared" si="15"/>
        <v>0.65700000000000003</v>
      </c>
      <c r="F37" s="66">
        <f t="shared" si="16"/>
        <v>0</v>
      </c>
      <c r="G37" s="67">
        <f t="shared" si="17"/>
        <v>20.135412845395045</v>
      </c>
      <c r="H37" s="68">
        <f t="shared" si="1"/>
        <v>1.7514544697872372</v>
      </c>
      <c r="I37" s="66">
        <f t="shared" si="2"/>
        <v>0</v>
      </c>
      <c r="J37" s="67">
        <f t="shared" si="3"/>
        <v>20.135412845395045</v>
      </c>
      <c r="K37" s="68">
        <f t="shared" si="3"/>
        <v>1.7514544697872372</v>
      </c>
      <c r="L37" s="66">
        <f t="shared" si="4"/>
        <v>0</v>
      </c>
      <c r="M37" s="70">
        <f t="shared" si="5"/>
        <v>0</v>
      </c>
      <c r="N37" s="70">
        <f t="shared" si="6"/>
        <v>0</v>
      </c>
      <c r="O37" s="66">
        <f t="shared" si="18"/>
        <v>0</v>
      </c>
      <c r="P37" s="67">
        <f t="shared" si="7"/>
        <v>0</v>
      </c>
      <c r="Q37" s="67">
        <f t="shared" si="19"/>
        <v>21.886867315182283</v>
      </c>
      <c r="R37" s="71">
        <f t="shared" si="20"/>
        <v>691.09569497686732</v>
      </c>
      <c r="S37" s="694">
        <f>IF(NOT(EXACT(A37, "MP Complete")), INDEX(MP_new!$A$4:$J$9, MATCH(Step2!A37 - 1, MP_new!$A$4:$A$9, 0), 7), S35)</f>
        <v>48544.957141362807</v>
      </c>
      <c r="T37" s="693">
        <f>IF(EXACT($Q$5, "Yes"), IF(NOT(EXACT(A37, "MP Complete")), INDEX(MP_new!$A$4:$J$9, MATCH(Step2!A37, MP_new!$A$4:$A$9, 0), 10), T35), 0)</f>
        <v>9000</v>
      </c>
      <c r="U37" s="82">
        <f>('NPV Summary'!$B$16-S37)+T37</f>
        <v>25864.882970329993</v>
      </c>
      <c r="V37" s="82">
        <f>LOOKUP(B37,Rates!$A$5:$B$168)</f>
        <v>2451.9697652142481</v>
      </c>
      <c r="W37" s="70">
        <f t="shared" si="8"/>
        <v>63.419911024054038</v>
      </c>
      <c r="X37" s="71">
        <f t="shared" si="24"/>
        <v>966.02705609581039</v>
      </c>
      <c r="Y37" s="470">
        <f t="shared" si="25"/>
        <v>41.533043708871759</v>
      </c>
      <c r="Z37" s="470">
        <f t="shared" si="25"/>
        <v>274.93136111894307</v>
      </c>
      <c r="AA37" s="466">
        <f>IF(SUM(AA$11:AA36)&gt;0,0,IF(SUM(X37-R37)&gt;0,B37,0))</f>
        <v>0</v>
      </c>
      <c r="AB37" s="471">
        <f>ABS(Z37)*1000000/SUM(U$12:U37)</f>
        <v>495.19045847991117</v>
      </c>
      <c r="AH37" s="52">
        <f t="shared" si="21"/>
        <v>2032</v>
      </c>
      <c r="AI37" s="53">
        <f>Rates!B30</f>
        <v>1661.719824863399</v>
      </c>
      <c r="AK37" s="52">
        <f t="shared" si="22"/>
        <v>2032</v>
      </c>
      <c r="AL37" s="165">
        <f>Rates!E30</f>
        <v>3.5999999999999997E-2</v>
      </c>
      <c r="AM37" s="53">
        <f>Rates!F30</f>
        <v>1661.719824863399</v>
      </c>
      <c r="AN37" s="54">
        <f>Rates!G30</f>
        <v>1305.6370052498135</v>
      </c>
      <c r="AP37" s="48">
        <f t="shared" si="9"/>
        <v>2043</v>
      </c>
      <c r="AQ37" s="78">
        <f t="shared" si="0"/>
        <v>0</v>
      </c>
      <c r="AS37" s="133">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5">
        <f t="shared" si="14"/>
        <v>2044</v>
      </c>
      <c r="C38" s="695">
        <v>0</v>
      </c>
      <c r="D38" s="695">
        <f>'Area Summary'!$D$44</f>
        <v>9.616785314343435</v>
      </c>
      <c r="E38" s="64">
        <f t="shared" si="15"/>
        <v>0.65700000000000003</v>
      </c>
      <c r="F38" s="64">
        <f t="shared" si="16"/>
        <v>0</v>
      </c>
      <c r="G38" s="84">
        <f t="shared" si="17"/>
        <v>20.739475230756899</v>
      </c>
      <c r="H38" s="65">
        <f t="shared" si="1"/>
        <v>1.8215126485787265</v>
      </c>
      <c r="I38" s="64">
        <f t="shared" si="2"/>
        <v>0</v>
      </c>
      <c r="J38" s="84">
        <f t="shared" si="3"/>
        <v>20.739475230756899</v>
      </c>
      <c r="K38" s="65">
        <f t="shared" si="3"/>
        <v>1.8215126485787265</v>
      </c>
      <c r="L38" s="64">
        <f t="shared" si="4"/>
        <v>0</v>
      </c>
      <c r="M38" s="72">
        <f t="shared" si="5"/>
        <v>0</v>
      </c>
      <c r="N38" s="72">
        <f t="shared" si="6"/>
        <v>0</v>
      </c>
      <c r="O38" s="64">
        <f t="shared" si="18"/>
        <v>0</v>
      </c>
      <c r="P38" s="84">
        <f t="shared" si="7"/>
        <v>0</v>
      </c>
      <c r="Q38" s="84">
        <f t="shared" si="19"/>
        <v>22.560987879335624</v>
      </c>
      <c r="R38" s="73">
        <f t="shared" si="20"/>
        <v>713.65668285620291</v>
      </c>
      <c r="S38" s="694">
        <f>IF(NOT(EXACT(A38, "MP Complete")), INDEX(MP_new!$A$4:$J$9, MATCH(Step2!A38 - 1, MP_new!$A$4:$A$9, 0), 7), S36)</f>
        <v>48544.957141362807</v>
      </c>
      <c r="T38" s="693">
        <f>IF(EXACT($Q$5, "Yes"), IF(NOT(EXACT(A38, "MP Complete")), INDEX(MP_new!$A$4:$J$9, MATCH(Step2!A38, MP_new!$A$4:$A$9, 0), 10), T36), 0)</f>
        <v>9000</v>
      </c>
      <c r="U38" s="6">
        <f>('NPV Summary'!$B$16-S38)+T38</f>
        <v>25864.882970329993</v>
      </c>
      <c r="V38" s="6">
        <f>LOOKUP(B38,Rates!$A$5:$B$168)</f>
        <v>2540.2406767619609</v>
      </c>
      <c r="W38" s="72">
        <f t="shared" si="8"/>
        <v>65.703027820919971</v>
      </c>
      <c r="X38" s="73">
        <f t="shared" si="24"/>
        <v>1031.7300839167303</v>
      </c>
      <c r="Y38" s="20">
        <f t="shared" si="25"/>
        <v>43.142039941584343</v>
      </c>
      <c r="Z38" s="20">
        <f t="shared" si="25"/>
        <v>318.07340106052743</v>
      </c>
      <c r="AA38" s="465">
        <f>IF(SUM(AA$11:AA37)&gt;0,0,IF(SUM(X38-R38)&gt;0,B38,0))</f>
        <v>0</v>
      </c>
      <c r="AB38" s="171">
        <f>ABS(Z38)*1000000/SUM(U$12:U38)</f>
        <v>547.39431202774472</v>
      </c>
      <c r="AH38" s="55">
        <f t="shared" si="21"/>
        <v>2033</v>
      </c>
      <c r="AI38" s="8">
        <f>Rates!B31</f>
        <v>1721.5417385584815</v>
      </c>
      <c r="AK38" s="55">
        <f t="shared" si="22"/>
        <v>2033</v>
      </c>
      <c r="AL38" s="164">
        <f>Rates!E31</f>
        <v>3.5999999999999997E-2</v>
      </c>
      <c r="AM38" s="8">
        <f>Rates!F31</f>
        <v>1721.5417385584815</v>
      </c>
      <c r="AN38" s="15">
        <f>Rates!G31</f>
        <v>1352.6399374388068</v>
      </c>
      <c r="AP38" s="16">
        <f t="shared" si="9"/>
        <v>2044</v>
      </c>
      <c r="AQ38" s="77">
        <f t="shared" si="0"/>
        <v>0</v>
      </c>
      <c r="AS38" s="136">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4">
        <f t="shared" si="14"/>
        <v>2045</v>
      </c>
      <c r="C39" s="695">
        <v>0</v>
      </c>
      <c r="D39" s="695">
        <f>'Area Summary'!$D$44</f>
        <v>9.616785314343435</v>
      </c>
      <c r="E39" s="66">
        <f t="shared" si="15"/>
        <v>0.65700000000000003</v>
      </c>
      <c r="F39" s="66">
        <f t="shared" si="16"/>
        <v>0</v>
      </c>
      <c r="G39" s="67">
        <f t="shared" si="17"/>
        <v>21.361659487679603</v>
      </c>
      <c r="H39" s="68">
        <f t="shared" si="1"/>
        <v>1.8943731545218756</v>
      </c>
      <c r="I39" s="66">
        <f t="shared" si="2"/>
        <v>0</v>
      </c>
      <c r="J39" s="67">
        <f t="shared" si="3"/>
        <v>21.361659487679603</v>
      </c>
      <c r="K39" s="68">
        <f t="shared" si="3"/>
        <v>1.8943731545218756</v>
      </c>
      <c r="L39" s="66">
        <f t="shared" si="4"/>
        <v>0</v>
      </c>
      <c r="M39" s="70">
        <f t="shared" si="5"/>
        <v>0</v>
      </c>
      <c r="N39" s="70">
        <f t="shared" si="6"/>
        <v>0</v>
      </c>
      <c r="O39" s="66">
        <f t="shared" si="18"/>
        <v>0</v>
      </c>
      <c r="P39" s="67">
        <f t="shared" si="7"/>
        <v>0</v>
      </c>
      <c r="Q39" s="67">
        <f t="shared" si="19"/>
        <v>23.256032642201479</v>
      </c>
      <c r="R39" s="71">
        <f t="shared" si="20"/>
        <v>736.9127154984044</v>
      </c>
      <c r="S39" s="694">
        <f>IF(NOT(EXACT(A39, "MP Complete")), INDEX(MP_new!$A$4:$J$9, MATCH(Step2!A39 - 1, MP_new!$A$4:$A$9, 0), 7), S37)</f>
        <v>48544.957141362807</v>
      </c>
      <c r="T39" s="693">
        <f>IF(EXACT($Q$5, "Yes"), IF(NOT(EXACT(A39, "MP Complete")), INDEX(MP_new!$A$4:$J$9, MATCH(Step2!A39, MP_new!$A$4:$A$9, 0), 10), T37), 0)</f>
        <v>9000</v>
      </c>
      <c r="U39" s="82">
        <f>('NPV Summary'!$B$16-S39)+T39</f>
        <v>25864.882970329993</v>
      </c>
      <c r="V39" s="82">
        <f>LOOKUP(B39,Rates!$A$5:$B$168)</f>
        <v>2631.6893411253914</v>
      </c>
      <c r="W39" s="70">
        <f t="shared" si="8"/>
        <v>68.0683368224731</v>
      </c>
      <c r="X39" s="71">
        <f t="shared" si="24"/>
        <v>1099.7984207392035</v>
      </c>
      <c r="Y39" s="470">
        <f t="shared" si="25"/>
        <v>44.812304180271624</v>
      </c>
      <c r="Z39" s="470">
        <f t="shared" si="25"/>
        <v>362.8857052407991</v>
      </c>
      <c r="AA39" s="466">
        <f>IF(SUM(AA$11:AA38)&gt;0,0,IF(SUM(X39-R39)&gt;0,B39,0))</f>
        <v>0</v>
      </c>
      <c r="AB39" s="471">
        <f>ABS(Z39)*1000000/SUM(U$12:U39)</f>
        <v>597.90073138112564</v>
      </c>
      <c r="AH39" s="52">
        <f t="shared" si="21"/>
        <v>2034</v>
      </c>
      <c r="AI39" s="53">
        <f>Rates!B32</f>
        <v>1783.5172411465869</v>
      </c>
      <c r="AK39" s="52">
        <f t="shared" si="22"/>
        <v>2034</v>
      </c>
      <c r="AL39" s="165">
        <f>Rates!E32</f>
        <v>3.5999999999999997E-2</v>
      </c>
      <c r="AM39" s="53">
        <f>Rates!F32</f>
        <v>1783.5172411465869</v>
      </c>
      <c r="AN39" s="54">
        <f>Rates!G32</f>
        <v>1401.334975186604</v>
      </c>
      <c r="AP39" s="48">
        <f t="shared" si="9"/>
        <v>2045</v>
      </c>
      <c r="AQ39" s="78">
        <f t="shared" si="0"/>
        <v>0</v>
      </c>
      <c r="AS39" s="133">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5">
        <f t="shared" si="14"/>
        <v>2046</v>
      </c>
      <c r="C40" s="695">
        <v>0</v>
      </c>
      <c r="D40" s="695">
        <f>'Area Summary'!$D$44</f>
        <v>9.616785314343435</v>
      </c>
      <c r="E40" s="64">
        <f t="shared" si="15"/>
        <v>0.65700000000000003</v>
      </c>
      <c r="F40" s="64">
        <f t="shared" si="16"/>
        <v>0</v>
      </c>
      <c r="G40" s="84">
        <f t="shared" si="17"/>
        <v>22.002509272309993</v>
      </c>
      <c r="H40" s="65">
        <f t="shared" si="1"/>
        <v>1.9701480807027512</v>
      </c>
      <c r="I40" s="64">
        <f t="shared" si="2"/>
        <v>0</v>
      </c>
      <c r="J40" s="84">
        <f t="shared" si="3"/>
        <v>22.002509272309993</v>
      </c>
      <c r="K40" s="65">
        <f t="shared" si="3"/>
        <v>1.9701480807027512</v>
      </c>
      <c r="L40" s="64">
        <f t="shared" si="4"/>
        <v>0</v>
      </c>
      <c r="M40" s="72">
        <f t="shared" si="5"/>
        <v>0</v>
      </c>
      <c r="N40" s="72">
        <f t="shared" si="6"/>
        <v>0</v>
      </c>
      <c r="O40" s="64">
        <f t="shared" si="18"/>
        <v>0</v>
      </c>
      <c r="P40" s="84">
        <f t="shared" si="7"/>
        <v>0</v>
      </c>
      <c r="Q40" s="84">
        <f t="shared" si="19"/>
        <v>23.972657353012742</v>
      </c>
      <c r="R40" s="73">
        <f t="shared" si="20"/>
        <v>760.88537285141717</v>
      </c>
      <c r="S40" s="694">
        <f>IF(NOT(EXACT(A40, "MP Complete")), INDEX(MP_new!$A$4:$J$9, MATCH(Step2!A40 - 1, MP_new!$A$4:$A$9, 0), 7), S38)</f>
        <v>48544.957141362807</v>
      </c>
      <c r="T40" s="693">
        <f>IF(EXACT($Q$5, "Yes"), IF(NOT(EXACT(A40, "MP Complete")), INDEX(MP_new!$A$4:$J$9, MATCH(Step2!A40, MP_new!$A$4:$A$9, 0), 10), T38), 0)</f>
        <v>9000</v>
      </c>
      <c r="U40" s="6">
        <f>('NPV Summary'!$B$16-S40)+T40</f>
        <v>25864.882970329993</v>
      </c>
      <c r="V40" s="6">
        <f>LOOKUP(B40,Rates!$A$5:$B$168)</f>
        <v>2726.4301574059054</v>
      </c>
      <c r="W40" s="72">
        <f t="shared" si="8"/>
        <v>70.518796948082112</v>
      </c>
      <c r="X40" s="73">
        <f t="shared" si="24"/>
        <v>1170.3172176872856</v>
      </c>
      <c r="Y40" s="20">
        <f t="shared" si="25"/>
        <v>46.54613959506937</v>
      </c>
      <c r="Z40" s="20">
        <f t="shared" si="25"/>
        <v>409.43184483586845</v>
      </c>
      <c r="AA40" s="465">
        <f>IF(SUM(AA$11:AA39)&gt;0,0,IF(SUM(X40-R40)&gt;0,B40,0))</f>
        <v>0</v>
      </c>
      <c r="AB40" s="171">
        <f>ABS(Z40)*1000000/SUM(U$12:U40)</f>
        <v>647.01831898813396</v>
      </c>
      <c r="AC40" s="9"/>
      <c r="AD40" s="9"/>
      <c r="AE40" s="9"/>
      <c r="AF40" s="9"/>
      <c r="AG40" s="9"/>
      <c r="AH40" s="55">
        <f t="shared" si="21"/>
        <v>2035</v>
      </c>
      <c r="AI40" s="8">
        <f>Rates!B33</f>
        <v>1847.7238618278641</v>
      </c>
      <c r="AJ40" s="9"/>
      <c r="AK40" s="55">
        <f t="shared" si="22"/>
        <v>2035</v>
      </c>
      <c r="AL40" s="164">
        <f>Rates!E33</f>
        <v>3.5999999999999997E-2</v>
      </c>
      <c r="AM40" s="8">
        <f>Rates!F33</f>
        <v>1847.7238618278641</v>
      </c>
      <c r="AN40" s="15">
        <f>Rates!G33</f>
        <v>1451.7830342933219</v>
      </c>
      <c r="AO40" s="9"/>
      <c r="AP40" s="16">
        <f t="shared" si="9"/>
        <v>2046</v>
      </c>
      <c r="AQ40" s="77">
        <f t="shared" si="0"/>
        <v>0</v>
      </c>
      <c r="AR40" s="9"/>
      <c r="AS40" s="136">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4">
        <f t="shared" si="14"/>
        <v>2047</v>
      </c>
      <c r="C41" s="695">
        <v>0</v>
      </c>
      <c r="D41" s="695">
        <f>'Area Summary'!$D$44</f>
        <v>9.616785314343435</v>
      </c>
      <c r="E41" s="66">
        <f t="shared" si="15"/>
        <v>0.65700000000000003</v>
      </c>
      <c r="F41" s="66">
        <f t="shared" si="16"/>
        <v>0</v>
      </c>
      <c r="G41" s="67">
        <f t="shared" si="17"/>
        <v>22.662584550479291</v>
      </c>
      <c r="H41" s="68">
        <f t="shared" si="1"/>
        <v>2.0489540039308611</v>
      </c>
      <c r="I41" s="66">
        <f t="shared" si="2"/>
        <v>0</v>
      </c>
      <c r="J41" s="67">
        <f t="shared" si="3"/>
        <v>22.662584550479291</v>
      </c>
      <c r="K41" s="68">
        <f t="shared" si="3"/>
        <v>2.0489540039308611</v>
      </c>
      <c r="L41" s="66">
        <f t="shared" si="4"/>
        <v>0</v>
      </c>
      <c r="M41" s="70">
        <f t="shared" si="5"/>
        <v>0</v>
      </c>
      <c r="N41" s="70">
        <f t="shared" si="6"/>
        <v>0</v>
      </c>
      <c r="O41" s="66">
        <f t="shared" si="18"/>
        <v>0</v>
      </c>
      <c r="P41" s="67">
        <f t="shared" si="7"/>
        <v>0</v>
      </c>
      <c r="Q41" s="67">
        <f t="shared" si="19"/>
        <v>24.711538554410154</v>
      </c>
      <c r="R41" s="71">
        <f t="shared" si="20"/>
        <v>785.59691140582731</v>
      </c>
      <c r="S41" s="694">
        <f>IF(NOT(EXACT(A41, "MP Complete")), INDEX(MP_new!$A$4:$J$9, MATCH(Step2!A41 - 1, MP_new!$A$4:$A$9, 0), 7), S39)</f>
        <v>48544.957141362807</v>
      </c>
      <c r="T41" s="693">
        <f>IF(EXACT($Q$5, "Yes"), IF(NOT(EXACT(A41, "MP Complete")), INDEX(MP_new!$A$4:$J$9, MATCH(Step2!A41, MP_new!$A$4:$A$9, 0), 10), T39), 0)</f>
        <v>9000</v>
      </c>
      <c r="U41" s="82">
        <f>('NPV Summary'!$B$16-S41)+T41</f>
        <v>25864.882970329993</v>
      </c>
      <c r="V41" s="82">
        <f>LOOKUP(B41,Rates!$A$5:$B$168)</f>
        <v>2824.5816430725181</v>
      </c>
      <c r="W41" s="70">
        <f t="shared" si="8"/>
        <v>73.057473638213082</v>
      </c>
      <c r="X41" s="71">
        <f t="shared" si="24"/>
        <v>1243.3746913254986</v>
      </c>
      <c r="Y41" s="470">
        <f t="shared" si="25"/>
        <v>48.345935083802928</v>
      </c>
      <c r="Z41" s="470">
        <f t="shared" si="25"/>
        <v>457.77777991967127</v>
      </c>
      <c r="AA41" s="466">
        <f>IF(SUM(AA$11:AA40)&gt;0,0,IF(SUM(X41-R41)&gt;0,B41,0))</f>
        <v>0</v>
      </c>
      <c r="AB41" s="471">
        <f>ABS(Z41)*1000000/SUM(U$12:U41)</f>
        <v>695.01083042380696</v>
      </c>
      <c r="AH41" s="52">
        <f t="shared" si="21"/>
        <v>2036</v>
      </c>
      <c r="AI41" s="53">
        <f>Rates!B34</f>
        <v>1914.2419208536674</v>
      </c>
      <c r="AK41" s="52">
        <f t="shared" si="22"/>
        <v>2036</v>
      </c>
      <c r="AL41" s="165">
        <f>Rates!E34</f>
        <v>3.5999999999999997E-2</v>
      </c>
      <c r="AM41" s="53">
        <f>Rates!F34</f>
        <v>1914.2419208536674</v>
      </c>
      <c r="AN41" s="54">
        <f>Rates!G34</f>
        <v>1504.0472235278814</v>
      </c>
      <c r="AP41" s="48">
        <f t="shared" si="9"/>
        <v>2047</v>
      </c>
      <c r="AQ41" s="78">
        <f t="shared" si="0"/>
        <v>0</v>
      </c>
      <c r="AS41" s="133">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5">
        <f t="shared" si="14"/>
        <v>2048</v>
      </c>
      <c r="C42" s="695">
        <v>0</v>
      </c>
      <c r="D42" s="695">
        <f>'Area Summary'!$D$44</f>
        <v>9.616785314343435</v>
      </c>
      <c r="E42" s="64">
        <f t="shared" si="15"/>
        <v>0.65700000000000003</v>
      </c>
      <c r="F42" s="64">
        <f t="shared" si="16"/>
        <v>0</v>
      </c>
      <c r="G42" s="84">
        <f t="shared" si="17"/>
        <v>23.34246208699367</v>
      </c>
      <c r="H42" s="65">
        <f t="shared" si="1"/>
        <v>2.1309121640880955</v>
      </c>
      <c r="I42" s="64">
        <f t="shared" si="2"/>
        <v>0</v>
      </c>
      <c r="J42" s="84">
        <f t="shared" si="3"/>
        <v>23.34246208699367</v>
      </c>
      <c r="K42" s="65">
        <f t="shared" si="3"/>
        <v>2.1309121640880955</v>
      </c>
      <c r="L42" s="64">
        <f t="shared" si="4"/>
        <v>0</v>
      </c>
      <c r="M42" s="72">
        <f t="shared" si="5"/>
        <v>0</v>
      </c>
      <c r="N42" s="72">
        <f t="shared" si="6"/>
        <v>0</v>
      </c>
      <c r="O42" s="64">
        <f t="shared" si="18"/>
        <v>0</v>
      </c>
      <c r="P42" s="84">
        <f t="shared" si="7"/>
        <v>0</v>
      </c>
      <c r="Q42" s="84">
        <f t="shared" si="19"/>
        <v>25.473374251081765</v>
      </c>
      <c r="R42" s="73">
        <f t="shared" si="20"/>
        <v>811.07028565690905</v>
      </c>
      <c r="S42" s="694">
        <f>IF(NOT(EXACT(A42, "MP Complete")), INDEX(MP_new!$A$4:$J$9, MATCH(Step2!A42 - 1, MP_new!$A$4:$A$9, 0), 7), S40)</f>
        <v>48544.957141362807</v>
      </c>
      <c r="T42" s="693">
        <f>IF(EXACT($Q$5, "Yes"), IF(NOT(EXACT(A42, "MP Complete")), INDEX(MP_new!$A$4:$J$9, MATCH(Step2!A42, MP_new!$A$4:$A$9, 0), 10), T40), 0)</f>
        <v>9000</v>
      </c>
      <c r="U42" s="6">
        <f>('NPV Summary'!$B$16-S42)+T42</f>
        <v>25864.882970329993</v>
      </c>
      <c r="V42" s="6">
        <f>LOOKUP(B42,Rates!$A$5:$B$168)</f>
        <v>2926.2665822231288</v>
      </c>
      <c r="W42" s="72">
        <f t="shared" si="8"/>
        <v>75.687542689188746</v>
      </c>
      <c r="X42" s="73">
        <f t="shared" si="24"/>
        <v>1319.0622340146874</v>
      </c>
      <c r="Y42" s="20">
        <f t="shared" si="25"/>
        <v>50.214168438106981</v>
      </c>
      <c r="Z42" s="20">
        <f t="shared" si="25"/>
        <v>507.99194835777837</v>
      </c>
      <c r="AA42" s="465">
        <f>IF(SUM(AA$11:AA41)&gt;0,0,IF(SUM(X42-R42)&gt;0,B42,0))</f>
        <v>0</v>
      </c>
      <c r="AB42" s="171">
        <f>ABS(Z42)*1000000/SUM(U$12:U42)</f>
        <v>742.10577694861297</v>
      </c>
      <c r="AH42" s="55">
        <f t="shared" si="21"/>
        <v>2037</v>
      </c>
      <c r="AI42" s="8">
        <f>Rates!B35</f>
        <v>1983.1546300043995</v>
      </c>
      <c r="AK42" s="55">
        <f t="shared" si="22"/>
        <v>2037</v>
      </c>
      <c r="AL42" s="164">
        <f>Rates!E35</f>
        <v>3.5999999999999997E-2</v>
      </c>
      <c r="AM42" s="8">
        <f>Rates!F35</f>
        <v>1983.1546300043995</v>
      </c>
      <c r="AN42" s="15">
        <f>Rates!G35</f>
        <v>1558.1929235748853</v>
      </c>
      <c r="AP42" s="16">
        <f t="shared" si="9"/>
        <v>2048</v>
      </c>
      <c r="AQ42" s="77">
        <f t="shared" si="0"/>
        <v>0</v>
      </c>
      <c r="AS42" s="136">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4">
        <f t="shared" si="14"/>
        <v>2049</v>
      </c>
      <c r="C43" s="695">
        <v>0</v>
      </c>
      <c r="D43" s="695">
        <f>'Area Summary'!$D$44</f>
        <v>9.616785314343435</v>
      </c>
      <c r="E43" s="66">
        <f t="shared" si="15"/>
        <v>0.65700000000000003</v>
      </c>
      <c r="F43" s="66">
        <f t="shared" si="16"/>
        <v>0</v>
      </c>
      <c r="G43" s="67">
        <f t="shared" si="17"/>
        <v>24.042735949603482</v>
      </c>
      <c r="H43" s="68">
        <f t="shared" si="1"/>
        <v>2.2161486506516193</v>
      </c>
      <c r="I43" s="66">
        <f t="shared" si="2"/>
        <v>0</v>
      </c>
      <c r="J43" s="67">
        <f t="shared" si="3"/>
        <v>24.042735949603482</v>
      </c>
      <c r="K43" s="68">
        <f t="shared" si="3"/>
        <v>2.2161486506516193</v>
      </c>
      <c r="L43" s="66">
        <f t="shared" si="4"/>
        <v>0</v>
      </c>
      <c r="M43" s="70">
        <f t="shared" si="5"/>
        <v>0</v>
      </c>
      <c r="N43" s="70">
        <f t="shared" si="6"/>
        <v>0</v>
      </c>
      <c r="O43" s="66">
        <f t="shared" si="18"/>
        <v>0</v>
      </c>
      <c r="P43" s="67">
        <f t="shared" si="7"/>
        <v>0</v>
      </c>
      <c r="Q43" s="67">
        <f t="shared" si="19"/>
        <v>26.258884600255101</v>
      </c>
      <c r="R43" s="71">
        <f t="shared" si="20"/>
        <v>837.32917025716415</v>
      </c>
      <c r="S43" s="694">
        <f>IF(NOT(EXACT(A43, "MP Complete")), INDEX(MP_new!$A$4:$J$9, MATCH(Step2!A43 - 1, MP_new!$A$4:$A$9, 0), 7), S41)</f>
        <v>48544.957141362807</v>
      </c>
      <c r="T43" s="693">
        <f>IF(EXACT($Q$5, "Yes"), IF(NOT(EXACT(A43, "MP Complete")), INDEX(MP_new!$A$4:$J$9, MATCH(Step2!A43, MP_new!$A$4:$A$9, 0), 10), T41), 0)</f>
        <v>9000</v>
      </c>
      <c r="U43" s="82">
        <f>('NPV Summary'!$B$16-S43)+T43</f>
        <v>25864.882970329993</v>
      </c>
      <c r="V43" s="82">
        <f>LOOKUP(B43,Rates!$A$5:$B$168)</f>
        <v>3031.6121791831615</v>
      </c>
      <c r="W43" s="70">
        <f t="shared" si="8"/>
        <v>78.412294225999545</v>
      </c>
      <c r="X43" s="71">
        <f t="shared" si="24"/>
        <v>1397.4745282406871</v>
      </c>
      <c r="Y43" s="470">
        <f t="shared" si="25"/>
        <v>52.153409625744445</v>
      </c>
      <c r="Z43" s="470">
        <f t="shared" si="25"/>
        <v>560.1453579835229</v>
      </c>
      <c r="AA43" s="466">
        <f>IF(SUM(AA$11:AA42)&gt;0,0,IF(SUM(X43-R43)&gt;0,B43,0))</f>
        <v>0</v>
      </c>
      <c r="AB43" s="471">
        <f>ABS(Z43)*1000000/SUM(U$12:U43)</f>
        <v>788.50115340951209</v>
      </c>
      <c r="AH43" s="52">
        <f t="shared" si="21"/>
        <v>2038</v>
      </c>
      <c r="AI43" s="53">
        <f>Rates!B36</f>
        <v>2054.5481966845578</v>
      </c>
      <c r="AK43" s="52">
        <f t="shared" si="22"/>
        <v>2038</v>
      </c>
      <c r="AL43" s="165">
        <f>Rates!E36</f>
        <v>3.5999999999999997E-2</v>
      </c>
      <c r="AM43" s="53">
        <f>Rates!F36</f>
        <v>2054.5481966845578</v>
      </c>
      <c r="AN43" s="54">
        <f>Rates!G36</f>
        <v>1614.2878688235812</v>
      </c>
      <c r="AP43" s="48">
        <f t="shared" si="9"/>
        <v>2049</v>
      </c>
      <c r="AQ43" s="78">
        <f t="shared" si="0"/>
        <v>0</v>
      </c>
      <c r="AS43" s="133">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5">
        <f t="shared" si="14"/>
        <v>2050</v>
      </c>
      <c r="C44" s="695">
        <v>0</v>
      </c>
      <c r="D44" s="695">
        <f>'Area Summary'!$D$44</f>
        <v>9.616785314343435</v>
      </c>
      <c r="E44" s="64">
        <f t="shared" si="15"/>
        <v>0.65700000000000003</v>
      </c>
      <c r="F44" s="64">
        <f t="shared" si="16"/>
        <v>0</v>
      </c>
      <c r="G44" s="84">
        <f t="shared" si="17"/>
        <v>24.764018028091581</v>
      </c>
      <c r="H44" s="65">
        <f t="shared" si="1"/>
        <v>2.3047945966776844</v>
      </c>
      <c r="I44" s="64">
        <f t="shared" si="2"/>
        <v>0</v>
      </c>
      <c r="J44" s="84">
        <f t="shared" si="3"/>
        <v>24.764018028091581</v>
      </c>
      <c r="K44" s="65">
        <f t="shared" si="3"/>
        <v>2.3047945966776844</v>
      </c>
      <c r="L44" s="64">
        <f t="shared" si="4"/>
        <v>0</v>
      </c>
      <c r="M44" s="72">
        <f t="shared" si="5"/>
        <v>0</v>
      </c>
      <c r="N44" s="72">
        <f t="shared" si="6"/>
        <v>0</v>
      </c>
      <c r="O44" s="64">
        <f t="shared" si="18"/>
        <v>0</v>
      </c>
      <c r="P44" s="84">
        <f t="shared" si="7"/>
        <v>0</v>
      </c>
      <c r="Q44" s="84">
        <f t="shared" si="19"/>
        <v>27.068812624769265</v>
      </c>
      <c r="R44" s="73">
        <f t="shared" si="20"/>
        <v>864.39798288193344</v>
      </c>
      <c r="S44" s="694">
        <f>IF(NOT(EXACT(A44, "MP Complete")), INDEX(MP_new!$A$4:$J$9, MATCH(Step2!A44 - 1, MP_new!$A$4:$A$9, 0), 7), S42)</f>
        <v>48544.957141362807</v>
      </c>
      <c r="T44" s="693">
        <f>IF(EXACT($Q$5, "Yes"), IF(NOT(EXACT(A44, "MP Complete")), INDEX(MP_new!$A$4:$J$9, MATCH(Step2!A44, MP_new!$A$4:$A$9, 0), 10), T42), 0)</f>
        <v>9000</v>
      </c>
      <c r="U44" s="6">
        <f>('NPV Summary'!$B$16-S44)+T44</f>
        <v>25864.882970329993</v>
      </c>
      <c r="V44" s="6">
        <f>LOOKUP(B44,Rates!$A$5:$B$168)</f>
        <v>3140.7502176337553</v>
      </c>
      <c r="W44" s="72">
        <f t="shared" si="8"/>
        <v>81.23513681813553</v>
      </c>
      <c r="X44" s="73">
        <f t="shared" si="24"/>
        <v>1478.7096650588226</v>
      </c>
      <c r="Y44" s="20">
        <f t="shared" si="25"/>
        <v>54.166324193366265</v>
      </c>
      <c r="Z44" s="20">
        <f t="shared" si="25"/>
        <v>614.31168217688912</v>
      </c>
      <c r="AA44" s="468">
        <f>IF(SUM(AA$11:AA43)&gt;0,0,IF(SUM(X44-R44)&gt;0,B44,0))</f>
        <v>0</v>
      </c>
      <c r="AB44" s="171">
        <f>ABS(Z44)*1000000/SUM(U$12:U44)</f>
        <v>834.37075264702526</v>
      </c>
      <c r="AH44" s="55">
        <f t="shared" si="21"/>
        <v>2039</v>
      </c>
      <c r="AI44" s="8">
        <f>Rates!B37</f>
        <v>2128.511931765202</v>
      </c>
      <c r="AK44" s="55">
        <f t="shared" si="22"/>
        <v>2039</v>
      </c>
      <c r="AL44" s="164">
        <f>Rates!E37</f>
        <v>3.5999999999999997E-2</v>
      </c>
      <c r="AM44" s="8">
        <f>Rates!F37</f>
        <v>2128.511931765202</v>
      </c>
      <c r="AN44" s="15">
        <f>Rates!G37</f>
        <v>1672.4022321012301</v>
      </c>
      <c r="AP44" s="16">
        <f t="shared" si="9"/>
        <v>2050</v>
      </c>
      <c r="AQ44" s="77">
        <f t="shared" si="0"/>
        <v>0</v>
      </c>
      <c r="AS44" s="136">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4">
        <f t="shared" si="14"/>
        <v>2051</v>
      </c>
      <c r="C45" s="695">
        <v>0</v>
      </c>
      <c r="D45" s="695">
        <f>'Area Summary'!$D$44</f>
        <v>9.616785314343435</v>
      </c>
      <c r="E45" s="66">
        <f t="shared" si="15"/>
        <v>0.65700000000000003</v>
      </c>
      <c r="F45" s="66">
        <f t="shared" si="16"/>
        <v>0</v>
      </c>
      <c r="G45" s="67">
        <f t="shared" si="17"/>
        <v>25.506938568934331</v>
      </c>
      <c r="H45" s="68">
        <f t="shared" si="1"/>
        <v>2.3969863805447917</v>
      </c>
      <c r="I45" s="66">
        <f t="shared" si="2"/>
        <v>0</v>
      </c>
      <c r="J45" s="67">
        <f t="shared" si="3"/>
        <v>25.506938568934331</v>
      </c>
      <c r="K45" s="68">
        <f t="shared" si="3"/>
        <v>2.3969863805447917</v>
      </c>
      <c r="L45" s="66">
        <f t="shared" si="4"/>
        <v>0</v>
      </c>
      <c r="M45" s="70">
        <f t="shared" si="5"/>
        <v>0</v>
      </c>
      <c r="N45" s="70">
        <f t="shared" si="6"/>
        <v>0</v>
      </c>
      <c r="O45" s="66">
        <f t="shared" si="18"/>
        <v>0</v>
      </c>
      <c r="P45" s="67">
        <f t="shared" si="7"/>
        <v>0</v>
      </c>
      <c r="Q45" s="67">
        <f t="shared" si="19"/>
        <v>27.903924949479123</v>
      </c>
      <c r="R45" s="71">
        <f t="shared" si="20"/>
        <v>892.30190783141256</v>
      </c>
      <c r="S45" s="694">
        <f>IF(NOT(EXACT(A45, "MP Complete")), INDEX(MP_new!$A$4:$J$9, MATCH(Step2!A45 - 1, MP_new!$A$4:$A$9, 0), 7), S43)</f>
        <v>48544.957141362807</v>
      </c>
      <c r="T45" s="693">
        <f>IF(EXACT($Q$5, "Yes"), IF(NOT(EXACT(A45, "MP Complete")), INDEX(MP_new!$A$4:$J$9, MATCH(Step2!A45, MP_new!$A$4:$A$9, 0), 10), T43), 0)</f>
        <v>9000</v>
      </c>
      <c r="U45" s="82">
        <f>('NPV Summary'!$B$16-S45)+T45</f>
        <v>25864.882970329993</v>
      </c>
      <c r="V45" s="82">
        <f>LOOKUP(B45,Rates!$A$5:$B$168)</f>
        <v>3253.8172254685705</v>
      </c>
      <c r="W45" s="70">
        <f t="shared" si="8"/>
        <v>84.159601743588411</v>
      </c>
      <c r="X45" s="71">
        <f t="shared" si="24"/>
        <v>1562.8692668024109</v>
      </c>
      <c r="Y45" s="470">
        <f t="shared" si="25"/>
        <v>56.255676794109291</v>
      </c>
      <c r="Z45" s="470">
        <f t="shared" si="25"/>
        <v>670.56735897099838</v>
      </c>
      <c r="AA45" s="466">
        <f>IF(SUM(AA$11:AA44)&gt;0,0,IF(SUM(X45-R45)&gt;0,B45,0))</f>
        <v>0</v>
      </c>
      <c r="AB45" s="471">
        <f>ABS(Z45)*1000000/SUM(U$12:U45)</f>
        <v>879.86840236990747</v>
      </c>
      <c r="AH45" s="52">
        <f t="shared" si="21"/>
        <v>2040</v>
      </c>
      <c r="AI45" s="53">
        <f>Rates!B38</f>
        <v>2205.1383613087492</v>
      </c>
      <c r="AK45" s="52">
        <f t="shared" si="22"/>
        <v>2040</v>
      </c>
      <c r="AL45" s="165">
        <f>Rates!E38</f>
        <v>3.5999999999999997E-2</v>
      </c>
      <c r="AM45" s="53">
        <f>Rates!F38</f>
        <v>2205.1383613087492</v>
      </c>
      <c r="AN45" s="54">
        <f>Rates!G38</f>
        <v>1732.6087124568744</v>
      </c>
      <c r="AP45" s="48">
        <f t="shared" si="9"/>
        <v>2051</v>
      </c>
      <c r="AQ45" s="78">
        <f t="shared" si="0"/>
        <v>0</v>
      </c>
      <c r="AS45" s="133">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5">
        <f t="shared" si="14"/>
        <v>2052</v>
      </c>
      <c r="C46" s="695">
        <v>0</v>
      </c>
      <c r="D46" s="695">
        <f>'Area Summary'!$D$44</f>
        <v>9.616785314343435</v>
      </c>
      <c r="E46" s="64">
        <f t="shared" si="15"/>
        <v>0.65700000000000003</v>
      </c>
      <c r="F46" s="64">
        <f t="shared" si="16"/>
        <v>0</v>
      </c>
      <c r="G46" s="84">
        <f t="shared" si="17"/>
        <v>26.272146726002358</v>
      </c>
      <c r="H46" s="65">
        <f t="shared" si="1"/>
        <v>2.4928658357665836</v>
      </c>
      <c r="I46" s="64">
        <f t="shared" si="2"/>
        <v>0</v>
      </c>
      <c r="J46" s="84">
        <f t="shared" si="3"/>
        <v>26.272146726002358</v>
      </c>
      <c r="K46" s="65">
        <f t="shared" si="3"/>
        <v>2.4928658357665836</v>
      </c>
      <c r="L46" s="64">
        <f t="shared" si="4"/>
        <v>0</v>
      </c>
      <c r="M46" s="72">
        <f t="shared" si="5"/>
        <v>0</v>
      </c>
      <c r="N46" s="72">
        <f t="shared" si="6"/>
        <v>0</v>
      </c>
      <c r="O46" s="64">
        <f t="shared" si="18"/>
        <v>0</v>
      </c>
      <c r="P46" s="84">
        <f t="shared" si="7"/>
        <v>0</v>
      </c>
      <c r="Q46" s="84">
        <f t="shared" si="19"/>
        <v>28.765012561768941</v>
      </c>
      <c r="R46" s="73">
        <f t="shared" si="20"/>
        <v>921.06692039318148</v>
      </c>
      <c r="S46" s="694">
        <f>IF(NOT(EXACT(A46, "MP Complete")), INDEX(MP_new!$A$4:$J$9, MATCH(Step2!A46 - 1, MP_new!$A$4:$A$9, 0), 7), S44)</f>
        <v>48544.957141362807</v>
      </c>
      <c r="T46" s="693">
        <f>IF(EXACT($Q$5, "Yes"), IF(NOT(EXACT(A46, "MP Complete")), INDEX(MP_new!$A$4:$J$9, MATCH(Step2!A46, MP_new!$A$4:$A$9, 0), 10), T44), 0)</f>
        <v>9000</v>
      </c>
      <c r="U46" s="6">
        <f>('NPV Summary'!$B$16-S46)+T46</f>
        <v>25864.882970329993</v>
      </c>
      <c r="V46" s="6">
        <f>LOOKUP(B46,Rates!$A$5:$B$168)</f>
        <v>3370.9546455854393</v>
      </c>
      <c r="W46" s="72">
        <f t="shared" si="8"/>
        <v>87.189347406357598</v>
      </c>
      <c r="X46" s="73">
        <f t="shared" si="24"/>
        <v>1650.0586142087686</v>
      </c>
      <c r="Y46" s="20">
        <f t="shared" si="25"/>
        <v>58.424334844588657</v>
      </c>
      <c r="Z46" s="20">
        <f t="shared" si="25"/>
        <v>728.99169381558715</v>
      </c>
      <c r="AA46" s="465">
        <f>IF(SUM(AA$11:AA45)&gt;0,0,IF(SUM(X46-R46)&gt;0,B46,0))</f>
        <v>0</v>
      </c>
      <c r="AB46" s="171">
        <f>ABS(Z46)*1000000/SUM(U$12:U46)</f>
        <v>925.13137224400384</v>
      </c>
      <c r="AH46" s="55">
        <f t="shared" si="21"/>
        <v>2041</v>
      </c>
      <c r="AI46" s="8">
        <f>Rates!B39</f>
        <v>2284.5233423158643</v>
      </c>
      <c r="AK46" s="55">
        <f t="shared" si="22"/>
        <v>2041</v>
      </c>
      <c r="AL46" s="164">
        <f>Rates!E39</f>
        <v>3.5999999999999997E-2</v>
      </c>
      <c r="AM46" s="8">
        <f>Rates!F39</f>
        <v>2284.5233423158643</v>
      </c>
      <c r="AN46" s="15">
        <f>Rates!G39</f>
        <v>1794.982626105322</v>
      </c>
      <c r="AP46" s="16">
        <f t="shared" si="9"/>
        <v>2052</v>
      </c>
      <c r="AQ46" s="77">
        <f t="shared" si="0"/>
        <v>0</v>
      </c>
      <c r="AS46" s="136">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4">
        <f t="shared" si="14"/>
        <v>2053</v>
      </c>
      <c r="C47" s="695">
        <v>0</v>
      </c>
      <c r="D47" s="695">
        <f>'Area Summary'!$D$44</f>
        <v>9.616785314343435</v>
      </c>
      <c r="E47" s="66">
        <f t="shared" si="15"/>
        <v>0.65700000000000003</v>
      </c>
      <c r="F47" s="66">
        <f t="shared" si="16"/>
        <v>0</v>
      </c>
      <c r="G47" s="67">
        <f t="shared" si="17"/>
        <v>27.06031112778243</v>
      </c>
      <c r="H47" s="68">
        <f t="shared" si="1"/>
        <v>2.5925804691972472</v>
      </c>
      <c r="I47" s="66">
        <f t="shared" si="2"/>
        <v>0</v>
      </c>
      <c r="J47" s="67">
        <f t="shared" si="3"/>
        <v>27.06031112778243</v>
      </c>
      <c r="K47" s="68">
        <f t="shared" si="3"/>
        <v>2.5925804691972472</v>
      </c>
      <c r="L47" s="66">
        <f t="shared" si="4"/>
        <v>0</v>
      </c>
      <c r="M47" s="70">
        <f t="shared" si="5"/>
        <v>0</v>
      </c>
      <c r="N47" s="70">
        <f t="shared" si="6"/>
        <v>0</v>
      </c>
      <c r="O47" s="66">
        <f t="shared" si="18"/>
        <v>0</v>
      </c>
      <c r="P47" s="67">
        <f t="shared" si="7"/>
        <v>0</v>
      </c>
      <c r="Q47" s="67">
        <f t="shared" si="19"/>
        <v>29.652891596979678</v>
      </c>
      <c r="R47" s="71">
        <f t="shared" si="20"/>
        <v>950.71981199016113</v>
      </c>
      <c r="S47" s="694">
        <f>IF(NOT(EXACT(A47, "MP Complete")), INDEX(MP_new!$A$4:$J$9, MATCH(Step2!A47 - 1, MP_new!$A$4:$A$9, 0), 7), S45)</f>
        <v>48544.957141362807</v>
      </c>
      <c r="T47" s="693">
        <f>IF(EXACT($Q$5, "Yes"), IF(NOT(EXACT(A47, "MP Complete")), INDEX(MP_new!$A$4:$J$9, MATCH(Step2!A47, MP_new!$A$4:$A$9, 0), 10), T45), 0)</f>
        <v>9000</v>
      </c>
      <c r="U47" s="82">
        <f>('NPV Summary'!$B$16-S47)+T47</f>
        <v>25864.882970329993</v>
      </c>
      <c r="V47" s="82">
        <f>LOOKUP(B47,Rates!$A$5:$B$168)</f>
        <v>3492.3090128265153</v>
      </c>
      <c r="W47" s="70">
        <f t="shared" si="8"/>
        <v>90.328163912986483</v>
      </c>
      <c r="X47" s="71">
        <f t="shared" si="24"/>
        <v>1740.386778121755</v>
      </c>
      <c r="Y47" s="470">
        <f t="shared" si="25"/>
        <v>60.675272316006804</v>
      </c>
      <c r="Z47" s="470">
        <f t="shared" si="25"/>
        <v>789.66696613159388</v>
      </c>
      <c r="AA47" s="469">
        <f>IF(SUM(AA$11:AA46)&gt;0,0,IF(SUM(X47-R47)&gt;0,B47,0))</f>
        <v>0</v>
      </c>
      <c r="AB47" s="471">
        <f>ABS(Z47)*1000000/SUM(U$12:U47)</f>
        <v>970.28313595897271</v>
      </c>
      <c r="AC47">
        <f>R47*1000000/SUM(U$12:U47)</f>
        <v>1168.1727109785345</v>
      </c>
      <c r="AH47" s="52">
        <f t="shared" si="21"/>
        <v>2042</v>
      </c>
      <c r="AI47" s="53">
        <f>Rates!B40</f>
        <v>2366.7661826392355</v>
      </c>
      <c r="AK47" s="52">
        <f t="shared" si="22"/>
        <v>2042</v>
      </c>
      <c r="AL47" s="165">
        <f>Rates!E40</f>
        <v>3.5999999999999997E-2</v>
      </c>
      <c r="AM47" s="53">
        <f>Rates!F40</f>
        <v>2366.7661826392355</v>
      </c>
      <c r="AN47" s="54">
        <f>Rates!G40</f>
        <v>1859.6020006451135</v>
      </c>
      <c r="AP47" s="48">
        <f t="shared" si="9"/>
        <v>2053</v>
      </c>
      <c r="AQ47" s="78">
        <f t="shared" si="0"/>
        <v>0</v>
      </c>
      <c r="AS47" s="133">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5">
        <f t="shared" si="14"/>
        <v>2054</v>
      </c>
      <c r="C48" s="695">
        <v>0</v>
      </c>
      <c r="D48" s="695">
        <f>'Area Summary'!$D$44</f>
        <v>9.616785314343435</v>
      </c>
      <c r="E48" s="64">
        <f t="shared" si="15"/>
        <v>0.65700000000000003</v>
      </c>
      <c r="F48" s="64">
        <f t="shared" si="16"/>
        <v>0</v>
      </c>
      <c r="G48" s="84">
        <f t="shared" si="17"/>
        <v>27.872120461615904</v>
      </c>
      <c r="H48" s="65">
        <f t="shared" si="1"/>
        <v>2.6962836879651366</v>
      </c>
      <c r="I48" s="64">
        <f t="shared" si="2"/>
        <v>0</v>
      </c>
      <c r="J48" s="84">
        <f t="shared" si="3"/>
        <v>27.872120461615904</v>
      </c>
      <c r="K48" s="65">
        <f t="shared" si="3"/>
        <v>2.6962836879651366</v>
      </c>
      <c r="L48" s="64">
        <f t="shared" si="4"/>
        <v>0</v>
      </c>
      <c r="M48" s="72">
        <f t="shared" si="5"/>
        <v>0</v>
      </c>
      <c r="N48" s="72">
        <f t="shared" si="6"/>
        <v>0</v>
      </c>
      <c r="O48" s="64">
        <f t="shared" si="18"/>
        <v>0</v>
      </c>
      <c r="P48" s="84">
        <f t="shared" si="7"/>
        <v>0</v>
      </c>
      <c r="Q48" s="84">
        <f t="shared" si="19"/>
        <v>30.568404149581042</v>
      </c>
      <c r="R48" s="73">
        <f t="shared" si="20"/>
        <v>981.28821613974219</v>
      </c>
      <c r="S48" s="694">
        <f>IF(NOT(EXACT(A48, "MP Complete")), INDEX(MP_new!$A$4:$J$9, MATCH(Step2!A48 - 1, MP_new!$A$4:$A$9, 0), 7), S46)</f>
        <v>48544.957141362807</v>
      </c>
      <c r="T48" s="693">
        <f>IF(EXACT($Q$5, "Yes"), IF(NOT(EXACT(A48, "MP Complete")), INDEX(MP_new!$A$4:$J$9, MATCH(Step2!A48, MP_new!$A$4:$A$9, 0), 10), T46), 0)</f>
        <v>9000</v>
      </c>
      <c r="U48" s="6">
        <f>('NPV Summary'!$B$16-S48)+T48</f>
        <v>25864.882970329993</v>
      </c>
      <c r="V48" s="6">
        <f>LOOKUP(B48,Rates!$A$5:$B$168)</f>
        <v>3618.03213728827</v>
      </c>
      <c r="W48" s="72">
        <f t="shared" si="8"/>
        <v>93.579977813854001</v>
      </c>
      <c r="X48" s="73">
        <f t="shared" si="24"/>
        <v>1833.9667559356089</v>
      </c>
      <c r="Y48" s="20">
        <f t="shared" si="25"/>
        <v>63.011573664272959</v>
      </c>
      <c r="Z48" s="20">
        <f t="shared" si="25"/>
        <v>852.67853979586675</v>
      </c>
      <c r="AA48" s="468">
        <f>IF(SUM(AA$11:AA47)&gt;0,0,IF(SUM(X48-R48)&gt;0,B48,0))</f>
        <v>0</v>
      </c>
      <c r="AB48" s="171">
        <f>ABS(Z48)*1000000/SUM(U$12:U48)</f>
        <v>1015.4356275137931</v>
      </c>
      <c r="AH48" s="55">
        <f t="shared" si="21"/>
        <v>2043</v>
      </c>
      <c r="AI48" s="8">
        <f>Rates!B41</f>
        <v>2451.9697652142481</v>
      </c>
      <c r="AK48" s="55">
        <f t="shared" si="22"/>
        <v>2043</v>
      </c>
      <c r="AL48" s="164">
        <f>Rates!E41</f>
        <v>3.5999999999999997E-2</v>
      </c>
      <c r="AM48" s="8">
        <f>Rates!F41</f>
        <v>2451.9697652142481</v>
      </c>
      <c r="AN48" s="15">
        <f>Rates!G41</f>
        <v>1926.5476726683378</v>
      </c>
      <c r="AP48" s="16">
        <f t="shared" si="9"/>
        <v>2054</v>
      </c>
      <c r="AQ48" s="77">
        <f t="shared" si="0"/>
        <v>0</v>
      </c>
      <c r="AS48" s="136">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4">
        <f t="shared" si="14"/>
        <v>2055</v>
      </c>
      <c r="C49" s="695">
        <v>0</v>
      </c>
      <c r="D49" s="695">
        <f>'Area Summary'!$D$44</f>
        <v>9.616785314343435</v>
      </c>
      <c r="E49" s="66">
        <f t="shared" si="15"/>
        <v>0.65700000000000003</v>
      </c>
      <c r="F49" s="66">
        <f t="shared" si="16"/>
        <v>0</v>
      </c>
      <c r="G49" s="67">
        <f t="shared" si="17"/>
        <v>28.708284075464377</v>
      </c>
      <c r="H49" s="68">
        <f t="shared" si="1"/>
        <v>2.8041350354837431</v>
      </c>
      <c r="I49" s="66">
        <f t="shared" si="2"/>
        <v>0</v>
      </c>
      <c r="J49" s="67">
        <f t="shared" si="3"/>
        <v>28.708284075464377</v>
      </c>
      <c r="K49" s="68">
        <f t="shared" si="3"/>
        <v>2.8041350354837431</v>
      </c>
      <c r="L49" s="66">
        <f t="shared" si="4"/>
        <v>0</v>
      </c>
      <c r="M49" s="70">
        <f t="shared" si="5"/>
        <v>0</v>
      </c>
      <c r="N49" s="70">
        <f t="shared" si="6"/>
        <v>0</v>
      </c>
      <c r="O49" s="66">
        <f t="shared" si="18"/>
        <v>0</v>
      </c>
      <c r="P49" s="67">
        <f t="shared" si="7"/>
        <v>0</v>
      </c>
      <c r="Q49" s="67">
        <f t="shared" si="19"/>
        <v>31.51241911094812</v>
      </c>
      <c r="R49" s="71">
        <f t="shared" si="20"/>
        <v>1012.8006352506903</v>
      </c>
      <c r="S49" s="694">
        <f>IF(NOT(EXACT(A49, "MP Complete")), INDEX(MP_new!$A$4:$J$9, MATCH(Step2!A49 - 1, MP_new!$A$4:$A$9, 0), 7), S47)</f>
        <v>48544.957141362807</v>
      </c>
      <c r="T49" s="693">
        <f>IF(EXACT($Q$5, "Yes"), IF(NOT(EXACT(A49, "MP Complete")), INDEX(MP_new!$A$4:$J$9, MATCH(Step2!A49, MP_new!$A$4:$A$9, 0), 10), T47), 0)</f>
        <v>9000</v>
      </c>
      <c r="U49" s="82">
        <f>('NPV Summary'!$B$16-S49)+T49</f>
        <v>25864.882970329993</v>
      </c>
      <c r="V49" s="82">
        <f>LOOKUP(B49,Rates!$A$5:$B$168)</f>
        <v>3748.2812942306477</v>
      </c>
      <c r="W49" s="70">
        <f t="shared" si="8"/>
        <v>96.948857015152754</v>
      </c>
      <c r="X49" s="71">
        <f t="shared" si="24"/>
        <v>1930.9156129507617</v>
      </c>
      <c r="Y49" s="470">
        <f t="shared" si="25"/>
        <v>65.436437904204638</v>
      </c>
      <c r="Z49" s="470">
        <f t="shared" si="25"/>
        <v>918.11497770007134</v>
      </c>
      <c r="AA49" s="466">
        <f>IF(SUM(AA$11:AA48)&gt;0,0,IF(SUM(X49-R49)&gt;0,B49,0))</f>
        <v>0</v>
      </c>
      <c r="AB49" s="471">
        <f>ABS(Z49)*1000000/SUM(U$12:U49)</f>
        <v>1060.6910976820145</v>
      </c>
      <c r="AH49" s="52">
        <f t="shared" si="21"/>
        <v>2044</v>
      </c>
      <c r="AI49" s="53">
        <f>Rates!B42</f>
        <v>2540.2406767619609</v>
      </c>
      <c r="AK49" s="52">
        <f t="shared" si="22"/>
        <v>2044</v>
      </c>
      <c r="AL49" s="165">
        <f>Rates!E42</f>
        <v>3.5999999999999997E-2</v>
      </c>
      <c r="AM49" s="53">
        <f>Rates!F42</f>
        <v>2540.2406767619609</v>
      </c>
      <c r="AN49" s="54">
        <f>Rates!G42</f>
        <v>1995.9033888843981</v>
      </c>
      <c r="AP49" s="48">
        <f t="shared" si="9"/>
        <v>2055</v>
      </c>
      <c r="AQ49" s="78">
        <f t="shared" si="0"/>
        <v>0</v>
      </c>
      <c r="AS49" s="133">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5">
        <f>B49+1</f>
        <v>2056</v>
      </c>
      <c r="C50" s="695">
        <v>0</v>
      </c>
      <c r="D50" s="695">
        <f>'Area Summary'!$D$44</f>
        <v>9.616785314343435</v>
      </c>
      <c r="E50" s="64">
        <f t="shared" si="15"/>
        <v>0.65700000000000003</v>
      </c>
      <c r="F50" s="64">
        <f t="shared" si="16"/>
        <v>0</v>
      </c>
      <c r="G50" s="84">
        <f t="shared" si="17"/>
        <v>29.569532597728308</v>
      </c>
      <c r="H50" s="65">
        <f t="shared" si="1"/>
        <v>2.916300436903092</v>
      </c>
      <c r="I50" s="64">
        <f t="shared" si="2"/>
        <v>0</v>
      </c>
      <c r="J50" s="84">
        <f t="shared" si="3"/>
        <v>29.569532597728308</v>
      </c>
      <c r="K50" s="65">
        <f t="shared" si="3"/>
        <v>2.916300436903092</v>
      </c>
      <c r="L50" s="64">
        <f t="shared" si="4"/>
        <v>0</v>
      </c>
      <c r="M50" s="72">
        <f t="shared" si="5"/>
        <v>0</v>
      </c>
      <c r="N50" s="72">
        <f t="shared" si="6"/>
        <v>0</v>
      </c>
      <c r="O50" s="64">
        <f>IF($L$5="Yes", IF( U50&gt;U49, (U50-U49)*$M$5/1000000,0),0)</f>
        <v>0</v>
      </c>
      <c r="P50" s="84">
        <f t="shared" si="7"/>
        <v>0</v>
      </c>
      <c r="Q50" s="84">
        <f t="shared" si="19"/>
        <v>32.485833034631398</v>
      </c>
      <c r="R50" s="73">
        <f>R49+Q50</f>
        <v>1045.2864682853217</v>
      </c>
      <c r="S50" s="694">
        <f>IF(NOT(EXACT(A50, "MP Complete")), INDEX(MP_new!$A$4:$J$9, MATCH(Step2!A50 - 1, MP_new!$A$4:$A$9, 0), 7), S48)</f>
        <v>48544.957141362807</v>
      </c>
      <c r="T50" s="693">
        <f>IF(EXACT($Q$5, "Yes"), IF(NOT(EXACT(A50, "MP Complete")), INDEX(MP_new!$A$4:$J$9, MATCH(Step2!A50, MP_new!$A$4:$A$9, 0), 10), T48), 0)</f>
        <v>9000</v>
      </c>
      <c r="U50" s="6">
        <f>('NPV Summary'!$B$16-S50)+T50</f>
        <v>25864.882970329993</v>
      </c>
      <c r="V50" s="6">
        <f>LOOKUP(B50,Rates!$A$5:$B$168)</f>
        <v>3883.2194208229512</v>
      </c>
      <c r="W50" s="72">
        <f t="shared" si="8"/>
        <v>100.43901586769825</v>
      </c>
      <c r="X50" s="73">
        <f>X49+W50</f>
        <v>2031.35462881846</v>
      </c>
      <c r="Y50" s="20">
        <f t="shared" si="25"/>
        <v>67.953182833066847</v>
      </c>
      <c r="Z50" s="20">
        <f t="shared" si="25"/>
        <v>986.06816053313833</v>
      </c>
      <c r="AA50" s="465">
        <f>IF(SUM(AA$11:AA49)&gt;0,0,IF(SUM(X50-R50)&gt;0,B50,0))</f>
        <v>0</v>
      </c>
      <c r="AB50" s="171">
        <f>ABS(Z50)*1000000/SUM(U$12:U50)</f>
        <v>1106.1436520283748</v>
      </c>
      <c r="AH50" s="55">
        <f>AH49+1</f>
        <v>2045</v>
      </c>
      <c r="AI50" s="8">
        <f>Rates!B43</f>
        <v>2631.6893411253914</v>
      </c>
      <c r="AK50" s="55">
        <f>AK49+1</f>
        <v>2045</v>
      </c>
      <c r="AL50" s="164">
        <f>Rates!E43</f>
        <v>3.5999999999999997E-2</v>
      </c>
      <c r="AM50" s="8">
        <f>Rates!F43</f>
        <v>2631.6893411253914</v>
      </c>
      <c r="AN50" s="15">
        <f>Rates!G43</f>
        <v>2067.7559108842365</v>
      </c>
      <c r="AP50" s="16">
        <f t="shared" si="9"/>
        <v>2056</v>
      </c>
      <c r="AQ50" s="77">
        <f t="shared" si="0"/>
        <v>0</v>
      </c>
      <c r="AS50" s="136">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4">
        <f t="shared" si="14"/>
        <v>2057</v>
      </c>
      <c r="C51" s="695">
        <v>0</v>
      </c>
      <c r="D51" s="695">
        <f>'Area Summary'!$D$44</f>
        <v>9.616785314343435</v>
      </c>
      <c r="E51" s="66">
        <f t="shared" si="15"/>
        <v>0.65700000000000003</v>
      </c>
      <c r="F51" s="66">
        <f t="shared" si="16"/>
        <v>0</v>
      </c>
      <c r="G51" s="67">
        <f t="shared" si="17"/>
        <v>30.456618575660162</v>
      </c>
      <c r="H51" s="68">
        <f t="shared" si="1"/>
        <v>3.0329524543792159</v>
      </c>
      <c r="I51" s="66">
        <f t="shared" si="2"/>
        <v>0</v>
      </c>
      <c r="J51" s="67">
        <f t="shared" si="3"/>
        <v>30.456618575660162</v>
      </c>
      <c r="K51" s="68">
        <f t="shared" si="3"/>
        <v>3.0329524543792159</v>
      </c>
      <c r="L51" s="66">
        <f t="shared" si="4"/>
        <v>0</v>
      </c>
      <c r="M51" s="70">
        <f t="shared" si="5"/>
        <v>0</v>
      </c>
      <c r="N51" s="70">
        <f t="shared" si="6"/>
        <v>0</v>
      </c>
      <c r="O51" s="66">
        <f t="shared" si="18"/>
        <v>0</v>
      </c>
      <c r="P51" s="67">
        <f t="shared" si="7"/>
        <v>0</v>
      </c>
      <c r="Q51" s="67">
        <f t="shared" si="19"/>
        <v>33.489571030039379</v>
      </c>
      <c r="R51" s="71">
        <f t="shared" si="20"/>
        <v>1078.776039315361</v>
      </c>
      <c r="S51" s="694">
        <f>IF(NOT(EXACT(A51, "MP Complete")), INDEX(MP_new!$A$4:$J$9, MATCH(Step2!A51 - 1, MP_new!$A$4:$A$9, 0), 7), S49)</f>
        <v>48544.957141362807</v>
      </c>
      <c r="T51" s="693">
        <f>IF(EXACT($Q$5, "Yes"), IF(NOT(EXACT(A51, "MP Complete")), INDEX(MP_new!$A$4:$J$9, MATCH(Step2!A51, MP_new!$A$4:$A$9, 0), 10), T49), 0)</f>
        <v>9000</v>
      </c>
      <c r="U51" s="82">
        <f>('NPV Summary'!$B$16-S51)+T51</f>
        <v>25864.882970329993</v>
      </c>
      <c r="V51" s="82">
        <f>LOOKUP(B51,Rates!$A$5:$B$168)</f>
        <v>4023.0153199725773</v>
      </c>
      <c r="W51" s="70">
        <f t="shared" si="8"/>
        <v>104.05482043893538</v>
      </c>
      <c r="X51" s="74">
        <f t="shared" si="24"/>
        <v>2135.4094492573954</v>
      </c>
      <c r="Y51" s="470">
        <f t="shared" si="25"/>
        <v>70.565249408895994</v>
      </c>
      <c r="Z51" s="470">
        <f t="shared" si="25"/>
        <v>1056.6334099420344</v>
      </c>
      <c r="AA51" s="466">
        <f>IF(SUM(AA$11:AA50)&gt;0,0,IF(SUM(X51-R51)&gt;0,B51,0))</f>
        <v>0</v>
      </c>
      <c r="AB51" s="471">
        <f>ABS(Z51)*1000000/SUM(U$12:U51)</f>
        <v>1151.8805334992469</v>
      </c>
      <c r="AH51" s="52">
        <f t="shared" si="21"/>
        <v>2046</v>
      </c>
      <c r="AI51" s="53">
        <f>Rates!B44</f>
        <v>2726.4301574059054</v>
      </c>
      <c r="AK51" s="52">
        <f t="shared" si="22"/>
        <v>2046</v>
      </c>
      <c r="AL51" s="165">
        <f>Rates!E44</f>
        <v>3.5999999999999997E-2</v>
      </c>
      <c r="AM51" s="53">
        <f>Rates!F44</f>
        <v>2726.4301574059054</v>
      </c>
      <c r="AN51" s="54">
        <f>Rates!G44</f>
        <v>2142.1951236760692</v>
      </c>
      <c r="AP51" s="48">
        <f t="shared" si="9"/>
        <v>2057</v>
      </c>
      <c r="AQ51" s="78">
        <f t="shared" si="0"/>
        <v>0</v>
      </c>
      <c r="AS51" s="133">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5">
        <f t="shared" si="14"/>
        <v>2058</v>
      </c>
      <c r="C52" s="695">
        <v>0</v>
      </c>
      <c r="D52" s="695">
        <f>'Area Summary'!$D$44</f>
        <v>9.616785314343435</v>
      </c>
      <c r="E52" s="64">
        <f t="shared" si="15"/>
        <v>0.65700000000000003</v>
      </c>
      <c r="F52" s="64">
        <f t="shared" si="16"/>
        <v>0</v>
      </c>
      <c r="G52" s="84">
        <f t="shared" si="17"/>
        <v>31.370317132929959</v>
      </c>
      <c r="H52" s="65">
        <f t="shared" si="1"/>
        <v>3.1542705525543853</v>
      </c>
      <c r="I52" s="64">
        <f t="shared" si="2"/>
        <v>0</v>
      </c>
      <c r="J52" s="84">
        <f t="shared" si="3"/>
        <v>31.370317132929959</v>
      </c>
      <c r="K52" s="65">
        <f t="shared" si="3"/>
        <v>3.1542705525543853</v>
      </c>
      <c r="L52" s="64">
        <f t="shared" si="4"/>
        <v>0</v>
      </c>
      <c r="M52" s="72">
        <f t="shared" si="5"/>
        <v>0</v>
      </c>
      <c r="N52" s="72">
        <f t="shared" si="6"/>
        <v>0</v>
      </c>
      <c r="O52" s="64">
        <f t="shared" si="18"/>
        <v>0</v>
      </c>
      <c r="P52" s="84">
        <f t="shared" si="7"/>
        <v>0</v>
      </c>
      <c r="Q52" s="84">
        <f t="shared" si="19"/>
        <v>34.524587685484342</v>
      </c>
      <c r="R52" s="73">
        <f t="shared" si="20"/>
        <v>1113.3006270008455</v>
      </c>
      <c r="S52" s="694">
        <f>IF(NOT(EXACT(A52, "MP Complete")), INDEX(MP_new!$A$4:$J$9, MATCH(Step2!A52 - 1, MP_new!$A$4:$A$9, 0), 7), S50)</f>
        <v>48544.957141362807</v>
      </c>
      <c r="T52" s="693">
        <f>IF(EXACT($Q$5, "Yes"), IF(NOT(EXACT(A52, "MP Complete")), INDEX(MP_new!$A$4:$J$9, MATCH(Step2!A52, MP_new!$A$4:$A$9, 0), 10), T50), 0)</f>
        <v>9000</v>
      </c>
      <c r="U52" s="6">
        <f>('NPV Summary'!$B$16-S52)+T52</f>
        <v>25864.882970329993</v>
      </c>
      <c r="V52" s="6">
        <f>LOOKUP(B52,Rates!$A$5:$B$168)</f>
        <v>4167.8438714915901</v>
      </c>
      <c r="W52" s="72">
        <f t="shared" si="8"/>
        <v>107.80079397473705</v>
      </c>
      <c r="X52" s="73">
        <f t="shared" si="24"/>
        <v>2243.2102432321326</v>
      </c>
      <c r="Y52" s="20">
        <f t="shared" si="25"/>
        <v>73.276206289252713</v>
      </c>
      <c r="Z52" s="20">
        <f t="shared" si="25"/>
        <v>1129.9096162312871</v>
      </c>
      <c r="AA52" s="465">
        <f>IF(SUM(AA$11:AA51)&gt;0,0,IF(SUM(X52-R52)&gt;0,B52,0))</f>
        <v>0</v>
      </c>
      <c r="AB52" s="171">
        <f>ABS(Z52)*1000000/SUM(U$12:U52)</f>
        <v>1197.9831987891682</v>
      </c>
      <c r="AH52" s="55">
        <f t="shared" si="21"/>
        <v>2047</v>
      </c>
      <c r="AI52" s="8">
        <f>Rates!B45</f>
        <v>2824.5816430725181</v>
      </c>
      <c r="AK52" s="55">
        <f t="shared" si="22"/>
        <v>2047</v>
      </c>
      <c r="AL52" s="164">
        <f>Rates!E45</f>
        <v>3.5999999999999997E-2</v>
      </c>
      <c r="AM52" s="8">
        <f>Rates!F45</f>
        <v>2824.5816430725181</v>
      </c>
      <c r="AN52" s="15">
        <f>Rates!G45</f>
        <v>2219.3141481284079</v>
      </c>
      <c r="AP52" s="16">
        <f t="shared" si="9"/>
        <v>2058</v>
      </c>
      <c r="AQ52" s="77">
        <f t="shared" si="0"/>
        <v>0</v>
      </c>
      <c r="AS52" s="136">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4">
        <f t="shared" si="14"/>
        <v>2059</v>
      </c>
      <c r="C53" s="695">
        <v>0</v>
      </c>
      <c r="D53" s="695">
        <f>'Area Summary'!$D$44</f>
        <v>9.616785314343435</v>
      </c>
      <c r="E53" s="66">
        <f t="shared" si="15"/>
        <v>0.65700000000000003</v>
      </c>
      <c r="F53" s="66">
        <f t="shared" si="16"/>
        <v>0</v>
      </c>
      <c r="G53" s="67">
        <f t="shared" si="17"/>
        <v>32.311426646917859</v>
      </c>
      <c r="H53" s="68">
        <f t="shared" si="1"/>
        <v>3.2804413746565606</v>
      </c>
      <c r="I53" s="66">
        <f t="shared" si="2"/>
        <v>0</v>
      </c>
      <c r="J53" s="67">
        <f t="shared" si="3"/>
        <v>32.311426646917859</v>
      </c>
      <c r="K53" s="68">
        <f t="shared" si="3"/>
        <v>3.2804413746565606</v>
      </c>
      <c r="L53" s="66">
        <f t="shared" si="4"/>
        <v>0</v>
      </c>
      <c r="M53" s="70">
        <f t="shared" si="5"/>
        <v>0</v>
      </c>
      <c r="N53" s="70">
        <f t="shared" si="6"/>
        <v>0</v>
      </c>
      <c r="O53" s="66">
        <f t="shared" si="18"/>
        <v>0</v>
      </c>
      <c r="P53" s="67">
        <f t="shared" si="7"/>
        <v>0</v>
      </c>
      <c r="Q53" s="67">
        <f t="shared" si="19"/>
        <v>35.59186802157442</v>
      </c>
      <c r="R53" s="71">
        <f t="shared" si="20"/>
        <v>1148.8924950224198</v>
      </c>
      <c r="S53" s="694">
        <f>IF(NOT(EXACT(A53, "MP Complete")), INDEX(MP_new!$A$4:$J$9, MATCH(Step2!A53 - 1, MP_new!$A$4:$A$9, 0), 7), S51)</f>
        <v>48544.957141362807</v>
      </c>
      <c r="T53" s="693">
        <f>IF(EXACT($Q$5, "Yes"), IF(NOT(EXACT(A53, "MP Complete")), INDEX(MP_new!$A$4:$J$9, MATCH(Step2!A53, MP_new!$A$4:$A$9, 0), 10), T51), 0)</f>
        <v>9000</v>
      </c>
      <c r="U53" s="82">
        <f>('NPV Summary'!$B$16-S53)+T53</f>
        <v>25864.882970329993</v>
      </c>
      <c r="V53" s="82">
        <f>LOOKUP(B53,Rates!$A$5:$B$168)</f>
        <v>4317.8862508652874</v>
      </c>
      <c r="W53" s="70">
        <f t="shared" si="8"/>
        <v>111.68162255782759</v>
      </c>
      <c r="X53" s="71">
        <f t="shared" si="24"/>
        <v>2354.8918657899603</v>
      </c>
      <c r="Y53" s="470">
        <f t="shared" si="25"/>
        <v>76.089754536253167</v>
      </c>
      <c r="Z53" s="470">
        <f t="shared" si="25"/>
        <v>1205.9993707675405</v>
      </c>
      <c r="AA53" s="474">
        <f>IF(SUM(AA$11:AA52)&gt;0,0,IF(SUM(X53-R53)&gt;0,B53,0))</f>
        <v>0</v>
      </c>
      <c r="AB53" s="471">
        <f>ABS(Z53)*1000000/SUM(U$12:U53)</f>
        <v>1244.5282271855924</v>
      </c>
      <c r="AH53" s="52">
        <f t="shared" si="21"/>
        <v>2048</v>
      </c>
      <c r="AI53" s="53">
        <f>Rates!B46</f>
        <v>2926.2665822231288</v>
      </c>
      <c r="AK53" s="52">
        <f t="shared" si="22"/>
        <v>2048</v>
      </c>
      <c r="AL53" s="165">
        <f>Rates!E46</f>
        <v>3.5999999999999997E-2</v>
      </c>
      <c r="AM53" s="53">
        <f>Rates!F46</f>
        <v>2926.2665822231288</v>
      </c>
      <c r="AN53" s="54">
        <f>Rates!G46</f>
        <v>2299.2094574610305</v>
      </c>
      <c r="AP53" s="48">
        <f t="shared" si="9"/>
        <v>2059</v>
      </c>
      <c r="AQ53" s="78">
        <f t="shared" si="0"/>
        <v>0</v>
      </c>
      <c r="AS53" s="133">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5">
        <f>B53+1</f>
        <v>2060</v>
      </c>
      <c r="C54" s="695">
        <v>0</v>
      </c>
      <c r="D54" s="695">
        <f>'Area Summary'!$D$44</f>
        <v>9.616785314343435</v>
      </c>
      <c r="E54" s="64">
        <f t="shared" si="15"/>
        <v>0.65700000000000003</v>
      </c>
      <c r="F54" s="64">
        <f t="shared" si="16"/>
        <v>0</v>
      </c>
      <c r="G54" s="84">
        <f t="shared" si="17"/>
        <v>33.280769446325401</v>
      </c>
      <c r="H54" s="65">
        <f t="shared" si="1"/>
        <v>3.4116590296428231</v>
      </c>
      <c r="I54" s="64">
        <f t="shared" si="2"/>
        <v>0</v>
      </c>
      <c r="J54" s="84">
        <f t="shared" si="3"/>
        <v>33.280769446325401</v>
      </c>
      <c r="K54" s="65">
        <f t="shared" si="3"/>
        <v>3.4116590296428231</v>
      </c>
      <c r="L54" s="64">
        <f t="shared" si="4"/>
        <v>0</v>
      </c>
      <c r="M54" s="72">
        <f t="shared" si="5"/>
        <v>0</v>
      </c>
      <c r="N54" s="72">
        <f t="shared" si="6"/>
        <v>0</v>
      </c>
      <c r="O54" s="64">
        <f>IF($L$5="Yes", IF( U54&gt;U53, (U54-U53)*$M$5/1000000,0),0)</f>
        <v>0</v>
      </c>
      <c r="P54" s="84">
        <f t="shared" si="7"/>
        <v>0</v>
      </c>
      <c r="Q54" s="84">
        <f t="shared" si="19"/>
        <v>36.692428475968221</v>
      </c>
      <c r="R54" s="73">
        <f>R53+Q54</f>
        <v>1185.584923498388</v>
      </c>
      <c r="S54" s="694">
        <f>IF(NOT(EXACT(A54, "MP Complete")), INDEX(MP_new!$A$4:$J$9, MATCH(Step2!A54 - 1, MP_new!$A$4:$A$9, 0), 7), S52)</f>
        <v>48544.957141362807</v>
      </c>
      <c r="T54" s="693">
        <f>IF(EXACT($Q$5, "Yes"), IF(NOT(EXACT(A54, "MP Complete")), INDEX(MP_new!$A$4:$J$9, MATCH(Step2!A54, MP_new!$A$4:$A$9, 0), 10), T52), 0)</f>
        <v>9000</v>
      </c>
      <c r="U54" s="6">
        <f>('NPV Summary'!$B$16-S54)+T54</f>
        <v>25864.882970329993</v>
      </c>
      <c r="V54" s="6">
        <f>LOOKUP(B54,Rates!$A$5:$B$168)</f>
        <v>4473.3301558964376</v>
      </c>
      <c r="W54" s="72">
        <f t="shared" si="8"/>
        <v>115.70216096990939</v>
      </c>
      <c r="X54" s="73">
        <f>X53+W54</f>
        <v>2470.5940267598698</v>
      </c>
      <c r="Y54" s="20">
        <f>W54-Q54</f>
        <v>79.009732493941158</v>
      </c>
      <c r="Z54" s="20">
        <f>X54-R54</f>
        <v>1285.0091032614819</v>
      </c>
      <c r="AA54" s="467">
        <f>IF(SUM(AA$11:AA53)&gt;0,0,IF(SUM(X54-R54)&gt;0,B54,0))</f>
        <v>0</v>
      </c>
      <c r="AB54" s="171">
        <f>ABS(Z54)*1000000/SUM(U$12:U54)</f>
        <v>1291.5880925508959</v>
      </c>
      <c r="AH54" s="55">
        <f>AH53+1</f>
        <v>2049</v>
      </c>
      <c r="AI54" s="8">
        <f>Rates!B47</f>
        <v>3031.6121791831615</v>
      </c>
      <c r="AK54" s="55">
        <f>AK53+1</f>
        <v>2049</v>
      </c>
      <c r="AL54" s="164">
        <f>Rates!E47</f>
        <v>3.5999999999999997E-2</v>
      </c>
      <c r="AM54" s="8">
        <f>Rates!F47</f>
        <v>3031.6121791831615</v>
      </c>
      <c r="AN54" s="15">
        <f>Rates!G47</f>
        <v>2381.9809979296278</v>
      </c>
      <c r="AP54" s="16">
        <f t="shared" si="9"/>
        <v>2060</v>
      </c>
      <c r="AQ54" s="77">
        <f t="shared" si="0"/>
        <v>0</v>
      </c>
      <c r="AS54" s="136">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53" t="s">
        <v>118</v>
      </c>
      <c r="Q55" s="166">
        <f>NPV($E$5,Q12:Q54)*(1+$E$5)^($D$5-($C$5-1))</f>
        <v>614.05622571900983</v>
      </c>
      <c r="V55" s="153" t="s">
        <v>119</v>
      </c>
      <c r="W55" s="167">
        <f>NPV($E$5,W12:W54)*(1+$E$5)^($D$5-($C$5-1))</f>
        <v>922.31836795913887</v>
      </c>
      <c r="X55" s="61" t="s">
        <v>30</v>
      </c>
      <c r="Y55" s="62">
        <f>IFERROR(IRR(Y12:Y54), 0)</f>
        <v>8.7163465440454502E-2</v>
      </c>
      <c r="AA55" s="475" t="s">
        <v>535</v>
      </c>
      <c r="AB55" s="476">
        <f>R54*1000000/SUM(U$12:U54)</f>
        <v>1191.6548808968141</v>
      </c>
      <c r="AH55" s="55">
        <f t="shared" ref="AH55:AH62" si="36">AH54+1</f>
        <v>2050</v>
      </c>
      <c r="AI55" s="8">
        <f>Rates!B48</f>
        <v>3140.7502176337553</v>
      </c>
      <c r="AK55" s="55">
        <f t="shared" ref="AK55:AK62" si="37">AK54+1</f>
        <v>2050</v>
      </c>
      <c r="AL55" s="164">
        <f>Rates!E48</f>
        <v>3.5999999999999997E-2</v>
      </c>
      <c r="AM55" s="8">
        <f>Rates!F48</f>
        <v>3140.7502176337553</v>
      </c>
      <c r="AN55" s="15">
        <f>Rates!G48</f>
        <v>2467.7323138550946</v>
      </c>
    </row>
    <row r="56" spans="1:61" x14ac:dyDescent="0.25">
      <c r="A56" s="622" t="s">
        <v>120</v>
      </c>
      <c r="B56" s="622"/>
      <c r="C56" s="622"/>
      <c r="D56" s="622"/>
      <c r="E56" s="622"/>
      <c r="F56" s="622"/>
      <c r="G56" s="622"/>
      <c r="H56" s="622"/>
      <c r="I56" s="622"/>
      <c r="J56" s="622"/>
      <c r="K56" s="622"/>
      <c r="AH56" s="55">
        <f t="shared" si="36"/>
        <v>2051</v>
      </c>
      <c r="AI56" s="8">
        <f>Rates!B49</f>
        <v>3253.8172254685705</v>
      </c>
      <c r="AK56" s="55">
        <f t="shared" si="37"/>
        <v>2051</v>
      </c>
      <c r="AL56" s="164">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64">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64">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64">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64">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64">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64">
        <f>Rates!E55</f>
        <v>3.5999999999999997E-2</v>
      </c>
      <c r="AM62" s="8">
        <f>Rates!F55</f>
        <v>4023.0153199725773</v>
      </c>
      <c r="AN62" s="15">
        <f>Rates!G55</f>
        <v>3160.9406085498831</v>
      </c>
    </row>
    <row r="63" spans="1:61" x14ac:dyDescent="0.25">
      <c r="AH63" s="55">
        <f>AH62+1</f>
        <v>2058</v>
      </c>
      <c r="AI63" s="8">
        <f>Rates!B56</f>
        <v>4167.8438714915901</v>
      </c>
      <c r="AK63" s="55">
        <f>AK62+1</f>
        <v>2058</v>
      </c>
      <c r="AL63" s="164">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64">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64">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zoomScale="85" zoomScaleNormal="85" workbookViewId="0">
      <selection activeCell="C1" sqref="C1"/>
    </sheetView>
    <sheetView topLeftCell="A25" workbookViewId="1">
      <selection activeCell="D22" sqref="D22:D54"/>
    </sheetView>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58"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42" t="s">
        <v>545</v>
      </c>
      <c r="Y1" s="458"/>
      <c r="Z1"/>
      <c r="AA1"/>
      <c r="BW1" s="9"/>
      <c r="BX1" s="9"/>
    </row>
    <row r="2" spans="1:76" ht="15.75" customHeight="1" thickBot="1" x14ac:dyDescent="0.3">
      <c r="B2" s="578" t="s">
        <v>1</v>
      </c>
      <c r="C2" s="604"/>
      <c r="D2" s="604"/>
      <c r="E2" s="604"/>
      <c r="F2" s="604"/>
      <c r="G2" s="604"/>
      <c r="H2" s="604"/>
      <c r="I2" s="604"/>
      <c r="J2" s="604"/>
      <c r="K2" s="604"/>
      <c r="L2" s="604"/>
      <c r="M2" s="604"/>
      <c r="N2" s="604"/>
      <c r="O2" s="604"/>
      <c r="P2" s="604"/>
      <c r="Q2" s="604"/>
      <c r="R2" s="604"/>
      <c r="Y2" s="458"/>
      <c r="Z2"/>
      <c r="AA2"/>
      <c r="BW2" s="9"/>
      <c r="BX2" s="9"/>
    </row>
    <row r="3" spans="1:76" s="56" customFormat="1" ht="24" customHeight="1" x14ac:dyDescent="0.25">
      <c r="B3" s="125"/>
      <c r="C3" s="126"/>
      <c r="D3" s="595" t="s">
        <v>2</v>
      </c>
      <c r="E3" s="596"/>
      <c r="F3" s="580" t="s">
        <v>3</v>
      </c>
      <c r="G3" s="580"/>
      <c r="H3" s="587"/>
      <c r="I3" s="590" t="s">
        <v>4</v>
      </c>
      <c r="J3" s="591"/>
      <c r="K3" s="592"/>
      <c r="L3" s="587" t="s">
        <v>5</v>
      </c>
      <c r="M3" s="588"/>
      <c r="N3" s="589"/>
      <c r="O3" s="593" t="s">
        <v>6</v>
      </c>
      <c r="P3" s="594"/>
      <c r="Q3" s="579" t="s">
        <v>7</v>
      </c>
      <c r="R3" s="675"/>
      <c r="Y3" s="459"/>
    </row>
    <row r="4" spans="1:76" s="56" customFormat="1" ht="51.75" customHeight="1" thickBot="1" x14ac:dyDescent="0.3">
      <c r="B4" s="108" t="s">
        <v>8</v>
      </c>
      <c r="C4" s="109" t="s">
        <v>9</v>
      </c>
      <c r="D4" s="99" t="s">
        <v>10</v>
      </c>
      <c r="E4" s="113" t="s">
        <v>11</v>
      </c>
      <c r="F4" s="110" t="s">
        <v>12</v>
      </c>
      <c r="G4" s="98" t="s">
        <v>13</v>
      </c>
      <c r="H4" s="98" t="s">
        <v>14</v>
      </c>
      <c r="I4" s="108" t="s">
        <v>15</v>
      </c>
      <c r="J4" s="97" t="s">
        <v>16</v>
      </c>
      <c r="K4" s="109" t="s">
        <v>17</v>
      </c>
      <c r="L4" s="101" t="s">
        <v>18</v>
      </c>
      <c r="M4" s="93" t="s">
        <v>19</v>
      </c>
      <c r="N4" s="100" t="s">
        <v>20</v>
      </c>
      <c r="O4" s="108" t="s">
        <v>21</v>
      </c>
      <c r="P4" s="109" t="s">
        <v>22</v>
      </c>
      <c r="Q4" s="122" t="s">
        <v>23</v>
      </c>
      <c r="R4" s="123" t="s">
        <v>24</v>
      </c>
      <c r="Y4" s="459"/>
    </row>
    <row r="5" spans="1:76" s="56" customFormat="1" ht="15.75" customHeight="1" thickBot="1" x14ac:dyDescent="0.3">
      <c r="B5" s="129">
        <f>'NPV Summary'!B5</f>
        <v>2018</v>
      </c>
      <c r="C5" s="129">
        <f>'NPV Summary'!C5</f>
        <v>2018</v>
      </c>
      <c r="D5" s="129">
        <f>'NPV Summary'!D5</f>
        <v>2018</v>
      </c>
      <c r="E5" s="129">
        <f>'NPV Summary'!E5</f>
        <v>0.04</v>
      </c>
      <c r="F5" s="129">
        <f>'NPV Summary'!F5</f>
        <v>2.1999999999999999E-2</v>
      </c>
      <c r="G5" s="129">
        <f>'NPV Summary'!G5</f>
        <v>0.03</v>
      </c>
      <c r="H5" s="129">
        <f>'NPV Summary'!H5</f>
        <v>0.04</v>
      </c>
      <c r="I5" s="129">
        <f>'NPV Summary'!I5</f>
        <v>0</v>
      </c>
      <c r="J5" s="129">
        <f>'NPV Summary'!J5</f>
        <v>30</v>
      </c>
      <c r="K5" s="129">
        <f>'NPV Summary'!K5</f>
        <v>0.05</v>
      </c>
      <c r="L5" s="129" t="str">
        <f>'NPV Summary'!L5</f>
        <v>No</v>
      </c>
      <c r="M5" s="129">
        <f>'NPV Summary'!M5</f>
        <v>475</v>
      </c>
      <c r="N5" s="129">
        <f>'NPV Summary'!N5</f>
        <v>15</v>
      </c>
      <c r="O5" s="129" t="str">
        <f>'NPV Summary'!O5</f>
        <v>Treated</v>
      </c>
      <c r="P5" s="129">
        <f>'NPV Summary'!P5</f>
        <v>3.5999999999999997E-2</v>
      </c>
      <c r="Q5" s="129" t="str">
        <f>'NPV Summary'!Q5</f>
        <v>Yes</v>
      </c>
      <c r="R5" s="129">
        <f>'NPV Summary'!R5</f>
        <v>73</v>
      </c>
      <c r="Y5" s="459"/>
    </row>
    <row r="6" spans="1:76" s="56" customFormat="1" ht="15" customHeight="1" thickBot="1" x14ac:dyDescent="0.3">
      <c r="A6" s="103"/>
      <c r="B6" s="130" t="s">
        <v>67</v>
      </c>
      <c r="C6" s="57"/>
      <c r="D6" s="158"/>
      <c r="E6" s="158"/>
      <c r="F6" s="158"/>
      <c r="G6" s="158"/>
      <c r="H6" s="158"/>
      <c r="I6" s="57"/>
      <c r="J6" s="57"/>
      <c r="K6" s="103"/>
      <c r="L6" s="103"/>
      <c r="M6" s="91"/>
      <c r="N6" s="58"/>
      <c r="O6" s="158"/>
      <c r="P6" s="57"/>
      <c r="Q6" s="159"/>
      <c r="R6" s="159"/>
      <c r="S6" s="159"/>
      <c r="T6" s="159"/>
      <c r="V6" s="159"/>
      <c r="W6" s="92"/>
      <c r="AA6" s="459"/>
    </row>
    <row r="7" spans="1:76" s="56" customFormat="1" ht="15" customHeight="1" thickBot="1" x14ac:dyDescent="0.3">
      <c r="A7" s="103"/>
      <c r="B7" s="118"/>
      <c r="C7" s="118"/>
      <c r="D7" s="163"/>
      <c r="E7" s="163"/>
      <c r="F7" s="163"/>
      <c r="G7" s="163"/>
      <c r="H7" s="163"/>
      <c r="I7" s="118"/>
      <c r="J7" s="118"/>
      <c r="K7" s="118"/>
      <c r="L7" s="118"/>
      <c r="M7" s="119"/>
      <c r="N7" s="119"/>
      <c r="O7" s="163"/>
      <c r="P7" s="118"/>
      <c r="Q7" s="159"/>
      <c r="R7" s="159"/>
      <c r="S7" s="159"/>
      <c r="T7" s="159"/>
      <c r="U7" s="103"/>
      <c r="V7" s="159"/>
      <c r="W7" s="92"/>
      <c r="X7" s="86"/>
      <c r="Z7" s="162"/>
      <c r="AA7" s="460"/>
      <c r="AH7" s="623" t="s">
        <v>68</v>
      </c>
      <c r="AI7" s="624"/>
      <c r="AJ7" s="624"/>
      <c r="AK7" s="624"/>
      <c r="AL7" s="624"/>
      <c r="AM7" s="624"/>
      <c r="AN7" s="625"/>
    </row>
    <row r="8" spans="1:76" ht="13.5" customHeight="1" thickBot="1" x14ac:dyDescent="0.3">
      <c r="A8" s="629" t="s">
        <v>69</v>
      </c>
      <c r="B8" s="620"/>
      <c r="C8" s="620"/>
      <c r="D8" s="620"/>
      <c r="E8" s="620"/>
      <c r="F8" s="620"/>
      <c r="G8" s="620"/>
      <c r="H8" s="620"/>
      <c r="I8" s="620"/>
      <c r="J8" s="620"/>
      <c r="K8" s="620"/>
      <c r="L8" s="620"/>
      <c r="M8" s="620"/>
      <c r="N8" s="620"/>
      <c r="O8" s="620"/>
      <c r="P8" s="620"/>
      <c r="Q8" s="620"/>
      <c r="R8" s="620"/>
      <c r="S8" s="620"/>
      <c r="T8" s="620"/>
      <c r="U8" s="620"/>
      <c r="V8" s="620"/>
      <c r="W8" s="620"/>
      <c r="X8" s="620"/>
      <c r="Y8" s="620"/>
      <c r="Z8" s="621"/>
      <c r="AA8" s="461"/>
      <c r="AH8" s="626"/>
      <c r="AI8" s="627"/>
      <c r="AJ8" s="627"/>
      <c r="AK8" s="627"/>
      <c r="AL8" s="627"/>
      <c r="AM8" s="627"/>
      <c r="AN8" s="628"/>
    </row>
    <row r="9" spans="1:76" ht="38.25" customHeight="1" thickBot="1" x14ac:dyDescent="0.3">
      <c r="A9" s="630"/>
      <c r="B9" s="631"/>
      <c r="C9" s="632" t="str">
        <f>"Projected Annual Cost
"&amp;B5&amp;" Dollar Year" &amp;"
($Million)"</f>
        <v>Projected Annual Cost
2018 Dollar Year
($Million)</v>
      </c>
      <c r="D9" s="633"/>
      <c r="E9" s="634"/>
      <c r="F9" s="633" t="s">
        <v>70</v>
      </c>
      <c r="G9" s="633"/>
      <c r="H9" s="634"/>
      <c r="I9" s="635" t="str">
        <f>"Projected Annual Cost with Financing
($Million; NPV=$"&amp;ROUND(Q55,3)&amp;")"</f>
        <v>Projected Annual Cost with Financing
($Million; NPV=$801.086)</v>
      </c>
      <c r="J9" s="636"/>
      <c r="K9" s="636"/>
      <c r="L9" s="636"/>
      <c r="M9" s="636"/>
      <c r="N9" s="636"/>
      <c r="O9" s="636"/>
      <c r="P9" s="636"/>
      <c r="Q9" s="636"/>
      <c r="R9" s="637"/>
      <c r="S9" s="632" t="str">
        <f>"Avoided MWD Purchase 
 ($Million; NPV=$"&amp;ROUND(W55,3)&amp;")"</f>
        <v>Avoided MWD Purchase 
 ($Million; NPV=$922.318)</v>
      </c>
      <c r="T9" s="633"/>
      <c r="U9" s="633"/>
      <c r="V9" s="633"/>
      <c r="W9" s="633"/>
      <c r="X9" s="634"/>
      <c r="Y9" s="632" t="s">
        <v>71</v>
      </c>
      <c r="Z9" s="634"/>
      <c r="AA9" s="462"/>
      <c r="AH9" s="638" t="s">
        <v>72</v>
      </c>
      <c r="AI9" s="639"/>
      <c r="AJ9" s="41"/>
      <c r="AK9" s="640" t="s">
        <v>73</v>
      </c>
      <c r="AL9" s="641"/>
      <c r="AM9" s="641"/>
      <c r="AN9" s="642"/>
      <c r="AP9" s="617" t="s">
        <v>74</v>
      </c>
      <c r="AQ9" s="618"/>
      <c r="AS9" s="619" t="s">
        <v>75</v>
      </c>
      <c r="AT9" s="620"/>
      <c r="AU9" s="620"/>
      <c r="AV9" s="620"/>
      <c r="AW9" s="620"/>
      <c r="AX9" s="620"/>
      <c r="AY9" s="620"/>
      <c r="AZ9" s="620"/>
      <c r="BA9" s="620"/>
      <c r="BB9" s="621"/>
      <c r="BD9" s="617" t="s">
        <v>76</v>
      </c>
      <c r="BE9" s="618"/>
      <c r="BF9" s="9"/>
      <c r="BG9" s="619" t="s">
        <v>77</v>
      </c>
      <c r="BH9" s="620"/>
      <c r="BI9" s="620"/>
    </row>
    <row r="10" spans="1:76" ht="51.75" customHeight="1" thickBot="1" x14ac:dyDescent="0.3">
      <c r="A10" s="34" t="s">
        <v>29</v>
      </c>
      <c r="B10" s="69" t="s">
        <v>78</v>
      </c>
      <c r="C10" s="117" t="s">
        <v>79</v>
      </c>
      <c r="D10" s="13" t="s">
        <v>80</v>
      </c>
      <c r="E10" s="14" t="s">
        <v>81</v>
      </c>
      <c r="F10" s="117" t="s">
        <v>82</v>
      </c>
      <c r="G10" s="13" t="s">
        <v>83</v>
      </c>
      <c r="H10" s="14" t="s">
        <v>84</v>
      </c>
      <c r="I10" s="18" t="s">
        <v>85</v>
      </c>
      <c r="J10" s="19" t="s">
        <v>86</v>
      </c>
      <c r="K10" s="19" t="s">
        <v>87</v>
      </c>
      <c r="L10" s="117" t="s">
        <v>88</v>
      </c>
      <c r="M10" s="13" t="s">
        <v>89</v>
      </c>
      <c r="N10" s="19" t="s">
        <v>90</v>
      </c>
      <c r="O10" s="38" t="s">
        <v>91</v>
      </c>
      <c r="P10" s="13" t="s">
        <v>92</v>
      </c>
      <c r="Q10" s="18" t="s">
        <v>93</v>
      </c>
      <c r="R10" s="487" t="s">
        <v>94</v>
      </c>
      <c r="S10" s="486" t="s">
        <v>95</v>
      </c>
      <c r="T10" s="14" t="s">
        <v>96</v>
      </c>
      <c r="U10" s="117" t="s">
        <v>97</v>
      </c>
      <c r="V10" s="13" t="s">
        <v>98</v>
      </c>
      <c r="W10" s="13" t="s">
        <v>99</v>
      </c>
      <c r="X10" s="14" t="s">
        <v>100</v>
      </c>
      <c r="Y10" s="117" t="s">
        <v>101</v>
      </c>
      <c r="Z10" s="14" t="s">
        <v>102</v>
      </c>
      <c r="AA10" s="463" t="s">
        <v>534</v>
      </c>
      <c r="AB10" s="14" t="s">
        <v>372</v>
      </c>
      <c r="AH10" s="21" t="s">
        <v>103</v>
      </c>
      <c r="AI10" s="23" t="str">
        <f>IF(O5= "Treated","Tier 1 Treated     ($/Acre-Ft)", IF(O5 = "Untreated", "Tier 1 Untreated         ($/Acre-Ft)",0))</f>
        <v>Tier 1 Treated     ($/Acre-Ft)</v>
      </c>
      <c r="AK10" s="21" t="s">
        <v>103</v>
      </c>
      <c r="AL10" s="22" t="s">
        <v>104</v>
      </c>
      <c r="AM10" s="22" t="s">
        <v>105</v>
      </c>
      <c r="AN10" s="23" t="s">
        <v>106</v>
      </c>
      <c r="AP10" s="75" t="s">
        <v>103</v>
      </c>
      <c r="AQ10" s="76" t="str">
        <f t="shared" ref="AQ10:AQ54" si="0">IF($J$5=5,AT10,IF($J$5=10,AU10,IF($J$5=15,AV10,IF($J$5=18,AW10,IF($J$5=20,AX10,IF($J$5=25,AY10,IF($J$5=30,AZ10,IF($J$5=35,BA10,IF($J$5=40,BB10)))))))))</f>
        <v>30 Year 
Borrowing
Term</v>
      </c>
      <c r="AS10" s="75" t="s">
        <v>103</v>
      </c>
      <c r="AT10" s="76" t="s">
        <v>107</v>
      </c>
      <c r="AU10" s="76" t="s">
        <v>108</v>
      </c>
      <c r="AV10" s="76" t="s">
        <v>109</v>
      </c>
      <c r="AW10" s="76" t="s">
        <v>110</v>
      </c>
      <c r="AX10" s="76" t="s">
        <v>111</v>
      </c>
      <c r="AY10" s="76" t="s">
        <v>112</v>
      </c>
      <c r="AZ10" s="76" t="s">
        <v>113</v>
      </c>
      <c r="BA10" s="76" t="s">
        <v>114</v>
      </c>
      <c r="BB10" s="76" t="s">
        <v>115</v>
      </c>
      <c r="BD10" s="75" t="s">
        <v>103</v>
      </c>
      <c r="BE10" s="76" t="str">
        <f>IF(N5=15,BH10,IF(N5=25,BI10,0))</f>
        <v>15 Year Term</v>
      </c>
      <c r="BF10" s="60"/>
      <c r="BG10" s="75" t="s">
        <v>103</v>
      </c>
      <c r="BH10" s="76" t="s">
        <v>116</v>
      </c>
      <c r="BI10" s="76" t="s">
        <v>117</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27"/>
      <c r="T11" s="127"/>
      <c r="U11" s="1"/>
      <c r="V11" s="2"/>
      <c r="W11" s="3"/>
      <c r="X11" s="10"/>
      <c r="Y11" s="12"/>
      <c r="Z11" s="4"/>
      <c r="AA11" s="464"/>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5">
        <f>$C$5</f>
        <v>2018</v>
      </c>
      <c r="C12" s="695">
        <f>'10 YEAR PROJECTION'!$H$54/1000000</f>
        <v>1.5</v>
      </c>
      <c r="D12" s="69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694">
        <f>IF(NOT(EXACT(A12, "MP Complete")), INDEX(MP_new!$A$4:$J$9, MATCH(Step3!A12, MP_new!$A$4:$A$9, 0), 7), S10)</f>
        <v>65409.8401116928</v>
      </c>
      <c r="T12" s="693">
        <f>IF(EXACT($Q$5, "Yes"), IF(NOT(EXACT(A12, "MP Complete")), INDEX(MP_new!$A$4:$J$9, MATCH(Step3!A12, MP_new!$A$4:$A$9, 0), 10), T10), 0)</f>
        <v>0</v>
      </c>
      <c r="U12" s="6">
        <f>('NPV Summary'!$B$16-S12)+T12</f>
        <v>0</v>
      </c>
      <c r="V12" s="6">
        <f>LOOKUP(B12,AH12:AI62)</f>
        <v>1015</v>
      </c>
      <c r="W12" s="72">
        <f t="shared" ref="W12:W54" si="8">(U12*V12)/1000000</f>
        <v>0</v>
      </c>
      <c r="X12" s="73">
        <f>W12</f>
        <v>0</v>
      </c>
      <c r="Y12" s="20">
        <f>W12-Q12</f>
        <v>-1.5</v>
      </c>
      <c r="Z12" s="20">
        <f>X12-R12</f>
        <v>-1.5</v>
      </c>
      <c r="AA12" s="468">
        <f>IF(SUM(AA$11:AA11)&gt;0,0,IF(SUM(X12-R12)&gt;0,B12,0))</f>
        <v>0</v>
      </c>
      <c r="AB12" s="171"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36">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4">
        <f t="shared" ref="B13:B53" si="14">B12+1</f>
        <v>2019</v>
      </c>
      <c r="C13" s="695">
        <f>'10 YEAR PROJECTION'!$I$54/1000000</f>
        <v>3.84896875</v>
      </c>
      <c r="D13" s="695"/>
      <c r="E13" s="66">
        <f t="shared" ref="E13:E54" si="15">IF( $Q$5="Yes", ($R$5)*T13, 0)/1000000</f>
        <v>0.36499999999999999</v>
      </c>
      <c r="F13" s="66">
        <f t="shared" ref="F13:F54" si="16">IF(B13&gt;$B$5,(C13)*(1+$F$5)^(B13-$B$5),C13)</f>
        <v>3.9336460625000003</v>
      </c>
      <c r="G13" s="67">
        <f t="shared" ref="G13:G54" si="17">IF(B13&gt;$B$5, (D13)*(1+$G$5)^(B13-$B$5),D13)</f>
        <v>0</v>
      </c>
      <c r="H13" s="68">
        <f t="shared" si="1"/>
        <v>0.37959999999999999</v>
      </c>
      <c r="I13" s="66">
        <f t="shared" si="2"/>
        <v>3.9336460625000003</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4.3132460625000002</v>
      </c>
      <c r="R13" s="71">
        <f t="shared" ref="R13:R53" si="20">R12+Q13</f>
        <v>5.8132460625000002</v>
      </c>
      <c r="S13" s="694">
        <f>IF(NOT(EXACT(A13, "MP Complete")), INDEX(MP_new!$A$4:$J$9, MATCH(Step3!A13 - 1, MP_new!$A$4:$A$9, 0), 7), S11)</f>
        <v>65409.8401116928</v>
      </c>
      <c r="T13" s="693">
        <f>IF(EXACT($Q$5, "Yes"), IF(NOT(EXACT(A13, "MP Complete")), INDEX(MP_new!$A$4:$J$9, MATCH(Step3!A13, MP_new!$A$4:$A$9, 0), 10), T11), 0)</f>
        <v>5000</v>
      </c>
      <c r="U13" s="82">
        <f>('NPV Summary'!$B$16-S13)+T13</f>
        <v>5000</v>
      </c>
      <c r="V13" s="82">
        <f>LOOKUP(B13,Rates!$A$5:$B$168)</f>
        <v>1053</v>
      </c>
      <c r="W13" s="70">
        <f t="shared" si="8"/>
        <v>5.2649999999999997</v>
      </c>
      <c r="X13" s="71">
        <f>X12+W13</f>
        <v>5.2649999999999997</v>
      </c>
      <c r="Y13" s="470">
        <f>W13-Q13</f>
        <v>0.95175393749999948</v>
      </c>
      <c r="Z13" s="470">
        <f>X13-R13</f>
        <v>-0.54824606250000052</v>
      </c>
      <c r="AA13" s="466">
        <f>IF(SUM(AA$11:AA12)&gt;0,0,IF(SUM(X13-R13)&gt;0,B13,0))</f>
        <v>0</v>
      </c>
      <c r="AB13" s="471">
        <f>ABS(Z13)*1000000/SUM(U$12:U13)</f>
        <v>109.64921250000009</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33">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5">
        <f t="shared" si="14"/>
        <v>2020</v>
      </c>
      <c r="C14" s="695">
        <f>'10 YEAR PROJECTION'!$J$54/1000000</f>
        <v>46.371124999999999</v>
      </c>
      <c r="D14" s="695">
        <f>'Area Summary'!$C$44</f>
        <v>4.3366557156605179</v>
      </c>
      <c r="E14" s="64">
        <f t="shared" si="15"/>
        <v>0.36499999999999999</v>
      </c>
      <c r="F14" s="64">
        <f t="shared" si="16"/>
        <v>48.433898124499997</v>
      </c>
      <c r="G14" s="84">
        <f t="shared" si="17"/>
        <v>4.6007580487442432</v>
      </c>
      <c r="H14" s="65">
        <f t="shared" si="1"/>
        <v>0.39478400000000002</v>
      </c>
      <c r="I14" s="64">
        <f t="shared" si="2"/>
        <v>48.433898124499997</v>
      </c>
      <c r="J14" s="84">
        <f t="shared" si="3"/>
        <v>4.6007580487442432</v>
      </c>
      <c r="K14" s="65">
        <f t="shared" si="3"/>
        <v>0.39478400000000002</v>
      </c>
      <c r="L14" s="64">
        <f t="shared" si="4"/>
        <v>0</v>
      </c>
      <c r="M14" s="72">
        <f t="shared" si="5"/>
        <v>0</v>
      </c>
      <c r="N14" s="72">
        <f t="shared" si="6"/>
        <v>0</v>
      </c>
      <c r="O14" s="64">
        <f t="shared" si="18"/>
        <v>0</v>
      </c>
      <c r="P14" s="84">
        <f t="shared" si="7"/>
        <v>0</v>
      </c>
      <c r="Q14" s="84">
        <f t="shared" si="19"/>
        <v>53.429440173244245</v>
      </c>
      <c r="R14" s="73">
        <f t="shared" si="20"/>
        <v>59.242686235744245</v>
      </c>
      <c r="S14" s="694">
        <f>IF(NOT(EXACT(A14, "MP Complete")), INDEX(MP_new!$A$4:$J$9, MATCH(Step3!A14 - 1, MP_new!$A$4:$A$9, 0), 7), S12)</f>
        <v>65409.8401116928</v>
      </c>
      <c r="T14" s="693">
        <f>IF(EXACT($Q$5, "Yes"), IF(NOT(EXACT(A14, "MP Complete")), INDEX(MP_new!$A$4:$J$9, MATCH(Step3!A14, MP_new!$A$4:$A$9, 0), 10), T12), 0)</f>
        <v>5000</v>
      </c>
      <c r="U14" s="6">
        <f>('NPV Summary'!$B$16-S14)+T14</f>
        <v>5000</v>
      </c>
      <c r="V14" s="6">
        <f>LOOKUP(B14,Rates!$A$5:$B$168)</f>
        <v>1092</v>
      </c>
      <c r="W14" s="72">
        <f t="shared" si="8"/>
        <v>5.46</v>
      </c>
      <c r="X14" s="73">
        <f t="shared" ref="X14:X53" si="24">X13+W14</f>
        <v>10.725</v>
      </c>
      <c r="Y14" s="20">
        <f t="shared" ref="Y14:Z53" si="25">W14-Q14</f>
        <v>-47.969440173244244</v>
      </c>
      <c r="Z14" s="20">
        <f t="shared" si="25"/>
        <v>-48.517686235744243</v>
      </c>
      <c r="AA14" s="465">
        <f>IF(SUM(AA$11:AA13)&gt;0,0,IF(SUM(X14-R14)&gt;0,B14,0))</f>
        <v>0</v>
      </c>
      <c r="AB14" s="171">
        <f>ABS(Z14)*1000000/SUM(U$12:U14)</f>
        <v>4851.768623574425</v>
      </c>
      <c r="AH14" s="28">
        <f t="shared" si="21"/>
        <v>2009</v>
      </c>
      <c r="AI14" s="30">
        <f>Rates!B7</f>
        <v>579</v>
      </c>
      <c r="AK14" s="29">
        <f t="shared" si="22"/>
        <v>2009</v>
      </c>
      <c r="AL14" s="8" t="str">
        <f>Rates!E7</f>
        <v>-</v>
      </c>
      <c r="AM14" s="30">
        <f>Rates!F7</f>
        <v>579</v>
      </c>
      <c r="AN14" s="31">
        <f>Rates!G7</f>
        <v>412</v>
      </c>
      <c r="AP14" s="16">
        <f t="shared" si="9"/>
        <v>2020</v>
      </c>
      <c r="AQ14" s="77">
        <f t="shared" si="0"/>
        <v>0</v>
      </c>
      <c r="AS14" s="136">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4">
        <f t="shared" si="14"/>
        <v>2021</v>
      </c>
      <c r="C15" s="695">
        <f>'10 YEAR PROJECTION'!$K$54/1000000</f>
        <v>85.595343749999998</v>
      </c>
      <c r="D15" s="695">
        <f>'Area Summary'!$C$44</f>
        <v>4.3366557156605179</v>
      </c>
      <c r="E15" s="66">
        <f t="shared" si="15"/>
        <v>0.36499999999999999</v>
      </c>
      <c r="F15" s="66">
        <f t="shared" si="16"/>
        <v>91.369832295845242</v>
      </c>
      <c r="G15" s="67">
        <f t="shared" si="17"/>
        <v>4.7387807902065706</v>
      </c>
      <c r="H15" s="68">
        <f t="shared" si="1"/>
        <v>0.41057536</v>
      </c>
      <c r="I15" s="66">
        <f t="shared" si="2"/>
        <v>91.369832295845242</v>
      </c>
      <c r="J15" s="67">
        <f t="shared" si="3"/>
        <v>4.7387807902065706</v>
      </c>
      <c r="K15" s="68">
        <f t="shared" si="3"/>
        <v>0.41057536</v>
      </c>
      <c r="L15" s="66">
        <f t="shared" si="4"/>
        <v>0</v>
      </c>
      <c r="M15" s="70">
        <f t="shared" si="5"/>
        <v>0</v>
      </c>
      <c r="N15" s="70">
        <f t="shared" si="6"/>
        <v>0</v>
      </c>
      <c r="O15" s="66">
        <f t="shared" si="18"/>
        <v>0</v>
      </c>
      <c r="P15" s="67">
        <f t="shared" si="7"/>
        <v>0</v>
      </c>
      <c r="Q15" s="67">
        <f t="shared" si="19"/>
        <v>96.519188446051814</v>
      </c>
      <c r="R15" s="71">
        <f t="shared" si="20"/>
        <v>155.76187468179606</v>
      </c>
      <c r="S15" s="694">
        <f>IF(NOT(EXACT(A15, "MP Complete")), INDEX(MP_new!$A$4:$J$9, MATCH(Step3!A15 - 1, MP_new!$A$4:$A$9, 0), 7), S13)</f>
        <v>65409.8401116928</v>
      </c>
      <c r="T15" s="693">
        <f>IF(EXACT($Q$5, "Yes"), IF(NOT(EXACT(A15, "MP Complete")), INDEX(MP_new!$A$4:$J$9, MATCH(Step3!A15, MP_new!$A$4:$A$9, 0), 10), T13), 0)</f>
        <v>5000</v>
      </c>
      <c r="U15" s="82">
        <f>('NPV Summary'!$B$16-S15)+T15</f>
        <v>5000</v>
      </c>
      <c r="V15" s="82">
        <f>LOOKUP(B15,Rates!$A$5:$B$168)</f>
        <v>1123</v>
      </c>
      <c r="W15" s="70">
        <f t="shared" si="8"/>
        <v>5.6150000000000002</v>
      </c>
      <c r="X15" s="71">
        <f t="shared" si="24"/>
        <v>16.34</v>
      </c>
      <c r="Y15" s="470">
        <f t="shared" si="25"/>
        <v>-90.904188446051819</v>
      </c>
      <c r="Z15" s="470">
        <f t="shared" si="25"/>
        <v>-139.42187468179606</v>
      </c>
      <c r="AA15" s="466">
        <f>IF(SUM(AA$11:AA14)&gt;0,0,IF(SUM(X15-R15)&gt;0,B15,0))</f>
        <v>0</v>
      </c>
      <c r="AB15" s="471">
        <f>ABS(Z15)*1000000/SUM(U$12:U15)</f>
        <v>9294.7916454530696</v>
      </c>
      <c r="AH15" s="43">
        <f t="shared" si="21"/>
        <v>2010</v>
      </c>
      <c r="AI15" s="46">
        <f>Rates!B8</f>
        <v>701</v>
      </c>
      <c r="AK15" s="44">
        <f t="shared" si="22"/>
        <v>2010</v>
      </c>
      <c r="AL15" s="53" t="str">
        <f>Rates!E8</f>
        <v>-</v>
      </c>
      <c r="AM15" s="46">
        <f>Rates!F8</f>
        <v>701</v>
      </c>
      <c r="AN15" s="47">
        <f>Rates!G8</f>
        <v>484</v>
      </c>
      <c r="AP15" s="48">
        <f t="shared" si="9"/>
        <v>2021</v>
      </c>
      <c r="AQ15" s="78">
        <f t="shared" si="0"/>
        <v>0</v>
      </c>
      <c r="AS15" s="133">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5">
        <f t="shared" si="14"/>
        <v>2022</v>
      </c>
      <c r="C16" s="695">
        <f>'10 YEAR PROJECTION'!L$54/1000000</f>
        <v>48.660440625</v>
      </c>
      <c r="D16" s="695">
        <f>'Area Summary'!$C$44</f>
        <v>4.3366557156605179</v>
      </c>
      <c r="E16" s="64">
        <f t="shared" si="15"/>
        <v>0.65700000000000003</v>
      </c>
      <c r="F16" s="64">
        <f t="shared" si="16"/>
        <v>53.085953264062283</v>
      </c>
      <c r="G16" s="84">
        <f t="shared" si="17"/>
        <v>4.8809442139127679</v>
      </c>
      <c r="H16" s="65">
        <f t="shared" si="1"/>
        <v>0.76859707392000021</v>
      </c>
      <c r="I16" s="64">
        <f t="shared" si="2"/>
        <v>53.085953264062283</v>
      </c>
      <c r="J16" s="84">
        <f t="shared" si="3"/>
        <v>4.8809442139127679</v>
      </c>
      <c r="K16" s="65">
        <f t="shared" si="3"/>
        <v>0.76859707392000021</v>
      </c>
      <c r="L16" s="64">
        <f t="shared" si="4"/>
        <v>0</v>
      </c>
      <c r="M16" s="72">
        <f t="shared" si="5"/>
        <v>0</v>
      </c>
      <c r="N16" s="72">
        <f t="shared" si="6"/>
        <v>0</v>
      </c>
      <c r="O16" s="64">
        <f t="shared" si="18"/>
        <v>0</v>
      </c>
      <c r="P16" s="84">
        <f t="shared" si="7"/>
        <v>0</v>
      </c>
      <c r="Q16" s="84">
        <f t="shared" si="19"/>
        <v>58.735494551895052</v>
      </c>
      <c r="R16" s="73">
        <f t="shared" si="20"/>
        <v>214.4973692336911</v>
      </c>
      <c r="S16" s="694">
        <f>IF(NOT(EXACT(A16, "MP Complete")), INDEX(MP_new!$A$4:$J$9, MATCH(Step3!A16 - 1, MP_new!$A$4:$A$9, 0), 7), S14)</f>
        <v>54321.653018812802</v>
      </c>
      <c r="T16" s="693">
        <f>IF(EXACT($Q$5, "Yes"), IF(NOT(EXACT(A16, "MP Complete")), INDEX(MP_new!$A$4:$J$9, MATCH(Step3!A16, MP_new!$A$4:$A$9, 0), 10), T14), 0)</f>
        <v>9000</v>
      </c>
      <c r="U16" s="6">
        <f>('NPV Summary'!$B$16-S16)+T16</f>
        <v>20088.187092879998</v>
      </c>
      <c r="V16" s="6">
        <f>LOOKUP(B16,Rates!$A$5:$B$168)</f>
        <v>1164</v>
      </c>
      <c r="W16" s="72">
        <f t="shared" si="8"/>
        <v>23.382649776112316</v>
      </c>
      <c r="X16" s="73">
        <f t="shared" si="24"/>
        <v>39.72264977611232</v>
      </c>
      <c r="Y16" s="20">
        <f t="shared" si="25"/>
        <v>-35.352844775782735</v>
      </c>
      <c r="Z16" s="20">
        <f t="shared" si="25"/>
        <v>-174.77471945757878</v>
      </c>
      <c r="AA16" s="465">
        <f>IF(SUM(AA$11:AA15)&gt;0,0,IF(SUM(X16-R16)&gt;0,B16,0))</f>
        <v>0</v>
      </c>
      <c r="AB16" s="171">
        <f>ABS(Z16)*1000000/SUM(U$12:U16)</f>
        <v>4981.0130969417796</v>
      </c>
      <c r="AH16" s="28">
        <f t="shared" si="21"/>
        <v>2011</v>
      </c>
      <c r="AI16" s="30">
        <f>Rates!B9</f>
        <v>744</v>
      </c>
      <c r="AK16" s="29">
        <f t="shared" si="22"/>
        <v>2011</v>
      </c>
      <c r="AL16" s="87" t="str">
        <f>Rates!E9</f>
        <v>-</v>
      </c>
      <c r="AM16" s="30">
        <f>Rates!F9</f>
        <v>744</v>
      </c>
      <c r="AN16" s="31">
        <f>Rates!G9</f>
        <v>527</v>
      </c>
      <c r="AP16" s="16">
        <f t="shared" si="9"/>
        <v>2022</v>
      </c>
      <c r="AQ16" s="77">
        <f t="shared" si="0"/>
        <v>0</v>
      </c>
      <c r="AS16" s="136">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4">
        <f t="shared" si="14"/>
        <v>2023</v>
      </c>
      <c r="C17" s="695">
        <f>'10 YEAR PROJECTION'!M$54/1000000</f>
        <v>44.700837499999992</v>
      </c>
      <c r="D17" s="695">
        <f>'Area Summary'!$C$44</f>
        <v>4.3366557156605179</v>
      </c>
      <c r="E17" s="66">
        <f t="shared" si="15"/>
        <v>0.65700000000000003</v>
      </c>
      <c r="F17" s="66">
        <f t="shared" si="16"/>
        <v>49.839094011245606</v>
      </c>
      <c r="G17" s="67">
        <f t="shared" si="17"/>
        <v>5.0273725403301501</v>
      </c>
      <c r="H17" s="68">
        <f t="shared" si="1"/>
        <v>0.79934095687680029</v>
      </c>
      <c r="I17" s="66">
        <f t="shared" si="2"/>
        <v>49.839094011245606</v>
      </c>
      <c r="J17" s="67">
        <f t="shared" si="3"/>
        <v>5.0273725403301501</v>
      </c>
      <c r="K17" s="68">
        <f t="shared" si="3"/>
        <v>0.79934095687680029</v>
      </c>
      <c r="L17" s="66">
        <f t="shared" si="4"/>
        <v>0</v>
      </c>
      <c r="M17" s="70">
        <f t="shared" si="5"/>
        <v>0</v>
      </c>
      <c r="N17" s="70">
        <f t="shared" si="6"/>
        <v>0</v>
      </c>
      <c r="O17" s="66">
        <f t="shared" si="18"/>
        <v>0</v>
      </c>
      <c r="P17" s="67">
        <f t="shared" si="7"/>
        <v>0</v>
      </c>
      <c r="Q17" s="67">
        <f t="shared" si="19"/>
        <v>55.665807508452552</v>
      </c>
      <c r="R17" s="71">
        <f t="shared" si="20"/>
        <v>270.16317674214366</v>
      </c>
      <c r="S17" s="694">
        <f>IF(NOT(EXACT(A17, "MP Complete")), INDEX(MP_new!$A$4:$J$9, MATCH(Step3!A17 - 1, MP_new!$A$4:$A$9, 0), 7), S15)</f>
        <v>54321.653018812802</v>
      </c>
      <c r="T17" s="693">
        <f>IF(EXACT($Q$5, "Yes"), IF(NOT(EXACT(A17, "MP Complete")), INDEX(MP_new!$A$4:$J$9, MATCH(Step3!A17, MP_new!$A$4:$A$9, 0), 10), T15), 0)</f>
        <v>9000</v>
      </c>
      <c r="U17" s="82">
        <f>('NPV Summary'!$B$16-S17)+T17</f>
        <v>20088.187092879998</v>
      </c>
      <c r="V17" s="82">
        <f>LOOKUP(B17,Rates!$A$5:$B$168)</f>
        <v>1205</v>
      </c>
      <c r="W17" s="70">
        <f t="shared" si="8"/>
        <v>24.206265446920398</v>
      </c>
      <c r="X17" s="71">
        <f t="shared" si="24"/>
        <v>63.928915223032718</v>
      </c>
      <c r="Y17" s="470">
        <f t="shared" si="25"/>
        <v>-31.459542061532154</v>
      </c>
      <c r="Z17" s="470">
        <f t="shared" si="25"/>
        <v>-206.23426151911093</v>
      </c>
      <c r="AA17" s="466">
        <f>IF(SUM(AA$11:AA16)&gt;0,0,IF(SUM(X17-R17)&gt;0,B17,0))</f>
        <v>0</v>
      </c>
      <c r="AB17" s="471">
        <f>ABS(Z17)*1000000/SUM(U$12:U17)</f>
        <v>3737.7276880280433</v>
      </c>
      <c r="AH17" s="43">
        <f t="shared" si="21"/>
        <v>2012</v>
      </c>
      <c r="AI17" s="46">
        <f>Rates!B10</f>
        <v>794</v>
      </c>
      <c r="AK17" s="44">
        <f t="shared" si="22"/>
        <v>2012</v>
      </c>
      <c r="AL17" s="89" t="str">
        <f>Rates!E10</f>
        <v>-</v>
      </c>
      <c r="AM17" s="46">
        <f>Rates!F10</f>
        <v>794</v>
      </c>
      <c r="AN17" s="47">
        <f>Rates!G10</f>
        <v>560</v>
      </c>
      <c r="AP17" s="48">
        <f t="shared" si="9"/>
        <v>2023</v>
      </c>
      <c r="AQ17" s="78">
        <f t="shared" si="0"/>
        <v>0</v>
      </c>
      <c r="AS17" s="133">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5">
        <f t="shared" si="14"/>
        <v>2024</v>
      </c>
      <c r="C18" s="695">
        <f>'10 YEAR PROJECTION'!N$54/1000000</f>
        <v>82.433728124999988</v>
      </c>
      <c r="D18" s="695">
        <f>'Area Summary'!$C$44</f>
        <v>4.3366557156605179</v>
      </c>
      <c r="E18" s="64">
        <f t="shared" si="15"/>
        <v>0.65700000000000003</v>
      </c>
      <c r="F18" s="64">
        <f t="shared" si="16"/>
        <v>93.931296407705133</v>
      </c>
      <c r="G18" s="84">
        <f t="shared" si="17"/>
        <v>5.1781937165400551</v>
      </c>
      <c r="H18" s="65">
        <f t="shared" si="1"/>
        <v>0.83131459515187223</v>
      </c>
      <c r="I18" s="64">
        <f t="shared" si="2"/>
        <v>93.931296407705133</v>
      </c>
      <c r="J18" s="84">
        <f t="shared" si="3"/>
        <v>5.1781937165400551</v>
      </c>
      <c r="K18" s="65">
        <f t="shared" si="3"/>
        <v>0.83131459515187223</v>
      </c>
      <c r="L18" s="64">
        <f t="shared" si="4"/>
        <v>0</v>
      </c>
      <c r="M18" s="72">
        <f t="shared" si="5"/>
        <v>0</v>
      </c>
      <c r="N18" s="72">
        <f t="shared" si="6"/>
        <v>0</v>
      </c>
      <c r="O18" s="64">
        <f t="shared" si="18"/>
        <v>0</v>
      </c>
      <c r="P18" s="84">
        <f t="shared" si="7"/>
        <v>0</v>
      </c>
      <c r="Q18" s="84">
        <f t="shared" si="19"/>
        <v>99.94080471939705</v>
      </c>
      <c r="R18" s="73">
        <f t="shared" si="20"/>
        <v>370.10398146154068</v>
      </c>
      <c r="S18" s="694">
        <f>IF(NOT(EXACT(A18, "MP Complete")), INDEX(MP_new!$A$4:$J$9, MATCH(Step3!A18 - 1, MP_new!$A$4:$A$9, 0), 7), S16)</f>
        <v>54321.653018812802</v>
      </c>
      <c r="T18" s="693">
        <f>IF(EXACT($Q$5, "Yes"), IF(NOT(EXACT(A18, "MP Complete")), INDEX(MP_new!$A$4:$J$9, MATCH(Step3!A18, MP_new!$A$4:$A$9, 0), 10), T16), 0)</f>
        <v>9000</v>
      </c>
      <c r="U18" s="6">
        <f>('NPV Summary'!$B$16-S18)+T18</f>
        <v>20088.187092879998</v>
      </c>
      <c r="V18" s="6">
        <f>LOOKUP(B18,Rates!$A$5:$B$168)</f>
        <v>1249</v>
      </c>
      <c r="W18" s="72">
        <f t="shared" si="8"/>
        <v>25.090145679007115</v>
      </c>
      <c r="X18" s="73">
        <f t="shared" si="24"/>
        <v>89.019060902039826</v>
      </c>
      <c r="Y18" s="20">
        <f t="shared" si="25"/>
        <v>-74.850659040389928</v>
      </c>
      <c r="Z18" s="20">
        <f t="shared" si="25"/>
        <v>-281.08492055950086</v>
      </c>
      <c r="AA18" s="465">
        <f>IF(SUM(AA$11:AA17)&gt;0,0,IF(SUM(X18-R18)&gt;0,B18,0))</f>
        <v>0</v>
      </c>
      <c r="AB18" s="171">
        <f>ABS(Z18)*1000000/SUM(U$12:U18)</f>
        <v>3734.6251115300456</v>
      </c>
      <c r="AH18" s="28">
        <f t="shared" si="21"/>
        <v>2013</v>
      </c>
      <c r="AI18" s="30">
        <f>Rates!B11</f>
        <v>847</v>
      </c>
      <c r="AK18" s="29">
        <f t="shared" si="22"/>
        <v>2013</v>
      </c>
      <c r="AL18" s="8" t="str">
        <f>Rates!E11</f>
        <v>-</v>
      </c>
      <c r="AM18" s="30">
        <f>Rates!F11</f>
        <v>847</v>
      </c>
      <c r="AN18" s="31">
        <f>Rates!G11</f>
        <v>593</v>
      </c>
      <c r="AP18" s="16">
        <f t="shared" si="9"/>
        <v>2024</v>
      </c>
      <c r="AQ18" s="77">
        <f t="shared" si="0"/>
        <v>0</v>
      </c>
      <c r="AS18" s="136">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4">
        <f t="shared" si="14"/>
        <v>2025</v>
      </c>
      <c r="C19" s="695">
        <f>'10 YEAR PROJECTION'!O$54/1000000</f>
        <v>46.911009374999992</v>
      </c>
      <c r="D19" s="695">
        <f>'Area Summary'!$D$44</f>
        <v>9.616785314343435</v>
      </c>
      <c r="E19" s="66">
        <f t="shared" si="15"/>
        <v>0.65700000000000003</v>
      </c>
      <c r="F19" s="66">
        <f t="shared" si="16"/>
        <v>54.629980848852824</v>
      </c>
      <c r="G19" s="67">
        <f t="shared" si="17"/>
        <v>11.827432927512683</v>
      </c>
      <c r="H19" s="68">
        <f t="shared" si="1"/>
        <v>0.8645671789579471</v>
      </c>
      <c r="I19" s="66">
        <f t="shared" si="2"/>
        <v>54.629980848852824</v>
      </c>
      <c r="J19" s="67">
        <f t="shared" si="3"/>
        <v>11.827432927512683</v>
      </c>
      <c r="K19" s="68">
        <f t="shared" si="3"/>
        <v>0.8645671789579471</v>
      </c>
      <c r="L19" s="66">
        <f t="shared" si="4"/>
        <v>0</v>
      </c>
      <c r="M19" s="70">
        <f t="shared" si="5"/>
        <v>0</v>
      </c>
      <c r="N19" s="70">
        <f t="shared" si="6"/>
        <v>0</v>
      </c>
      <c r="O19" s="66">
        <f t="shared" si="18"/>
        <v>0</v>
      </c>
      <c r="P19" s="67">
        <f t="shared" si="7"/>
        <v>0</v>
      </c>
      <c r="Q19" s="67">
        <f t="shared" si="19"/>
        <v>67.321980955323454</v>
      </c>
      <c r="R19" s="71">
        <f t="shared" si="20"/>
        <v>437.42596241686414</v>
      </c>
      <c r="S19" s="694">
        <f>IF(NOT(EXACT(A19, "MP Complete")), INDEX(MP_new!$A$4:$J$9, MATCH(Step3!A19 - 1, MP_new!$A$4:$A$9, 0), 7), S17)</f>
        <v>51216.431518812809</v>
      </c>
      <c r="T19" s="693">
        <f>IF(EXACT($Q$5, "Yes"), IF(NOT(EXACT(A19, "MP Complete")), INDEX(MP_new!$A$4:$J$9, MATCH(Step3!A19, MP_new!$A$4:$A$9, 0), 10), T17), 0)</f>
        <v>9000</v>
      </c>
      <c r="U19" s="82">
        <f>('NPV Summary'!$B$16-S19)+T19</f>
        <v>23193.40859287999</v>
      </c>
      <c r="V19" s="82">
        <f>LOOKUP(B19,Rates!$A$5:$B$168)</f>
        <v>1296</v>
      </c>
      <c r="W19" s="70">
        <f t="shared" si="8"/>
        <v>30.058657536372468</v>
      </c>
      <c r="X19" s="71">
        <f t="shared" si="24"/>
        <v>119.07771843841229</v>
      </c>
      <c r="Y19" s="470">
        <f t="shared" si="25"/>
        <v>-37.263323418950989</v>
      </c>
      <c r="Z19" s="470">
        <f t="shared" si="25"/>
        <v>-318.34824397845182</v>
      </c>
      <c r="AA19" s="466">
        <f>IF(SUM(AA$11:AA18)&gt;0,0,IF(SUM(X19-R19)&gt;0,B19,0))</f>
        <v>0</v>
      </c>
      <c r="AB19" s="471">
        <f>ABS(Z19)*1000000/SUM(U$12:U19)</f>
        <v>3233.3415404956204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33">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5">
        <f t="shared" si="14"/>
        <v>2026</v>
      </c>
      <c r="C20" s="695">
        <f>'10 YEAR PROJECTION'!P$54/1000000</f>
        <v>42.48481249999999</v>
      </c>
      <c r="D20" s="695">
        <f>'Area Summary'!$D$44</f>
        <v>9.616785314343435</v>
      </c>
      <c r="E20" s="64">
        <f t="shared" si="15"/>
        <v>0.65700000000000003</v>
      </c>
      <c r="F20" s="64">
        <f t="shared" si="16"/>
        <v>50.563935922417564</v>
      </c>
      <c r="G20" s="84">
        <f t="shared" si="17"/>
        <v>12.182255915338063</v>
      </c>
      <c r="H20" s="65">
        <f t="shared" si="1"/>
        <v>0.89914986611626513</v>
      </c>
      <c r="I20" s="64">
        <f t="shared" si="2"/>
        <v>50.563935922417564</v>
      </c>
      <c r="J20" s="84">
        <f t="shared" si="3"/>
        <v>12.182255915338063</v>
      </c>
      <c r="K20" s="65">
        <f t="shared" si="3"/>
        <v>0.89914986611626513</v>
      </c>
      <c r="L20" s="64">
        <f t="shared" si="4"/>
        <v>0</v>
      </c>
      <c r="M20" s="72">
        <f t="shared" si="5"/>
        <v>0</v>
      </c>
      <c r="N20" s="72">
        <f t="shared" si="6"/>
        <v>0</v>
      </c>
      <c r="O20" s="64">
        <f t="shared" si="18"/>
        <v>0</v>
      </c>
      <c r="P20" s="84">
        <f t="shared" si="7"/>
        <v>0</v>
      </c>
      <c r="Q20" s="84">
        <f t="shared" si="19"/>
        <v>63.645341703871892</v>
      </c>
      <c r="R20" s="73">
        <f t="shared" si="20"/>
        <v>501.07130412073604</v>
      </c>
      <c r="S20" s="694">
        <f>IF(NOT(EXACT(A20, "MP Complete")), INDEX(MP_new!$A$4:$J$9, MATCH(Step3!A20 - 1, MP_new!$A$4:$A$9, 0), 7), S18)</f>
        <v>51216.431518812809</v>
      </c>
      <c r="T20" s="693">
        <f>IF(EXACT($Q$5, "Yes"), IF(NOT(EXACT(A20, "MP Complete")), INDEX(MP_new!$A$4:$J$9, MATCH(Step3!A20, MP_new!$A$4:$A$9, 0), 10), T18), 0)</f>
        <v>9000</v>
      </c>
      <c r="U20" s="6">
        <f>('NPV Summary'!$B$16-S20)+T20</f>
        <v>23193.40859287999</v>
      </c>
      <c r="V20" s="6">
        <f>LOOKUP(B20,Rates!$A$5:$B$168)</f>
        <v>1344</v>
      </c>
      <c r="W20" s="72">
        <f t="shared" si="8"/>
        <v>31.171941148830708</v>
      </c>
      <c r="X20" s="73">
        <f t="shared" si="24"/>
        <v>150.249659587243</v>
      </c>
      <c r="Y20" s="20">
        <f t="shared" si="25"/>
        <v>-32.473400555041181</v>
      </c>
      <c r="Z20" s="20">
        <f t="shared" si="25"/>
        <v>-350.82164453349304</v>
      </c>
      <c r="AA20" s="465">
        <f>IF(SUM(AA$11:AA19)&gt;0,0,IF(SUM(X20-R20)&gt;0,B20,0))</f>
        <v>0</v>
      </c>
      <c r="AB20" s="171">
        <f>ABS(Z20)*1000000/SUM(U$12:U20)</f>
        <v>2883.8279431100518</v>
      </c>
      <c r="AH20" s="55">
        <f t="shared" si="21"/>
        <v>2015</v>
      </c>
      <c r="AI20" s="87">
        <f>Rates!B13</f>
        <v>923</v>
      </c>
      <c r="AK20" s="55">
        <f t="shared" si="22"/>
        <v>2015</v>
      </c>
      <c r="AL20" s="87" t="str">
        <f>Rates!E13</f>
        <v>-</v>
      </c>
      <c r="AM20" s="87">
        <f>Rates!F13</f>
        <v>923</v>
      </c>
      <c r="AN20" s="88">
        <f>Rates!G13</f>
        <v>582</v>
      </c>
      <c r="AP20" s="16">
        <f t="shared" si="9"/>
        <v>2026</v>
      </c>
      <c r="AQ20" s="77">
        <f t="shared" si="0"/>
        <v>0</v>
      </c>
      <c r="AS20" s="136">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4">
        <f t="shared" si="14"/>
        <v>2027</v>
      </c>
      <c r="C21" s="695">
        <f>'10 YEAR PROJECTION'!Q$54/1000000</f>
        <v>78.239109374999984</v>
      </c>
      <c r="D21" s="695">
        <f>'Area Summary'!$D$44</f>
        <v>9.616785314343435</v>
      </c>
      <c r="E21" s="66">
        <f t="shared" si="15"/>
        <v>0.65700000000000003</v>
      </c>
      <c r="F21" s="66">
        <f t="shared" si="16"/>
        <v>95.166031719027558</v>
      </c>
      <c r="G21" s="67">
        <f t="shared" si="17"/>
        <v>12.547723592798205</v>
      </c>
      <c r="H21" s="68">
        <f t="shared" si="1"/>
        <v>0.9351158607609158</v>
      </c>
      <c r="I21" s="66">
        <f t="shared" si="2"/>
        <v>95.166031719027558</v>
      </c>
      <c r="J21" s="67">
        <f t="shared" si="3"/>
        <v>12.547723592798205</v>
      </c>
      <c r="K21" s="68">
        <f t="shared" si="3"/>
        <v>0.9351158607609158</v>
      </c>
      <c r="L21" s="66">
        <f t="shared" si="4"/>
        <v>0</v>
      </c>
      <c r="M21" s="70">
        <f t="shared" si="5"/>
        <v>0</v>
      </c>
      <c r="N21" s="70">
        <f t="shared" si="6"/>
        <v>0</v>
      </c>
      <c r="O21" s="66">
        <f t="shared" si="18"/>
        <v>0</v>
      </c>
      <c r="P21" s="67">
        <f t="shared" si="7"/>
        <v>0</v>
      </c>
      <c r="Q21" s="67">
        <f t="shared" si="19"/>
        <v>108.64887117258668</v>
      </c>
      <c r="R21" s="71">
        <f t="shared" si="20"/>
        <v>609.72017529332277</v>
      </c>
      <c r="S21" s="694">
        <f>IF(NOT(EXACT(A21, "MP Complete")), INDEX(MP_new!$A$4:$J$9, MATCH(Step3!A21 - 1, MP_new!$A$4:$A$9, 0), 7), S19)</f>
        <v>51216.431518812809</v>
      </c>
      <c r="T21" s="693">
        <f>IF(EXACT($Q$5, "Yes"), IF(NOT(EXACT(A21, "MP Complete")), INDEX(MP_new!$A$4:$J$9, MATCH(Step3!A21, MP_new!$A$4:$A$9, 0), 10), T19), 0)</f>
        <v>9000</v>
      </c>
      <c r="U21" s="82">
        <f>('NPV Summary'!$B$16-S21)+T21</f>
        <v>23193.40859287999</v>
      </c>
      <c r="V21" s="82">
        <f>LOOKUP(B21,Rates!$A$5:$B$168)</f>
        <v>1392.384</v>
      </c>
      <c r="W21" s="70">
        <f t="shared" si="8"/>
        <v>32.294131030188609</v>
      </c>
      <c r="X21" s="71">
        <f t="shared" si="24"/>
        <v>182.54379061743163</v>
      </c>
      <c r="Y21" s="470">
        <f t="shared" si="25"/>
        <v>-76.354740142398072</v>
      </c>
      <c r="Z21" s="470">
        <f t="shared" si="25"/>
        <v>-427.17638467589114</v>
      </c>
      <c r="AA21" s="466">
        <f>IF(SUM(AA$11:AA20)&gt;0,0,IF(SUM(X21-R21)&gt;0,B21,0))</f>
        <v>0</v>
      </c>
      <c r="AB21" s="471">
        <f>ABS(Z21)*1000000/SUM(U$12:U21)</f>
        <v>2949.2009574839658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34">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5">
        <f t="shared" si="14"/>
        <v>2028</v>
      </c>
      <c r="C22" s="695">
        <v>0</v>
      </c>
      <c r="D22" s="695">
        <f>'Area Summary'!$E$44</f>
        <v>11.234676200331869</v>
      </c>
      <c r="E22" s="64">
        <f t="shared" si="15"/>
        <v>0.65700000000000003</v>
      </c>
      <c r="F22" s="64">
        <f t="shared" si="16"/>
        <v>0</v>
      </c>
      <c r="G22" s="84">
        <f t="shared" si="17"/>
        <v>15.098465362253581</v>
      </c>
      <c r="H22" s="65">
        <f t="shared" si="1"/>
        <v>0.97252049519135242</v>
      </c>
      <c r="I22" s="64">
        <f t="shared" si="2"/>
        <v>0</v>
      </c>
      <c r="J22" s="84">
        <f t="shared" si="3"/>
        <v>15.098465362253581</v>
      </c>
      <c r="K22" s="65">
        <f t="shared" si="3"/>
        <v>0.97252049519135242</v>
      </c>
      <c r="L22" s="64">
        <f t="shared" si="4"/>
        <v>0</v>
      </c>
      <c r="M22" s="72">
        <f t="shared" si="5"/>
        <v>0</v>
      </c>
      <c r="N22" s="72">
        <f t="shared" si="6"/>
        <v>0</v>
      </c>
      <c r="O22" s="64">
        <f t="shared" si="18"/>
        <v>0</v>
      </c>
      <c r="P22" s="84">
        <f t="shared" si="7"/>
        <v>0</v>
      </c>
      <c r="Q22" s="84">
        <f t="shared" si="19"/>
        <v>16.070985857444935</v>
      </c>
      <c r="R22" s="73">
        <f t="shared" si="20"/>
        <v>625.79116115076772</v>
      </c>
      <c r="S22" s="694">
        <f>IF(NOT(EXACT(A22, "MP Complete")), INDEX(MP_new!$A$4:$J$9, MATCH(Step3!A22 - 1, MP_new!$A$4:$A$9, 0), 7), S20)</f>
        <v>49704.839141362812</v>
      </c>
      <c r="T22" s="693">
        <f>IF(EXACT($Q$5, "Yes"), IF(NOT(EXACT(A22, "MP Complete")), INDEX(MP_new!$A$4:$J$9, MATCH(Step3!A22, MP_new!$A$4:$A$9, 0), 10), T20), 0)</f>
        <v>9000</v>
      </c>
      <c r="U22" s="6">
        <f>('NPV Summary'!$B$16-S22)+T22</f>
        <v>24705.000970329987</v>
      </c>
      <c r="V22" s="6">
        <f>LOOKUP(B22,Rates!$A$5:$B$168)</f>
        <v>1442.509824</v>
      </c>
      <c r="W22" s="72">
        <f t="shared" si="8"/>
        <v>35.637206601630538</v>
      </c>
      <c r="X22" s="73">
        <f t="shared" si="24"/>
        <v>218.18099721906216</v>
      </c>
      <c r="Y22" s="20">
        <f t="shared" si="25"/>
        <v>19.566220744185603</v>
      </c>
      <c r="Z22" s="20">
        <f t="shared" si="25"/>
        <v>-407.61016393170553</v>
      </c>
      <c r="AA22" s="465">
        <f>IF(SUM(AA$11:AA21)&gt;0,0,IF(SUM(X22-R22)&gt;0,B22,0))</f>
        <v>0</v>
      </c>
      <c r="AB22" s="171">
        <f>ABS(Z22)*1000000/SUM(U$12:U22)</f>
        <v>2404.0735684395504</v>
      </c>
      <c r="AH22" s="55">
        <f t="shared" si="21"/>
        <v>2017</v>
      </c>
      <c r="AI22" s="8">
        <f>Rates!B15</f>
        <v>979</v>
      </c>
      <c r="AK22" s="55">
        <f t="shared" si="22"/>
        <v>2017</v>
      </c>
      <c r="AL22" s="8" t="str">
        <f>Rates!E15</f>
        <v>-</v>
      </c>
      <c r="AM22" s="114">
        <f>Rates!F15</f>
        <v>979</v>
      </c>
      <c r="AN22" s="115">
        <f>Rates!G15</f>
        <v>666</v>
      </c>
      <c r="AP22" s="16">
        <f t="shared" si="9"/>
        <v>2028</v>
      </c>
      <c r="AQ22" s="77">
        <f t="shared" si="0"/>
        <v>0</v>
      </c>
      <c r="AS22" s="135">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4">
        <f t="shared" si="14"/>
        <v>2029</v>
      </c>
      <c r="C23" s="695">
        <v>0</v>
      </c>
      <c r="D23" s="695">
        <f>'Area Summary'!$E$44</f>
        <v>11.234676200331869</v>
      </c>
      <c r="E23" s="66">
        <f t="shared" si="15"/>
        <v>0.65700000000000003</v>
      </c>
      <c r="F23" s="66">
        <f t="shared" si="16"/>
        <v>0</v>
      </c>
      <c r="G23" s="67">
        <f t="shared" si="17"/>
        <v>15.551419323121188</v>
      </c>
      <c r="H23" s="68">
        <f t="shared" si="1"/>
        <v>1.0114213149990066</v>
      </c>
      <c r="I23" s="66">
        <f t="shared" si="2"/>
        <v>0</v>
      </c>
      <c r="J23" s="67">
        <f t="shared" si="3"/>
        <v>15.551419323121188</v>
      </c>
      <c r="K23" s="68">
        <f t="shared" si="3"/>
        <v>1.0114213149990066</v>
      </c>
      <c r="L23" s="66">
        <f t="shared" si="4"/>
        <v>0</v>
      </c>
      <c r="M23" s="70">
        <f t="shared" si="5"/>
        <v>0</v>
      </c>
      <c r="N23" s="70">
        <f t="shared" si="6"/>
        <v>0</v>
      </c>
      <c r="O23" s="66">
        <f t="shared" si="18"/>
        <v>0</v>
      </c>
      <c r="P23" s="67">
        <f t="shared" si="7"/>
        <v>0</v>
      </c>
      <c r="Q23" s="67">
        <f t="shared" si="19"/>
        <v>16.562840638120193</v>
      </c>
      <c r="R23" s="71">
        <f t="shared" si="20"/>
        <v>642.3540017888879</v>
      </c>
      <c r="S23" s="694">
        <f>IF(NOT(EXACT(A23, "MP Complete")), INDEX(MP_new!$A$4:$J$9, MATCH(Step3!A23 - 1, MP_new!$A$4:$A$9, 0), 7), S21)</f>
        <v>49704.839141362812</v>
      </c>
      <c r="T23" s="693">
        <f>IF(EXACT($Q$5, "Yes"), IF(NOT(EXACT(A23, "MP Complete")), INDEX(MP_new!$A$4:$J$9, MATCH(Step3!A23, MP_new!$A$4:$A$9, 0), 10), T21), 0)</f>
        <v>9000</v>
      </c>
      <c r="U23" s="82">
        <f>('NPV Summary'!$B$16-S23)+T23</f>
        <v>24705.000970329987</v>
      </c>
      <c r="V23" s="82">
        <f>LOOKUP(B23,Rates!$A$5:$B$168)</f>
        <v>1494.440177664</v>
      </c>
      <c r="W23" s="70">
        <f t="shared" si="8"/>
        <v>36.920146039289236</v>
      </c>
      <c r="X23" s="71">
        <f t="shared" si="24"/>
        <v>255.10114325835139</v>
      </c>
      <c r="Y23" s="470">
        <f t="shared" si="25"/>
        <v>20.357305401169043</v>
      </c>
      <c r="Z23" s="470">
        <f t="shared" si="25"/>
        <v>-387.25285853053651</v>
      </c>
      <c r="AA23" s="466">
        <f>IF(SUM(AA$11:AA22)&gt;0,0,IF(SUM(X23-R23)&gt;0,B23,0))</f>
        <v>0</v>
      </c>
      <c r="AB23" s="471">
        <f>ABS(Z23)*1000000/SUM(U$12:U23)</f>
        <v>1993.5305612189741</v>
      </c>
      <c r="AH23" s="52">
        <f t="shared" si="21"/>
        <v>2018</v>
      </c>
      <c r="AI23" s="53">
        <f>Rates!B16</f>
        <v>1015</v>
      </c>
      <c r="AK23" s="52">
        <f t="shared" si="22"/>
        <v>2018</v>
      </c>
      <c r="AL23" s="53" t="str">
        <f>Rates!E16</f>
        <v>-</v>
      </c>
      <c r="AM23" s="472">
        <f>Rates!F16</f>
        <v>1015</v>
      </c>
      <c r="AN23" s="473">
        <f>Rates!G16</f>
        <v>695</v>
      </c>
      <c r="AP23" s="48">
        <f t="shared" si="9"/>
        <v>2029</v>
      </c>
      <c r="AQ23" s="78">
        <f t="shared" si="0"/>
        <v>0</v>
      </c>
      <c r="AS23" s="133">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5">
        <f t="shared" si="14"/>
        <v>2030</v>
      </c>
      <c r="C24" s="695">
        <v>0</v>
      </c>
      <c r="D24" s="695">
        <f>'Area Summary'!$E$44</f>
        <v>11.234676200331869</v>
      </c>
      <c r="E24" s="64">
        <f t="shared" si="15"/>
        <v>0.65700000000000003</v>
      </c>
      <c r="F24" s="64">
        <f t="shared" si="16"/>
        <v>0</v>
      </c>
      <c r="G24" s="84">
        <f t="shared" si="17"/>
        <v>16.017961902814822</v>
      </c>
      <c r="H24" s="65">
        <f t="shared" si="1"/>
        <v>1.051878167598967</v>
      </c>
      <c r="I24" s="64">
        <f t="shared" si="2"/>
        <v>0</v>
      </c>
      <c r="J24" s="84">
        <f t="shared" si="3"/>
        <v>16.017961902814822</v>
      </c>
      <c r="K24" s="65">
        <f t="shared" si="3"/>
        <v>1.051878167598967</v>
      </c>
      <c r="L24" s="64">
        <f t="shared" si="4"/>
        <v>0</v>
      </c>
      <c r="M24" s="72">
        <f t="shared" si="5"/>
        <v>0</v>
      </c>
      <c r="N24" s="72">
        <f t="shared" si="6"/>
        <v>0</v>
      </c>
      <c r="O24" s="64">
        <f t="shared" si="18"/>
        <v>0</v>
      </c>
      <c r="P24" s="84">
        <f t="shared" si="7"/>
        <v>0</v>
      </c>
      <c r="Q24" s="84">
        <f t="shared" si="19"/>
        <v>17.06984007041379</v>
      </c>
      <c r="R24" s="73">
        <f t="shared" si="20"/>
        <v>659.42384185930166</v>
      </c>
      <c r="S24" s="694">
        <f>IF(NOT(EXACT(A24, "MP Complete")), INDEX(MP_new!$A$4:$J$9, MATCH(Step3!A24 - 1, MP_new!$A$4:$A$9, 0), 7), S22)</f>
        <v>49704.839141362812</v>
      </c>
      <c r="T24" s="693">
        <f>IF(EXACT($Q$5, "Yes"), IF(NOT(EXACT(A24, "MP Complete")), INDEX(MP_new!$A$4:$J$9, MATCH(Step3!A24, MP_new!$A$4:$A$9, 0), 10), T22), 0)</f>
        <v>9000</v>
      </c>
      <c r="U24" s="6">
        <f>('NPV Summary'!$B$16-S24)+T24</f>
        <v>24705.000970329987</v>
      </c>
      <c r="V24" s="6">
        <f>LOOKUP(B24,Rates!$A$5:$B$168)</f>
        <v>1548.240024059904</v>
      </c>
      <c r="W24" s="72">
        <f t="shared" si="8"/>
        <v>38.249271296703654</v>
      </c>
      <c r="X24" s="73">
        <f t="shared" si="24"/>
        <v>293.35041455505507</v>
      </c>
      <c r="Y24" s="20">
        <f t="shared" si="25"/>
        <v>21.179431226289864</v>
      </c>
      <c r="Z24" s="20">
        <f t="shared" si="25"/>
        <v>-366.07342730424659</v>
      </c>
      <c r="AA24" s="465">
        <f>IF(SUM(AA$11:AA23)&gt;0,0,IF(SUM(X24-R24)&gt;0,B24,0))</f>
        <v>0</v>
      </c>
      <c r="AB24" s="171">
        <f>ABS(Z24)*1000000/SUM(U$12:U24)</f>
        <v>1671.8751299373068</v>
      </c>
      <c r="AH24" s="55">
        <f t="shared" si="21"/>
        <v>2019</v>
      </c>
      <c r="AI24" s="8">
        <f>Rates!B17</f>
        <v>1053</v>
      </c>
      <c r="AK24" s="55">
        <f t="shared" si="22"/>
        <v>2019</v>
      </c>
      <c r="AL24" s="8" t="str">
        <f>Rates!E17</f>
        <v>-</v>
      </c>
      <c r="AM24" s="114">
        <f>Rates!F17</f>
        <v>1053</v>
      </c>
      <c r="AN24" s="115">
        <f>Rates!G17</f>
        <v>738</v>
      </c>
      <c r="AP24" s="16">
        <f t="shared" si="9"/>
        <v>2030</v>
      </c>
      <c r="AQ24" s="77">
        <f t="shared" si="0"/>
        <v>0</v>
      </c>
      <c r="AS24" s="136">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4">
        <f t="shared" si="14"/>
        <v>2031</v>
      </c>
      <c r="C25" s="695">
        <v>0</v>
      </c>
      <c r="D25" s="695">
        <f>'Area Summary'!$E$44</f>
        <v>11.234676200331869</v>
      </c>
      <c r="E25" s="66">
        <f t="shared" si="15"/>
        <v>0.65700000000000003</v>
      </c>
      <c r="F25" s="66">
        <f t="shared" si="16"/>
        <v>0</v>
      </c>
      <c r="G25" s="67">
        <f t="shared" si="17"/>
        <v>16.498500759899265</v>
      </c>
      <c r="H25" s="68">
        <f t="shared" si="1"/>
        <v>1.0939532943029258</v>
      </c>
      <c r="I25" s="66">
        <f t="shared" si="2"/>
        <v>0</v>
      </c>
      <c r="J25" s="67">
        <f t="shared" si="3"/>
        <v>16.498500759899265</v>
      </c>
      <c r="K25" s="68">
        <f t="shared" si="3"/>
        <v>1.0939532943029258</v>
      </c>
      <c r="L25" s="66">
        <f t="shared" si="4"/>
        <v>0</v>
      </c>
      <c r="M25" s="70">
        <f t="shared" si="5"/>
        <v>0</v>
      </c>
      <c r="N25" s="70">
        <f t="shared" si="6"/>
        <v>0</v>
      </c>
      <c r="O25" s="66">
        <f t="shared" si="18"/>
        <v>0</v>
      </c>
      <c r="P25" s="67">
        <f t="shared" si="7"/>
        <v>0</v>
      </c>
      <c r="Q25" s="67">
        <f t="shared" si="19"/>
        <v>17.592454054202189</v>
      </c>
      <c r="R25" s="71">
        <f t="shared" si="20"/>
        <v>677.01629591350388</v>
      </c>
      <c r="S25" s="694">
        <f>IF(NOT(EXACT(A25, "MP Complete")), INDEX(MP_new!$A$4:$J$9, MATCH(Step3!A25 - 1, MP_new!$A$4:$A$9, 0), 7), S23)</f>
        <v>48544.957141362807</v>
      </c>
      <c r="T25" s="693">
        <f>IF(EXACT($Q$5, "Yes"), IF(NOT(EXACT(A25, "MP Complete")), INDEX(MP_new!$A$4:$J$9, MATCH(Step3!A25, MP_new!$A$4:$A$9, 0), 10), T23), 0)</f>
        <v>9000</v>
      </c>
      <c r="U25" s="82">
        <f>('NPV Summary'!$B$16-S25)+T25</f>
        <v>25864.882970329993</v>
      </c>
      <c r="V25" s="82">
        <f>LOOKUP(B25,Rates!$A$5:$B$168)</f>
        <v>1603.9766649260607</v>
      </c>
      <c r="W25" s="70">
        <f t="shared" si="8"/>
        <v>41.486668725452766</v>
      </c>
      <c r="X25" s="71">
        <f t="shared" si="24"/>
        <v>334.83708328050784</v>
      </c>
      <c r="Y25" s="470">
        <f t="shared" si="25"/>
        <v>23.894214671250577</v>
      </c>
      <c r="Z25" s="470">
        <f t="shared" si="25"/>
        <v>-342.17921263299604</v>
      </c>
      <c r="AA25" s="466">
        <f>IF(SUM(AA$11:AA24)&gt;0,0,IF(SUM(X25-R25)&gt;0,B25,0))</f>
        <v>0</v>
      </c>
      <c r="AB25" s="471">
        <f>ABS(Z25)*1000000/SUM(U$12:U25)</f>
        <v>1397.6500347202013</v>
      </c>
      <c r="AH25" s="52">
        <f t="shared" si="21"/>
        <v>2020</v>
      </c>
      <c r="AI25" s="53">
        <f>Rates!B18</f>
        <v>1092</v>
      </c>
      <c r="AK25" s="52">
        <f t="shared" si="22"/>
        <v>2020</v>
      </c>
      <c r="AL25" s="53" t="str">
        <f>Rates!E18</f>
        <v>-</v>
      </c>
      <c r="AM25" s="472">
        <f>Rates!F18</f>
        <v>1092</v>
      </c>
      <c r="AN25" s="473">
        <f>Rates!G18</f>
        <v>783</v>
      </c>
      <c r="AP25" s="48">
        <f t="shared" si="9"/>
        <v>2031</v>
      </c>
      <c r="AQ25" s="78">
        <f t="shared" si="0"/>
        <v>0</v>
      </c>
      <c r="AS25" s="133">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5">
        <f t="shared" si="14"/>
        <v>2032</v>
      </c>
      <c r="C26" s="695">
        <v>0</v>
      </c>
      <c r="D26" s="695">
        <f>'Area Summary'!$E$44</f>
        <v>11.234676200331869</v>
      </c>
      <c r="E26" s="64">
        <f t="shared" si="15"/>
        <v>0.65700000000000003</v>
      </c>
      <c r="F26" s="64">
        <f t="shared" si="16"/>
        <v>0</v>
      </c>
      <c r="G26" s="84">
        <f t="shared" si="17"/>
        <v>16.993455782696245</v>
      </c>
      <c r="H26" s="65">
        <f t="shared" si="1"/>
        <v>1.1377114260750427</v>
      </c>
      <c r="I26" s="64">
        <f t="shared" si="2"/>
        <v>0</v>
      </c>
      <c r="J26" s="84">
        <f t="shared" si="3"/>
        <v>16.993455782696245</v>
      </c>
      <c r="K26" s="65">
        <f t="shared" si="3"/>
        <v>1.1377114260750427</v>
      </c>
      <c r="L26" s="64">
        <f t="shared" si="4"/>
        <v>0</v>
      </c>
      <c r="M26" s="72">
        <f t="shared" si="5"/>
        <v>0</v>
      </c>
      <c r="N26" s="72">
        <f t="shared" si="6"/>
        <v>0</v>
      </c>
      <c r="O26" s="64">
        <f t="shared" si="18"/>
        <v>0</v>
      </c>
      <c r="P26" s="84">
        <f t="shared" si="7"/>
        <v>0</v>
      </c>
      <c r="Q26" s="84">
        <f t="shared" si="19"/>
        <v>18.131167208771288</v>
      </c>
      <c r="R26" s="73">
        <f t="shared" si="20"/>
        <v>695.14746312227521</v>
      </c>
      <c r="S26" s="694">
        <f>IF(NOT(EXACT(A26, "MP Complete")), INDEX(MP_new!$A$4:$J$9, MATCH(Step3!A26 - 1, MP_new!$A$4:$A$9, 0), 7), S24)</f>
        <v>48544.957141362807</v>
      </c>
      <c r="T26" s="693">
        <f>IF(EXACT($Q$5, "Yes"), IF(NOT(EXACT(A26, "MP Complete")), INDEX(MP_new!$A$4:$J$9, MATCH(Step3!A26, MP_new!$A$4:$A$9, 0), 10), T24), 0)</f>
        <v>9000</v>
      </c>
      <c r="U26" s="6">
        <f>('NPV Summary'!$B$16-S26)+T26</f>
        <v>25864.882970329993</v>
      </c>
      <c r="V26" s="6">
        <f>LOOKUP(B26,Rates!$A$5:$B$168)</f>
        <v>1661.719824863399</v>
      </c>
      <c r="W26" s="72">
        <f t="shared" si="8"/>
        <v>42.980188799569071</v>
      </c>
      <c r="X26" s="73">
        <f t="shared" si="24"/>
        <v>377.81727208007692</v>
      </c>
      <c r="Y26" s="20">
        <f t="shared" si="25"/>
        <v>24.849021590797783</v>
      </c>
      <c r="Z26" s="20">
        <f t="shared" si="25"/>
        <v>-317.33019104219829</v>
      </c>
      <c r="AA26" s="465">
        <f>IF(SUM(AA$11:AA25)&gt;0,0,IF(SUM(X26-R26)&gt;0,B26,0))</f>
        <v>0</v>
      </c>
      <c r="AB26" s="171">
        <f>ABS(Z26)*1000000/SUM(U$12:U26)</f>
        <v>1172.3030464794147</v>
      </c>
      <c r="AH26" s="55">
        <f t="shared" si="21"/>
        <v>2021</v>
      </c>
      <c r="AI26" s="8">
        <f>Rates!B19</f>
        <v>1123</v>
      </c>
      <c r="AK26" s="55">
        <f t="shared" si="22"/>
        <v>2021</v>
      </c>
      <c r="AL26" s="8" t="str">
        <f>Rates!E19</f>
        <v>-</v>
      </c>
      <c r="AM26" s="114">
        <f>Rates!F19</f>
        <v>1123</v>
      </c>
      <c r="AN26" s="115">
        <f>Rates!G19</f>
        <v>835</v>
      </c>
      <c r="AP26" s="16">
        <f t="shared" si="9"/>
        <v>2032</v>
      </c>
      <c r="AQ26" s="77">
        <f t="shared" si="0"/>
        <v>0</v>
      </c>
      <c r="AS26" s="136">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4">
        <f t="shared" si="14"/>
        <v>2033</v>
      </c>
      <c r="C27" s="695">
        <f>'10 YEAR PROJECTION'!X$55/1000000</f>
        <v>0</v>
      </c>
      <c r="D27" s="695">
        <f>'Area Summary'!$E$44</f>
        <v>11.234676200331869</v>
      </c>
      <c r="E27" s="66">
        <f t="shared" si="15"/>
        <v>0.65700000000000003</v>
      </c>
      <c r="F27" s="66">
        <f t="shared" si="16"/>
        <v>0</v>
      </c>
      <c r="G27" s="67">
        <f t="shared" si="17"/>
        <v>17.503259456177133</v>
      </c>
      <c r="H27" s="68">
        <f t="shared" si="1"/>
        <v>1.1832198831180443</v>
      </c>
      <c r="I27" s="66">
        <f t="shared" si="2"/>
        <v>0</v>
      </c>
      <c r="J27" s="67">
        <f t="shared" si="3"/>
        <v>17.503259456177133</v>
      </c>
      <c r="K27" s="68">
        <f t="shared" si="3"/>
        <v>1.1832198831180443</v>
      </c>
      <c r="L27" s="66">
        <f t="shared" si="4"/>
        <v>0</v>
      </c>
      <c r="M27" s="70">
        <f t="shared" si="5"/>
        <v>0</v>
      </c>
      <c r="N27" s="70">
        <f t="shared" si="6"/>
        <v>0</v>
      </c>
      <c r="O27" s="66">
        <f t="shared" si="18"/>
        <v>0</v>
      </c>
      <c r="P27" s="67">
        <f t="shared" si="7"/>
        <v>0</v>
      </c>
      <c r="Q27" s="67">
        <f t="shared" si="19"/>
        <v>18.686479339295179</v>
      </c>
      <c r="R27" s="71">
        <f t="shared" si="20"/>
        <v>713.83394246157036</v>
      </c>
      <c r="S27" s="694">
        <f>IF(NOT(EXACT(A27, "MP Complete")), INDEX(MP_new!$A$4:$J$9, MATCH(Step3!A27 - 1, MP_new!$A$4:$A$9, 0), 7), S25)</f>
        <v>48544.957141362807</v>
      </c>
      <c r="T27" s="693">
        <f>IF(EXACT($Q$5, "Yes"), IF(NOT(EXACT(A27, "MP Complete")), INDEX(MP_new!$A$4:$J$9, MATCH(Step3!A27, MP_new!$A$4:$A$9, 0), 10), T25), 0)</f>
        <v>9000</v>
      </c>
      <c r="U27" s="82">
        <f>('NPV Summary'!$B$16-S27)+T27</f>
        <v>25864.882970329993</v>
      </c>
      <c r="V27" s="82">
        <f>LOOKUP(B27,Rates!$A$5:$B$168)</f>
        <v>1721.5417385584815</v>
      </c>
      <c r="W27" s="70">
        <f t="shared" si="8"/>
        <v>44.527475596353554</v>
      </c>
      <c r="X27" s="71">
        <f t="shared" si="24"/>
        <v>422.34474767643047</v>
      </c>
      <c r="Y27" s="470">
        <f t="shared" si="25"/>
        <v>25.840996257058375</v>
      </c>
      <c r="Z27" s="470">
        <f t="shared" si="25"/>
        <v>-291.48919478513989</v>
      </c>
      <c r="AA27" s="466">
        <f>IF(SUM(AA$11:AA26)&gt;0,0,IF(SUM(X27-R27)&gt;0,B27,0))</f>
        <v>0</v>
      </c>
      <c r="AB27" s="471">
        <f>ABS(Z27)*1000000/SUM(U$12:U27)</f>
        <v>982.91968208851438</v>
      </c>
      <c r="AH27" s="52">
        <f t="shared" si="21"/>
        <v>2022</v>
      </c>
      <c r="AI27" s="53">
        <f>Rates!B20</f>
        <v>1164</v>
      </c>
      <c r="AK27" s="52">
        <f t="shared" si="22"/>
        <v>2022</v>
      </c>
      <c r="AL27" s="53" t="str">
        <f>Rates!E20</f>
        <v>-</v>
      </c>
      <c r="AM27" s="472">
        <f>Rates!F20</f>
        <v>1164</v>
      </c>
      <c r="AN27" s="473">
        <f>Rates!G20</f>
        <v>876</v>
      </c>
      <c r="AP27" s="48">
        <f t="shared" si="9"/>
        <v>2033</v>
      </c>
      <c r="AQ27" s="78">
        <f t="shared" si="0"/>
        <v>0</v>
      </c>
      <c r="AS27" s="133">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5">
        <f t="shared" si="14"/>
        <v>2034</v>
      </c>
      <c r="C28" s="695">
        <v>0</v>
      </c>
      <c r="D28" s="695">
        <f>'Area Summary'!$E$44</f>
        <v>11.234676200331869</v>
      </c>
      <c r="E28" s="64">
        <f t="shared" si="15"/>
        <v>0.65700000000000003</v>
      </c>
      <c r="F28" s="64">
        <f t="shared" si="16"/>
        <v>0</v>
      </c>
      <c r="G28" s="84">
        <f t="shared" si="17"/>
        <v>18.028357239862444</v>
      </c>
      <c r="H28" s="65">
        <f t="shared" si="1"/>
        <v>1.2305486784427664</v>
      </c>
      <c r="I28" s="64">
        <f t="shared" si="2"/>
        <v>0</v>
      </c>
      <c r="J28" s="84">
        <f t="shared" si="3"/>
        <v>18.028357239862444</v>
      </c>
      <c r="K28" s="65">
        <f t="shared" si="3"/>
        <v>1.2305486784427664</v>
      </c>
      <c r="L28" s="64">
        <f t="shared" si="4"/>
        <v>0</v>
      </c>
      <c r="M28" s="72">
        <f t="shared" si="5"/>
        <v>0</v>
      </c>
      <c r="N28" s="72">
        <f t="shared" si="6"/>
        <v>0</v>
      </c>
      <c r="O28" s="64">
        <f t="shared" si="18"/>
        <v>0</v>
      </c>
      <c r="P28" s="84">
        <f t="shared" si="7"/>
        <v>0</v>
      </c>
      <c r="Q28" s="84">
        <f t="shared" si="19"/>
        <v>19.25890591830521</v>
      </c>
      <c r="R28" s="73">
        <f t="shared" si="20"/>
        <v>733.09284837987559</v>
      </c>
      <c r="S28" s="694">
        <f>IF(NOT(EXACT(A28, "MP Complete")), INDEX(MP_new!$A$4:$J$9, MATCH(Step3!A28 - 1, MP_new!$A$4:$A$9, 0), 7), S26)</f>
        <v>48544.957141362807</v>
      </c>
      <c r="T28" s="693">
        <f>IF(EXACT($Q$5, "Yes"), IF(NOT(EXACT(A28, "MP Complete")), INDEX(MP_new!$A$4:$J$9, MATCH(Step3!A28, MP_new!$A$4:$A$9, 0), 10), T26), 0)</f>
        <v>9000</v>
      </c>
      <c r="U28" s="6">
        <f>('NPV Summary'!$B$16-S28)+T28</f>
        <v>25864.882970329993</v>
      </c>
      <c r="V28" s="6">
        <f>LOOKUP(B28,Rates!$A$5:$B$168)</f>
        <v>1783.5172411465869</v>
      </c>
      <c r="W28" s="72">
        <f t="shared" si="8"/>
        <v>46.130464717822285</v>
      </c>
      <c r="X28" s="73">
        <f t="shared" si="24"/>
        <v>468.47521239425276</v>
      </c>
      <c r="Y28" s="20">
        <f t="shared" si="25"/>
        <v>26.871558799517075</v>
      </c>
      <c r="Z28" s="20">
        <f t="shared" si="25"/>
        <v>-264.61763598562283</v>
      </c>
      <c r="AA28" s="465">
        <f>IF(SUM(AA$11:AA27)&gt;0,0,IF(SUM(X28-R28)&gt;0,B28,0))</f>
        <v>0</v>
      </c>
      <c r="AB28" s="171">
        <f>ABS(Z28)*1000000/SUM(U$12:U28)</f>
        <v>820.72511804695193</v>
      </c>
      <c r="AH28" s="55">
        <f t="shared" si="21"/>
        <v>2023</v>
      </c>
      <c r="AI28" s="8">
        <f>Rates!B21</f>
        <v>1205</v>
      </c>
      <c r="AK28" s="55">
        <f t="shared" si="22"/>
        <v>2023</v>
      </c>
      <c r="AL28" s="8" t="str">
        <f>Rates!E21</f>
        <v>-</v>
      </c>
      <c r="AM28" s="114">
        <f>Rates!F21</f>
        <v>1205</v>
      </c>
      <c r="AN28" s="115">
        <f>Rates!G21</f>
        <v>917</v>
      </c>
      <c r="AP28" s="16">
        <f t="shared" si="9"/>
        <v>2034</v>
      </c>
      <c r="AQ28" s="77">
        <f t="shared" si="0"/>
        <v>0</v>
      </c>
      <c r="AS28" s="136">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4">
        <f t="shared" si="14"/>
        <v>2035</v>
      </c>
      <c r="C29" s="695">
        <v>0</v>
      </c>
      <c r="D29" s="695">
        <f>'Area Summary'!$E$44</f>
        <v>11.234676200331869</v>
      </c>
      <c r="E29" s="66">
        <f t="shared" si="15"/>
        <v>0.65700000000000003</v>
      </c>
      <c r="F29" s="66">
        <f t="shared" si="16"/>
        <v>0</v>
      </c>
      <c r="G29" s="67">
        <f t="shared" si="17"/>
        <v>18.569207957058318</v>
      </c>
      <c r="H29" s="68">
        <f t="shared" si="1"/>
        <v>1.2797706255804771</v>
      </c>
      <c r="I29" s="66">
        <f t="shared" si="2"/>
        <v>0</v>
      </c>
      <c r="J29" s="67">
        <f t="shared" si="3"/>
        <v>18.569207957058318</v>
      </c>
      <c r="K29" s="68">
        <f t="shared" si="3"/>
        <v>1.2797706255804771</v>
      </c>
      <c r="L29" s="66">
        <f t="shared" si="4"/>
        <v>0</v>
      </c>
      <c r="M29" s="70">
        <f t="shared" si="5"/>
        <v>0</v>
      </c>
      <c r="N29" s="70">
        <f t="shared" si="6"/>
        <v>0</v>
      </c>
      <c r="O29" s="66">
        <f t="shared" si="18"/>
        <v>0</v>
      </c>
      <c r="P29" s="67">
        <f t="shared" si="7"/>
        <v>0</v>
      </c>
      <c r="Q29" s="67">
        <f t="shared" si="19"/>
        <v>19.848978582638793</v>
      </c>
      <c r="R29" s="71">
        <f t="shared" si="20"/>
        <v>752.94182696251437</v>
      </c>
      <c r="S29" s="694">
        <f>IF(NOT(EXACT(A29, "MP Complete")), INDEX(MP_new!$A$4:$J$9, MATCH(Step3!A29 - 1, MP_new!$A$4:$A$9, 0), 7), S27)</f>
        <v>48544.957141362807</v>
      </c>
      <c r="T29" s="693">
        <f>IF(EXACT($Q$5, "Yes"), IF(NOT(EXACT(A29, "MP Complete")), INDEX(MP_new!$A$4:$J$9, MATCH(Step3!A29, MP_new!$A$4:$A$9, 0), 10), T27), 0)</f>
        <v>9000</v>
      </c>
      <c r="U29" s="82">
        <f>('NPV Summary'!$B$16-S29)+T29</f>
        <v>25864.882970329993</v>
      </c>
      <c r="V29" s="82">
        <f>LOOKUP(B29,Rates!$A$5:$B$168)</f>
        <v>1847.7238618278641</v>
      </c>
      <c r="W29" s="70">
        <f t="shared" si="8"/>
        <v>47.791161447663889</v>
      </c>
      <c r="X29" s="71">
        <f t="shared" si="24"/>
        <v>516.26637384191667</v>
      </c>
      <c r="Y29" s="470">
        <f t="shared" si="25"/>
        <v>27.942182865025096</v>
      </c>
      <c r="Z29" s="470">
        <f t="shared" si="25"/>
        <v>-236.67545312059769</v>
      </c>
      <c r="AA29" s="466">
        <f>IF(SUM(AA$11:AA28)&gt;0,0,IF(SUM(X29-R29)&gt;0,B29,0))</f>
        <v>0</v>
      </c>
      <c r="AB29" s="471">
        <f>ABS(Z29)*1000000/SUM(U$12:U29)</f>
        <v>679.54690406638042</v>
      </c>
      <c r="AH29" s="52">
        <f t="shared" si="21"/>
        <v>2024</v>
      </c>
      <c r="AI29" s="53">
        <f>Rates!B22</f>
        <v>1249</v>
      </c>
      <c r="AK29" s="52">
        <f t="shared" si="22"/>
        <v>2024</v>
      </c>
      <c r="AL29" s="53" t="str">
        <f>Rates!E22</f>
        <v>-</v>
      </c>
      <c r="AM29" s="472">
        <f>Rates!F22</f>
        <v>1249</v>
      </c>
      <c r="AN29" s="473">
        <f>Rates!G22</f>
        <v>961</v>
      </c>
      <c r="AP29" s="48">
        <f t="shared" si="9"/>
        <v>2035</v>
      </c>
      <c r="AQ29" s="78">
        <f t="shared" si="0"/>
        <v>0</v>
      </c>
      <c r="AS29" s="133">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5">
        <f t="shared" si="14"/>
        <v>2036</v>
      </c>
      <c r="C30" s="695">
        <v>0</v>
      </c>
      <c r="D30" s="695">
        <f>'Area Summary'!$E$44</f>
        <v>11.234676200331869</v>
      </c>
      <c r="E30" s="64">
        <f t="shared" si="15"/>
        <v>0.65700000000000003</v>
      </c>
      <c r="F30" s="64">
        <f t="shared" si="16"/>
        <v>0</v>
      </c>
      <c r="G30" s="84">
        <f t="shared" si="17"/>
        <v>19.126284195770069</v>
      </c>
      <c r="H30" s="65">
        <f t="shared" si="1"/>
        <v>1.3309614506036962</v>
      </c>
      <c r="I30" s="64">
        <f t="shared" si="2"/>
        <v>0</v>
      </c>
      <c r="J30" s="84">
        <f t="shared" si="3"/>
        <v>19.126284195770069</v>
      </c>
      <c r="K30" s="65">
        <f t="shared" si="3"/>
        <v>1.3309614506036962</v>
      </c>
      <c r="L30" s="64">
        <f t="shared" si="4"/>
        <v>0</v>
      </c>
      <c r="M30" s="72">
        <f t="shared" si="5"/>
        <v>0</v>
      </c>
      <c r="N30" s="72">
        <f t="shared" si="6"/>
        <v>0</v>
      </c>
      <c r="O30" s="64">
        <f t="shared" si="18"/>
        <v>0</v>
      </c>
      <c r="P30" s="84">
        <f t="shared" si="7"/>
        <v>0</v>
      </c>
      <c r="Q30" s="84">
        <f t="shared" si="19"/>
        <v>20.457245646373764</v>
      </c>
      <c r="R30" s="73">
        <f t="shared" si="20"/>
        <v>773.3990726088881</v>
      </c>
      <c r="S30" s="694">
        <f>IF(NOT(EXACT(A30, "MP Complete")), INDEX(MP_new!$A$4:$J$9, MATCH(Step3!A30 - 1, MP_new!$A$4:$A$9, 0), 7), S28)</f>
        <v>48544.957141362807</v>
      </c>
      <c r="T30" s="693">
        <f>IF(EXACT($Q$5, "Yes"), IF(NOT(EXACT(A30, "MP Complete")), INDEX(MP_new!$A$4:$J$9, MATCH(Step3!A30, MP_new!$A$4:$A$9, 0), 10), T28), 0)</f>
        <v>9000</v>
      </c>
      <c r="U30" s="6">
        <f>('NPV Summary'!$B$16-S30)+T30</f>
        <v>25864.882970329993</v>
      </c>
      <c r="V30" s="6">
        <f>LOOKUP(B30,Rates!$A$5:$B$168)</f>
        <v>1914.2419208536674</v>
      </c>
      <c r="W30" s="72">
        <f t="shared" si="8"/>
        <v>49.511643259779795</v>
      </c>
      <c r="X30" s="73">
        <f t="shared" si="24"/>
        <v>565.77801710169649</v>
      </c>
      <c r="Y30" s="20">
        <f t="shared" si="25"/>
        <v>29.054397613406032</v>
      </c>
      <c r="Z30" s="20">
        <f t="shared" si="25"/>
        <v>-207.62105550719161</v>
      </c>
      <c r="AA30" s="465">
        <f>IF(SUM(AA$11:AA29)&gt;0,0,IF(SUM(X30-R30)&gt;0,B30,0))</f>
        <v>0</v>
      </c>
      <c r="AB30" s="171">
        <f>ABS(Z30)*1000000/SUM(U$12:U30)</f>
        <v>554.91530591031437</v>
      </c>
      <c r="AH30" s="55">
        <f t="shared" si="21"/>
        <v>2025</v>
      </c>
      <c r="AI30" s="8">
        <f>Rates!B23</f>
        <v>1296</v>
      </c>
      <c r="AK30" s="55">
        <f t="shared" si="22"/>
        <v>2025</v>
      </c>
      <c r="AL30" s="8" t="str">
        <f>Rates!E23</f>
        <v>-</v>
      </c>
      <c r="AM30" s="114">
        <f>Rates!F23</f>
        <v>1296</v>
      </c>
      <c r="AN30" s="115">
        <f>Rates!G23</f>
        <v>1008</v>
      </c>
      <c r="AP30" s="16">
        <f t="shared" si="9"/>
        <v>2036</v>
      </c>
      <c r="AQ30" s="77">
        <f t="shared" si="0"/>
        <v>0</v>
      </c>
      <c r="AS30" s="136">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4">
        <f t="shared" si="14"/>
        <v>2037</v>
      </c>
      <c r="C31" s="695">
        <v>0</v>
      </c>
      <c r="D31" s="695">
        <f>'Area Summary'!$E$44</f>
        <v>11.234676200331869</v>
      </c>
      <c r="E31" s="66">
        <f t="shared" si="15"/>
        <v>0.65700000000000003</v>
      </c>
      <c r="F31" s="66">
        <f t="shared" si="16"/>
        <v>0</v>
      </c>
      <c r="G31" s="67">
        <f t="shared" si="17"/>
        <v>19.700072721643171</v>
      </c>
      <c r="H31" s="68">
        <f t="shared" si="1"/>
        <v>1.384199908627844</v>
      </c>
      <c r="I31" s="66">
        <f t="shared" si="2"/>
        <v>0</v>
      </c>
      <c r="J31" s="67">
        <f t="shared" si="3"/>
        <v>19.700072721643171</v>
      </c>
      <c r="K31" s="68">
        <f t="shared" si="3"/>
        <v>1.384199908627844</v>
      </c>
      <c r="L31" s="66">
        <f t="shared" si="4"/>
        <v>0</v>
      </c>
      <c r="M31" s="70">
        <f t="shared" si="5"/>
        <v>0</v>
      </c>
      <c r="N31" s="70">
        <f t="shared" si="6"/>
        <v>0</v>
      </c>
      <c r="O31" s="66">
        <f t="shared" si="18"/>
        <v>0</v>
      </c>
      <c r="P31" s="67">
        <f t="shared" si="7"/>
        <v>0</v>
      </c>
      <c r="Q31" s="67">
        <f t="shared" si="19"/>
        <v>21.084272630271016</v>
      </c>
      <c r="R31" s="71">
        <f t="shared" si="20"/>
        <v>794.48334523915912</v>
      </c>
      <c r="S31" s="694">
        <f>IF(NOT(EXACT(A31, "MP Complete")), INDEX(MP_new!$A$4:$J$9, MATCH(Step3!A31 - 1, MP_new!$A$4:$A$9, 0), 7), S29)</f>
        <v>48544.957141362807</v>
      </c>
      <c r="T31" s="693">
        <f>IF(EXACT($Q$5, "Yes"), IF(NOT(EXACT(A31, "MP Complete")), INDEX(MP_new!$A$4:$J$9, MATCH(Step3!A31, MP_new!$A$4:$A$9, 0), 10), T29), 0)</f>
        <v>9000</v>
      </c>
      <c r="U31" s="82">
        <f>('NPV Summary'!$B$16-S31)+T31</f>
        <v>25864.882970329993</v>
      </c>
      <c r="V31" s="82">
        <f>LOOKUP(B31,Rates!$A$5:$B$168)</f>
        <v>1983.1546300043995</v>
      </c>
      <c r="W31" s="70">
        <f t="shared" si="8"/>
        <v>51.294062417131869</v>
      </c>
      <c r="X31" s="71">
        <f t="shared" si="24"/>
        <v>617.07207951882833</v>
      </c>
      <c r="Y31" s="470">
        <f t="shared" si="25"/>
        <v>30.209789786860853</v>
      </c>
      <c r="Z31" s="470">
        <f t="shared" si="25"/>
        <v>-177.41126572033079</v>
      </c>
      <c r="AA31" s="466">
        <f>IF(SUM(AA$11:AA30)&gt;0,0,IF(SUM(X31-R31)&gt;0,B31,0))</f>
        <v>0</v>
      </c>
      <c r="AB31" s="471">
        <f>ABS(Z31)*1000000/SUM(U$12:U31)</f>
        <v>443.51267377737815</v>
      </c>
      <c r="AH31" s="52">
        <f t="shared" si="21"/>
        <v>2026</v>
      </c>
      <c r="AI31" s="53">
        <f>Rates!B24</f>
        <v>1344</v>
      </c>
      <c r="AK31" s="52">
        <f t="shared" si="22"/>
        <v>2026</v>
      </c>
      <c r="AL31" s="53" t="str">
        <f>Rates!E24</f>
        <v>-</v>
      </c>
      <c r="AM31" s="472">
        <f>Rates!F24</f>
        <v>1344</v>
      </c>
      <c r="AN31" s="473">
        <f>Rates!G24</f>
        <v>1056</v>
      </c>
      <c r="AP31" s="48">
        <f t="shared" si="9"/>
        <v>2037</v>
      </c>
      <c r="AQ31" s="78">
        <f t="shared" si="0"/>
        <v>0</v>
      </c>
      <c r="AS31" s="133">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5">
        <f t="shared" si="14"/>
        <v>2038</v>
      </c>
      <c r="C32" s="695">
        <v>0</v>
      </c>
      <c r="D32" s="695">
        <f>'Area Summary'!$E$44</f>
        <v>11.234676200331869</v>
      </c>
      <c r="E32" s="64">
        <f t="shared" si="15"/>
        <v>0.65700000000000003</v>
      </c>
      <c r="F32" s="64">
        <f t="shared" si="16"/>
        <v>0</v>
      </c>
      <c r="G32" s="84">
        <f t="shared" si="17"/>
        <v>20.291074903292465</v>
      </c>
      <c r="H32" s="65">
        <f t="shared" si="1"/>
        <v>1.4395679049729577</v>
      </c>
      <c r="I32" s="64">
        <f t="shared" si="2"/>
        <v>0</v>
      </c>
      <c r="J32" s="84">
        <f t="shared" si="3"/>
        <v>20.291074903292465</v>
      </c>
      <c r="K32" s="65">
        <f t="shared" si="3"/>
        <v>1.4395679049729577</v>
      </c>
      <c r="L32" s="64">
        <f t="shared" si="4"/>
        <v>0</v>
      </c>
      <c r="M32" s="72">
        <f t="shared" si="5"/>
        <v>0</v>
      </c>
      <c r="N32" s="72">
        <f t="shared" si="6"/>
        <v>0</v>
      </c>
      <c r="O32" s="64">
        <f t="shared" si="18"/>
        <v>0</v>
      </c>
      <c r="P32" s="84">
        <f t="shared" si="7"/>
        <v>0</v>
      </c>
      <c r="Q32" s="84">
        <f t="shared" si="19"/>
        <v>21.730642808265422</v>
      </c>
      <c r="R32" s="73">
        <f t="shared" si="20"/>
        <v>816.21398804742455</v>
      </c>
      <c r="S32" s="694">
        <f>IF(NOT(EXACT(A32, "MP Complete")), INDEX(MP_new!$A$4:$J$9, MATCH(Step3!A32 - 1, MP_new!$A$4:$A$9, 0), 7), S30)</f>
        <v>48544.957141362807</v>
      </c>
      <c r="T32" s="693">
        <f>IF(EXACT($Q$5, "Yes"), IF(NOT(EXACT(A32, "MP Complete")), INDEX(MP_new!$A$4:$J$9, MATCH(Step3!A32, MP_new!$A$4:$A$9, 0), 10), T30), 0)</f>
        <v>9000</v>
      </c>
      <c r="U32" s="6">
        <f>('NPV Summary'!$B$16-S32)+T32</f>
        <v>25864.882970329993</v>
      </c>
      <c r="V32" s="6">
        <f>LOOKUP(B32,Rates!$A$5:$B$168)</f>
        <v>2054.5481966845578</v>
      </c>
      <c r="W32" s="72">
        <f t="shared" si="8"/>
        <v>53.140648664148614</v>
      </c>
      <c r="X32" s="73">
        <f t="shared" si="24"/>
        <v>670.21272818297689</v>
      </c>
      <c r="Y32" s="20">
        <f t="shared" si="25"/>
        <v>31.410005855883192</v>
      </c>
      <c r="Z32" s="20">
        <f t="shared" si="25"/>
        <v>-146.00125986444766</v>
      </c>
      <c r="AA32" s="465">
        <f>IF(SUM(AA$11:AA31)&gt;0,0,IF(SUM(X32-R32)&gt;0,B32,0))</f>
        <v>0</v>
      </c>
      <c r="AB32" s="171">
        <f>ABS(Z32)*1000000/SUM(U$12:U32)</f>
        <v>342.82345457024741</v>
      </c>
      <c r="AH32" s="55">
        <f t="shared" si="21"/>
        <v>2027</v>
      </c>
      <c r="AI32" s="8">
        <f>Rates!B25</f>
        <v>1392.384</v>
      </c>
      <c r="AK32" s="55">
        <f t="shared" si="22"/>
        <v>2027</v>
      </c>
      <c r="AL32" s="164">
        <f>Rates!E25</f>
        <v>3.5999999999999997E-2</v>
      </c>
      <c r="AM32" s="8">
        <f>Rates!F25</f>
        <v>1392.384</v>
      </c>
      <c r="AN32" s="132">
        <f>Rates!G25</f>
        <v>1094.0160000000001</v>
      </c>
      <c r="AP32" s="16">
        <f t="shared" si="9"/>
        <v>2038</v>
      </c>
      <c r="AQ32" s="77">
        <f t="shared" si="0"/>
        <v>0</v>
      </c>
      <c r="AS32" s="136">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4">
        <f t="shared" si="14"/>
        <v>2039</v>
      </c>
      <c r="C33" s="695">
        <v>0</v>
      </c>
      <c r="D33" s="695">
        <f>'Area Summary'!$E$44</f>
        <v>11.234676200331869</v>
      </c>
      <c r="E33" s="66">
        <f t="shared" si="15"/>
        <v>0.65700000000000003</v>
      </c>
      <c r="F33" s="66">
        <f t="shared" si="16"/>
        <v>0</v>
      </c>
      <c r="G33" s="67">
        <f t="shared" si="17"/>
        <v>20.899807150391236</v>
      </c>
      <c r="H33" s="68">
        <f t="shared" si="1"/>
        <v>1.4971506211718766</v>
      </c>
      <c r="I33" s="66">
        <f t="shared" si="2"/>
        <v>0</v>
      </c>
      <c r="J33" s="67">
        <f t="shared" si="3"/>
        <v>20.899807150391236</v>
      </c>
      <c r="K33" s="68">
        <f t="shared" si="3"/>
        <v>1.4971506211718766</v>
      </c>
      <c r="L33" s="66">
        <f t="shared" si="4"/>
        <v>0</v>
      </c>
      <c r="M33" s="70">
        <f t="shared" si="5"/>
        <v>0</v>
      </c>
      <c r="N33" s="70">
        <f t="shared" si="6"/>
        <v>0</v>
      </c>
      <c r="O33" s="66">
        <f t="shared" si="18"/>
        <v>0</v>
      </c>
      <c r="P33" s="67">
        <f t="shared" si="7"/>
        <v>0</v>
      </c>
      <c r="Q33" s="67">
        <f t="shared" si="19"/>
        <v>22.396957771563113</v>
      </c>
      <c r="R33" s="71">
        <f t="shared" si="20"/>
        <v>838.61094581898772</v>
      </c>
      <c r="S33" s="694">
        <f>IF(NOT(EXACT(A33, "MP Complete")), INDEX(MP_new!$A$4:$J$9, MATCH(Step3!A33 - 1, MP_new!$A$4:$A$9, 0), 7), S31)</f>
        <v>48544.957141362807</v>
      </c>
      <c r="T33" s="693">
        <f>IF(EXACT($Q$5, "Yes"), IF(NOT(EXACT(A33, "MP Complete")), INDEX(MP_new!$A$4:$J$9, MATCH(Step3!A33, MP_new!$A$4:$A$9, 0), 10), T31), 0)</f>
        <v>9000</v>
      </c>
      <c r="U33" s="82">
        <f>('NPV Summary'!$B$16-S33)+T33</f>
        <v>25864.882970329993</v>
      </c>
      <c r="V33" s="82">
        <f>LOOKUP(B33,Rates!$A$5:$B$168)</f>
        <v>2128.511931765202</v>
      </c>
      <c r="W33" s="70">
        <f t="shared" si="8"/>
        <v>55.053712016057965</v>
      </c>
      <c r="X33" s="71">
        <f t="shared" si="24"/>
        <v>725.26644019903483</v>
      </c>
      <c r="Y33" s="470">
        <f t="shared" si="25"/>
        <v>32.656754244494849</v>
      </c>
      <c r="Z33" s="470">
        <f t="shared" si="25"/>
        <v>-113.34450561995288</v>
      </c>
      <c r="AA33" s="466">
        <f>IF(SUM(AA$11:AA32)&gt;0,0,IF(SUM(X33-R33)&gt;0,B33,0))</f>
        <v>0</v>
      </c>
      <c r="AB33" s="471">
        <f>ABS(Z33)*1000000/SUM(U$12:U33)</f>
        <v>250.90443189677936</v>
      </c>
      <c r="AH33" s="52">
        <f t="shared" si="21"/>
        <v>2028</v>
      </c>
      <c r="AI33" s="53">
        <f>Rates!B26</f>
        <v>1442.509824</v>
      </c>
      <c r="AK33" s="52">
        <f t="shared" si="22"/>
        <v>2028</v>
      </c>
      <c r="AL33" s="165">
        <f>Rates!E26</f>
        <v>3.5999999999999997E-2</v>
      </c>
      <c r="AM33" s="53">
        <f>Rates!F26</f>
        <v>1442.509824</v>
      </c>
      <c r="AN33" s="54">
        <f>Rates!G26</f>
        <v>1133.400576</v>
      </c>
      <c r="AP33" s="48">
        <f t="shared" si="9"/>
        <v>2039</v>
      </c>
      <c r="AQ33" s="78">
        <f t="shared" si="0"/>
        <v>0</v>
      </c>
      <c r="AS33" s="133">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5">
        <f t="shared" si="14"/>
        <v>2040</v>
      </c>
      <c r="C34" s="695">
        <v>0</v>
      </c>
      <c r="D34" s="695">
        <f>'Area Summary'!$E$44</f>
        <v>11.234676200331869</v>
      </c>
      <c r="E34" s="64">
        <f t="shared" si="15"/>
        <v>0.65700000000000003</v>
      </c>
      <c r="F34" s="64">
        <f t="shared" si="16"/>
        <v>0</v>
      </c>
      <c r="G34" s="84">
        <f t="shared" si="17"/>
        <v>21.526801364902973</v>
      </c>
      <c r="H34" s="65">
        <f t="shared" si="1"/>
        <v>1.5570366460187515</v>
      </c>
      <c r="I34" s="64">
        <f t="shared" si="2"/>
        <v>0</v>
      </c>
      <c r="J34" s="84">
        <f t="shared" si="3"/>
        <v>21.526801364902973</v>
      </c>
      <c r="K34" s="65">
        <f t="shared" si="3"/>
        <v>1.5570366460187515</v>
      </c>
      <c r="L34" s="64">
        <f t="shared" si="4"/>
        <v>0</v>
      </c>
      <c r="M34" s="72">
        <f t="shared" si="5"/>
        <v>0</v>
      </c>
      <c r="N34" s="72">
        <f t="shared" si="6"/>
        <v>0</v>
      </c>
      <c r="O34" s="64">
        <f t="shared" si="18"/>
        <v>0</v>
      </c>
      <c r="P34" s="84">
        <f t="shared" si="7"/>
        <v>0</v>
      </c>
      <c r="Q34" s="84">
        <f t="shared" si="19"/>
        <v>23.083838010921724</v>
      </c>
      <c r="R34" s="73">
        <f t="shared" si="20"/>
        <v>861.6947838299094</v>
      </c>
      <c r="S34" s="694">
        <f>IF(NOT(EXACT(A34, "MP Complete")), INDEX(MP_new!$A$4:$J$9, MATCH(Step3!A34 - 1, MP_new!$A$4:$A$9, 0), 7), S32)</f>
        <v>48544.957141362807</v>
      </c>
      <c r="T34" s="693">
        <f>IF(EXACT($Q$5, "Yes"), IF(NOT(EXACT(A34, "MP Complete")), INDEX(MP_new!$A$4:$J$9, MATCH(Step3!A34, MP_new!$A$4:$A$9, 0), 10), T32), 0)</f>
        <v>9000</v>
      </c>
      <c r="U34" s="6">
        <f>('NPV Summary'!$B$16-S34)+T34</f>
        <v>25864.882970329993</v>
      </c>
      <c r="V34" s="6">
        <f>LOOKUP(B34,Rates!$A$5:$B$168)</f>
        <v>2205.1383613087492</v>
      </c>
      <c r="W34" s="72">
        <f t="shared" si="8"/>
        <v>57.035645648636049</v>
      </c>
      <c r="X34" s="73">
        <f t="shared" si="24"/>
        <v>782.30208584767092</v>
      </c>
      <c r="Y34" s="20">
        <f t="shared" si="25"/>
        <v>33.951807637714325</v>
      </c>
      <c r="Z34" s="20">
        <f t="shared" si="25"/>
        <v>-79.392697982238474</v>
      </c>
      <c r="AA34" s="465">
        <f>IF(SUM(AA$11:AA33)&gt;0,0,IF(SUM(X34-R34)&gt;0,B34,0))</f>
        <v>0</v>
      </c>
      <c r="AB34" s="171">
        <f>ABS(Z34)*1000000/SUM(U$12:U34)</f>
        <v>166.22961712213919</v>
      </c>
      <c r="AH34" s="55">
        <f t="shared" si="21"/>
        <v>2029</v>
      </c>
      <c r="AI34" s="8">
        <f>Rates!B27</f>
        <v>1494.440177664</v>
      </c>
      <c r="AK34" s="55">
        <f t="shared" si="22"/>
        <v>2029</v>
      </c>
      <c r="AL34" s="164">
        <f>Rates!E27</f>
        <v>3.5999999999999997E-2</v>
      </c>
      <c r="AM34" s="8">
        <f>Rates!F27</f>
        <v>1494.440177664</v>
      </c>
      <c r="AN34" s="15">
        <f>Rates!G27</f>
        <v>1174.2029967359999</v>
      </c>
      <c r="AP34" s="16">
        <f t="shared" si="9"/>
        <v>2040</v>
      </c>
      <c r="AQ34" s="77">
        <f t="shared" si="0"/>
        <v>0</v>
      </c>
      <c r="AS34" s="136">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4">
        <f t="shared" si="14"/>
        <v>2041</v>
      </c>
      <c r="C35" s="695">
        <v>0</v>
      </c>
      <c r="D35" s="695">
        <f>'Area Summary'!$E$44</f>
        <v>11.234676200331869</v>
      </c>
      <c r="E35" s="66">
        <f t="shared" si="15"/>
        <v>0.65700000000000003</v>
      </c>
      <c r="F35" s="66">
        <f t="shared" si="16"/>
        <v>0</v>
      </c>
      <c r="G35" s="67">
        <f t="shared" si="17"/>
        <v>22.172605405850064</v>
      </c>
      <c r="H35" s="68">
        <f t="shared" si="1"/>
        <v>1.6193181118595015</v>
      </c>
      <c r="I35" s="66">
        <f t="shared" si="2"/>
        <v>0</v>
      </c>
      <c r="J35" s="67">
        <f t="shared" si="3"/>
        <v>22.172605405850064</v>
      </c>
      <c r="K35" s="68">
        <f t="shared" si="3"/>
        <v>1.6193181118595015</v>
      </c>
      <c r="L35" s="66">
        <f t="shared" si="4"/>
        <v>0</v>
      </c>
      <c r="M35" s="70">
        <f t="shared" si="5"/>
        <v>0</v>
      </c>
      <c r="N35" s="70">
        <f t="shared" si="6"/>
        <v>0</v>
      </c>
      <c r="O35" s="66">
        <f t="shared" si="18"/>
        <v>0</v>
      </c>
      <c r="P35" s="67">
        <f t="shared" si="7"/>
        <v>0</v>
      </c>
      <c r="Q35" s="67">
        <f t="shared" si="19"/>
        <v>23.791923517709566</v>
      </c>
      <c r="R35" s="71">
        <f t="shared" si="20"/>
        <v>885.48670734761902</v>
      </c>
      <c r="S35" s="694">
        <f>IF(NOT(EXACT(A35, "MP Complete")), INDEX(MP_new!$A$4:$J$9, MATCH(Step3!A35 - 1, MP_new!$A$4:$A$9, 0), 7), S33)</f>
        <v>48544.957141362807</v>
      </c>
      <c r="T35" s="693">
        <f>IF(EXACT($Q$5, "Yes"), IF(NOT(EXACT(A35, "MP Complete")), INDEX(MP_new!$A$4:$J$9, MATCH(Step3!A35, MP_new!$A$4:$A$9, 0), 10), T33), 0)</f>
        <v>9000</v>
      </c>
      <c r="U35" s="82">
        <f>('NPV Summary'!$B$16-S35)+T35</f>
        <v>25864.882970329993</v>
      </c>
      <c r="V35" s="82">
        <f>LOOKUP(B35,Rates!$A$5:$B$168)</f>
        <v>2284.5233423158643</v>
      </c>
      <c r="W35" s="70">
        <f t="shared" si="8"/>
        <v>59.088928891986953</v>
      </c>
      <c r="X35" s="71">
        <f t="shared" si="24"/>
        <v>841.39101473965786</v>
      </c>
      <c r="Y35" s="470">
        <f t="shared" si="25"/>
        <v>35.29700537427739</v>
      </c>
      <c r="Z35" s="470">
        <f t="shared" si="25"/>
        <v>-44.095692607961155</v>
      </c>
      <c r="AA35" s="466">
        <f>IF(SUM(AA$11:AA34)&gt;0,0,IF(SUM(X35-R35)&gt;0,B35,0))</f>
        <v>0</v>
      </c>
      <c r="AB35" s="471">
        <f>ABS(Z35)*1000000/SUM(U$12:U35)</f>
        <v>87.582946027101272</v>
      </c>
      <c r="AH35" s="52">
        <f t="shared" si="21"/>
        <v>2030</v>
      </c>
      <c r="AI35" s="53">
        <f>Rates!B28</f>
        <v>1548.240024059904</v>
      </c>
      <c r="AK35" s="52">
        <f t="shared" si="22"/>
        <v>2030</v>
      </c>
      <c r="AL35" s="165">
        <f>Rates!E28</f>
        <v>3.5999999999999997E-2</v>
      </c>
      <c r="AM35" s="53">
        <f>Rates!F28</f>
        <v>1548.240024059904</v>
      </c>
      <c r="AN35" s="54">
        <f>Rates!G28</f>
        <v>1216.474304618496</v>
      </c>
      <c r="AP35" s="48">
        <f t="shared" si="9"/>
        <v>2041</v>
      </c>
      <c r="AQ35" s="78">
        <f t="shared" si="0"/>
        <v>0</v>
      </c>
      <c r="AS35" s="133">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5">
        <f t="shared" si="14"/>
        <v>2042</v>
      </c>
      <c r="C36" s="695">
        <v>0</v>
      </c>
      <c r="D36" s="695">
        <f>'Area Summary'!$E$44</f>
        <v>11.234676200331869</v>
      </c>
      <c r="E36" s="64">
        <f t="shared" si="15"/>
        <v>0.65700000000000003</v>
      </c>
      <c r="F36" s="64">
        <f t="shared" si="16"/>
        <v>0</v>
      </c>
      <c r="G36" s="84">
        <f t="shared" si="17"/>
        <v>22.837783568025564</v>
      </c>
      <c r="H36" s="65">
        <f t="shared" si="1"/>
        <v>1.6840908363338816</v>
      </c>
      <c r="I36" s="64">
        <f t="shared" si="2"/>
        <v>0</v>
      </c>
      <c r="J36" s="84">
        <f t="shared" si="3"/>
        <v>22.837783568025564</v>
      </c>
      <c r="K36" s="65">
        <f t="shared" si="3"/>
        <v>1.6840908363338816</v>
      </c>
      <c r="L36" s="64">
        <f t="shared" si="4"/>
        <v>0</v>
      </c>
      <c r="M36" s="72">
        <f t="shared" si="5"/>
        <v>0</v>
      </c>
      <c r="N36" s="72">
        <f t="shared" si="6"/>
        <v>0</v>
      </c>
      <c r="O36" s="64">
        <f t="shared" si="18"/>
        <v>0</v>
      </c>
      <c r="P36" s="84">
        <f t="shared" si="7"/>
        <v>0</v>
      </c>
      <c r="Q36" s="84">
        <f t="shared" si="19"/>
        <v>24.521874404359444</v>
      </c>
      <c r="R36" s="73">
        <f t="shared" si="20"/>
        <v>910.00858175197845</v>
      </c>
      <c r="S36" s="694">
        <f>IF(NOT(EXACT(A36, "MP Complete")), INDEX(MP_new!$A$4:$J$9, MATCH(Step3!A36 - 1, MP_new!$A$4:$A$9, 0), 7), S34)</f>
        <v>48544.957141362807</v>
      </c>
      <c r="T36" s="693">
        <f>IF(EXACT($Q$5, "Yes"), IF(NOT(EXACT(A36, "MP Complete")), INDEX(MP_new!$A$4:$J$9, MATCH(Step3!A36, MP_new!$A$4:$A$9, 0), 10), T34), 0)</f>
        <v>9000</v>
      </c>
      <c r="U36" s="6">
        <f>('NPV Summary'!$B$16-S36)+T36</f>
        <v>25864.882970329993</v>
      </c>
      <c r="V36" s="6">
        <f>LOOKUP(B36,Rates!$A$5:$B$168)</f>
        <v>2366.7661826392355</v>
      </c>
      <c r="W36" s="72">
        <f t="shared" si="8"/>
        <v>61.216130332098487</v>
      </c>
      <c r="X36" s="73">
        <f t="shared" si="24"/>
        <v>902.60714507175635</v>
      </c>
      <c r="Y36" s="20">
        <f t="shared" si="25"/>
        <v>36.694255927739043</v>
      </c>
      <c r="Z36" s="20">
        <f t="shared" si="25"/>
        <v>-7.4014366802221048</v>
      </c>
      <c r="AA36" s="465">
        <f>IF(SUM(AA$11:AA35)&gt;0,0,IF(SUM(X36-R36)&gt;0,B36,0))</f>
        <v>0</v>
      </c>
      <c r="AB36" s="171">
        <f>ABS(Z36)*1000000/SUM(U$12:U36)</f>
        <v>13.982429541099014</v>
      </c>
      <c r="AH36" s="55">
        <f t="shared" si="21"/>
        <v>2031</v>
      </c>
      <c r="AI36" s="8">
        <f>Rates!B29</f>
        <v>1603.9766649260607</v>
      </c>
      <c r="AK36" s="55">
        <f t="shared" si="22"/>
        <v>2031</v>
      </c>
      <c r="AL36" s="164">
        <f>Rates!E29</f>
        <v>3.5999999999999997E-2</v>
      </c>
      <c r="AM36" s="8">
        <f>Rates!F29</f>
        <v>1603.9766649260607</v>
      </c>
      <c r="AN36" s="15">
        <f>Rates!G29</f>
        <v>1260.267379584762</v>
      </c>
      <c r="AP36" s="16">
        <f t="shared" si="9"/>
        <v>2042</v>
      </c>
      <c r="AQ36" s="77">
        <f t="shared" si="0"/>
        <v>0</v>
      </c>
      <c r="AS36" s="136">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4">
        <f t="shared" si="14"/>
        <v>2043</v>
      </c>
      <c r="C37" s="695">
        <v>0</v>
      </c>
      <c r="D37" s="695">
        <f>'Area Summary'!$E$44</f>
        <v>11.234676200331869</v>
      </c>
      <c r="E37" s="66">
        <f t="shared" si="15"/>
        <v>0.65700000000000003</v>
      </c>
      <c r="F37" s="66">
        <f t="shared" si="16"/>
        <v>0</v>
      </c>
      <c r="G37" s="67">
        <f t="shared" si="17"/>
        <v>23.522917075066331</v>
      </c>
      <c r="H37" s="68">
        <f t="shared" si="1"/>
        <v>1.7514544697872372</v>
      </c>
      <c r="I37" s="66">
        <f t="shared" si="2"/>
        <v>0</v>
      </c>
      <c r="J37" s="67">
        <f t="shared" si="3"/>
        <v>23.522917075066331</v>
      </c>
      <c r="K37" s="68">
        <f t="shared" si="3"/>
        <v>1.7514544697872372</v>
      </c>
      <c r="L37" s="66">
        <f t="shared" si="4"/>
        <v>0</v>
      </c>
      <c r="M37" s="70">
        <f t="shared" si="5"/>
        <v>0</v>
      </c>
      <c r="N37" s="70">
        <f t="shared" si="6"/>
        <v>0</v>
      </c>
      <c r="O37" s="66">
        <f t="shared" si="18"/>
        <v>0</v>
      </c>
      <c r="P37" s="67">
        <f t="shared" si="7"/>
        <v>0</v>
      </c>
      <c r="Q37" s="67">
        <f t="shared" si="19"/>
        <v>25.274371544853569</v>
      </c>
      <c r="R37" s="71">
        <f t="shared" si="20"/>
        <v>935.28295329683203</v>
      </c>
      <c r="S37" s="694">
        <f>IF(NOT(EXACT(A37, "MP Complete")), INDEX(MP_new!$A$4:$J$9, MATCH(Step3!A37 - 1, MP_new!$A$4:$A$9, 0), 7), S35)</f>
        <v>48544.957141362807</v>
      </c>
      <c r="T37" s="693">
        <f>IF(EXACT($Q$5, "Yes"), IF(NOT(EXACT(A37, "MP Complete")), INDEX(MP_new!$A$4:$J$9, MATCH(Step3!A37, MP_new!$A$4:$A$9, 0), 10), T35), 0)</f>
        <v>9000</v>
      </c>
      <c r="U37" s="82">
        <f>('NPV Summary'!$B$16-S37)+T37</f>
        <v>25864.882970329993</v>
      </c>
      <c r="V37" s="82">
        <f>LOOKUP(B37,Rates!$A$5:$B$168)</f>
        <v>2451.9697652142481</v>
      </c>
      <c r="W37" s="70">
        <f t="shared" si="8"/>
        <v>63.419911024054038</v>
      </c>
      <c r="X37" s="71">
        <f t="shared" si="24"/>
        <v>966.02705609581039</v>
      </c>
      <c r="Y37" s="470">
        <f t="shared" si="25"/>
        <v>38.145539479200465</v>
      </c>
      <c r="Z37" s="470">
        <f t="shared" si="25"/>
        <v>30.744102798978361</v>
      </c>
      <c r="AA37" s="466">
        <f>IF(SUM(AA$11:AA36)&gt;0,0,IF(SUM(X37-R37)&gt;0,B37,0))</f>
        <v>2043</v>
      </c>
      <c r="AB37" s="471">
        <f>ABS(Z37)*1000000/SUM(U$12:U37)</f>
        <v>55.374498924454095</v>
      </c>
      <c r="AH37" s="52">
        <f t="shared" si="21"/>
        <v>2032</v>
      </c>
      <c r="AI37" s="53">
        <f>Rates!B30</f>
        <v>1661.719824863399</v>
      </c>
      <c r="AK37" s="52">
        <f t="shared" si="22"/>
        <v>2032</v>
      </c>
      <c r="AL37" s="165">
        <f>Rates!E30</f>
        <v>3.5999999999999997E-2</v>
      </c>
      <c r="AM37" s="53">
        <f>Rates!F30</f>
        <v>1661.719824863399</v>
      </c>
      <c r="AN37" s="54">
        <f>Rates!G30</f>
        <v>1305.6370052498135</v>
      </c>
      <c r="AP37" s="48">
        <f t="shared" si="9"/>
        <v>2043</v>
      </c>
      <c r="AQ37" s="78">
        <f t="shared" si="0"/>
        <v>0</v>
      </c>
      <c r="AS37" s="133">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5">
        <f t="shared" si="14"/>
        <v>2044</v>
      </c>
      <c r="C38" s="695">
        <v>0</v>
      </c>
      <c r="D38" s="695">
        <f>'Area Summary'!$E$44</f>
        <v>11.234676200331869</v>
      </c>
      <c r="E38" s="64">
        <f t="shared" si="15"/>
        <v>0.65700000000000003</v>
      </c>
      <c r="F38" s="64">
        <f t="shared" si="16"/>
        <v>0</v>
      </c>
      <c r="G38" s="84">
        <f t="shared" si="17"/>
        <v>24.228604587318323</v>
      </c>
      <c r="H38" s="65">
        <f t="shared" si="1"/>
        <v>1.8215126485787265</v>
      </c>
      <c r="I38" s="64">
        <f t="shared" si="2"/>
        <v>0</v>
      </c>
      <c r="J38" s="84">
        <f t="shared" si="3"/>
        <v>24.228604587318323</v>
      </c>
      <c r="K38" s="65">
        <f t="shared" si="3"/>
        <v>1.8215126485787265</v>
      </c>
      <c r="L38" s="64">
        <f t="shared" si="4"/>
        <v>0</v>
      </c>
      <c r="M38" s="72">
        <f t="shared" si="5"/>
        <v>0</v>
      </c>
      <c r="N38" s="72">
        <f t="shared" si="6"/>
        <v>0</v>
      </c>
      <c r="O38" s="64">
        <f t="shared" si="18"/>
        <v>0</v>
      </c>
      <c r="P38" s="84">
        <f t="shared" si="7"/>
        <v>0</v>
      </c>
      <c r="Q38" s="84">
        <f t="shared" si="19"/>
        <v>26.050117235897048</v>
      </c>
      <c r="R38" s="73">
        <f t="shared" si="20"/>
        <v>961.33307053272904</v>
      </c>
      <c r="S38" s="694">
        <f>IF(NOT(EXACT(A38, "MP Complete")), INDEX(MP_new!$A$4:$J$9, MATCH(Step3!A38 - 1, MP_new!$A$4:$A$9, 0), 7), S36)</f>
        <v>48544.957141362807</v>
      </c>
      <c r="T38" s="693">
        <f>IF(EXACT($Q$5, "Yes"), IF(NOT(EXACT(A38, "MP Complete")), INDEX(MP_new!$A$4:$J$9, MATCH(Step3!A38, MP_new!$A$4:$A$9, 0), 10), T36), 0)</f>
        <v>9000</v>
      </c>
      <c r="U38" s="6">
        <f>('NPV Summary'!$B$16-S38)+T38</f>
        <v>25864.882970329993</v>
      </c>
      <c r="V38" s="6">
        <f>LOOKUP(B38,Rates!$A$5:$B$168)</f>
        <v>2540.2406767619609</v>
      </c>
      <c r="W38" s="72">
        <f t="shared" si="8"/>
        <v>65.703027820919971</v>
      </c>
      <c r="X38" s="73">
        <f t="shared" si="24"/>
        <v>1031.7300839167303</v>
      </c>
      <c r="Y38" s="20">
        <f t="shared" si="25"/>
        <v>39.652910585022923</v>
      </c>
      <c r="Z38" s="20">
        <f t="shared" si="25"/>
        <v>70.397013384001298</v>
      </c>
      <c r="AA38" s="465">
        <f>IF(SUM(AA$11:AA37)&gt;0,0,IF(SUM(X38-R38)&gt;0,B38,0))</f>
        <v>0</v>
      </c>
      <c r="AB38" s="171">
        <f>ABS(Z38)*1000000/SUM(U$12:U38)</f>
        <v>121.15104432391807</v>
      </c>
      <c r="AH38" s="55">
        <f t="shared" si="21"/>
        <v>2033</v>
      </c>
      <c r="AI38" s="8">
        <f>Rates!B31</f>
        <v>1721.5417385584815</v>
      </c>
      <c r="AK38" s="55">
        <f t="shared" si="22"/>
        <v>2033</v>
      </c>
      <c r="AL38" s="164">
        <f>Rates!E31</f>
        <v>3.5999999999999997E-2</v>
      </c>
      <c r="AM38" s="8">
        <f>Rates!F31</f>
        <v>1721.5417385584815</v>
      </c>
      <c r="AN38" s="15">
        <f>Rates!G31</f>
        <v>1352.6399374388068</v>
      </c>
      <c r="AP38" s="16">
        <f t="shared" si="9"/>
        <v>2044</v>
      </c>
      <c r="AQ38" s="77">
        <f t="shared" si="0"/>
        <v>0</v>
      </c>
      <c r="AS38" s="136">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4">
        <f t="shared" si="14"/>
        <v>2045</v>
      </c>
      <c r="C39" s="695">
        <v>0</v>
      </c>
      <c r="D39" s="695">
        <f>'Area Summary'!$E$44</f>
        <v>11.234676200331869</v>
      </c>
      <c r="E39" s="66">
        <f t="shared" si="15"/>
        <v>0.65700000000000003</v>
      </c>
      <c r="F39" s="66">
        <f t="shared" si="16"/>
        <v>0</v>
      </c>
      <c r="G39" s="67">
        <f t="shared" si="17"/>
        <v>24.95546272493787</v>
      </c>
      <c r="H39" s="68">
        <f t="shared" si="1"/>
        <v>1.8943731545218756</v>
      </c>
      <c r="I39" s="66">
        <f t="shared" si="2"/>
        <v>0</v>
      </c>
      <c r="J39" s="67">
        <f t="shared" si="3"/>
        <v>24.95546272493787</v>
      </c>
      <c r="K39" s="68">
        <f t="shared" si="3"/>
        <v>1.8943731545218756</v>
      </c>
      <c r="L39" s="66">
        <f t="shared" si="4"/>
        <v>0</v>
      </c>
      <c r="M39" s="70">
        <f t="shared" si="5"/>
        <v>0</v>
      </c>
      <c r="N39" s="70">
        <f t="shared" si="6"/>
        <v>0</v>
      </c>
      <c r="O39" s="66">
        <f t="shared" si="18"/>
        <v>0</v>
      </c>
      <c r="P39" s="67">
        <f t="shared" si="7"/>
        <v>0</v>
      </c>
      <c r="Q39" s="67">
        <f t="shared" si="19"/>
        <v>26.849835879459746</v>
      </c>
      <c r="R39" s="71">
        <f t="shared" si="20"/>
        <v>988.1829064121888</v>
      </c>
      <c r="S39" s="694">
        <f>IF(NOT(EXACT(A39, "MP Complete")), INDEX(MP_new!$A$4:$J$9, MATCH(Step3!A39 - 1, MP_new!$A$4:$A$9, 0), 7), S37)</f>
        <v>48544.957141362807</v>
      </c>
      <c r="T39" s="693">
        <f>IF(EXACT($Q$5, "Yes"), IF(NOT(EXACT(A39, "MP Complete")), INDEX(MP_new!$A$4:$J$9, MATCH(Step3!A39, MP_new!$A$4:$A$9, 0), 10), T37), 0)</f>
        <v>9000</v>
      </c>
      <c r="U39" s="82">
        <f>('NPV Summary'!$B$16-S39)+T39</f>
        <v>25864.882970329993</v>
      </c>
      <c r="V39" s="82">
        <f>LOOKUP(B39,Rates!$A$5:$B$168)</f>
        <v>2631.6893411253914</v>
      </c>
      <c r="W39" s="70">
        <f t="shared" si="8"/>
        <v>68.0683368224731</v>
      </c>
      <c r="X39" s="71">
        <f t="shared" si="24"/>
        <v>1099.7984207392035</v>
      </c>
      <c r="Y39" s="470">
        <f t="shared" si="25"/>
        <v>41.218500943013353</v>
      </c>
      <c r="Z39" s="470">
        <f t="shared" si="25"/>
        <v>111.61551432701469</v>
      </c>
      <c r="AA39" s="466">
        <f>IF(SUM(AA$11:AA38)&gt;0,0,IF(SUM(X39-R39)&gt;0,B39,0))</f>
        <v>0</v>
      </c>
      <c r="AB39" s="471">
        <f>ABS(Z39)*1000000/SUM(U$12:U39)</f>
        <v>183.90087205369369</v>
      </c>
      <c r="AH39" s="52">
        <f t="shared" si="21"/>
        <v>2034</v>
      </c>
      <c r="AI39" s="53">
        <f>Rates!B32</f>
        <v>1783.5172411465869</v>
      </c>
      <c r="AK39" s="52">
        <f t="shared" si="22"/>
        <v>2034</v>
      </c>
      <c r="AL39" s="165">
        <f>Rates!E32</f>
        <v>3.5999999999999997E-2</v>
      </c>
      <c r="AM39" s="53">
        <f>Rates!F32</f>
        <v>1783.5172411465869</v>
      </c>
      <c r="AN39" s="54">
        <f>Rates!G32</f>
        <v>1401.334975186604</v>
      </c>
      <c r="AP39" s="48">
        <f t="shared" si="9"/>
        <v>2045</v>
      </c>
      <c r="AQ39" s="78">
        <f t="shared" si="0"/>
        <v>0</v>
      </c>
      <c r="AS39" s="133">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5">
        <f t="shared" si="14"/>
        <v>2046</v>
      </c>
      <c r="C40" s="695">
        <v>0</v>
      </c>
      <c r="D40" s="695">
        <f>'Area Summary'!$E$44</f>
        <v>11.234676200331869</v>
      </c>
      <c r="E40" s="64">
        <f t="shared" si="15"/>
        <v>0.65700000000000003</v>
      </c>
      <c r="F40" s="64">
        <f t="shared" si="16"/>
        <v>0</v>
      </c>
      <c r="G40" s="84">
        <f t="shared" si="17"/>
        <v>25.704126606686007</v>
      </c>
      <c r="H40" s="65">
        <f t="shared" si="1"/>
        <v>1.9701480807027512</v>
      </c>
      <c r="I40" s="64">
        <f t="shared" si="2"/>
        <v>0</v>
      </c>
      <c r="J40" s="84">
        <f t="shared" si="3"/>
        <v>25.704126606686007</v>
      </c>
      <c r="K40" s="65">
        <f t="shared" si="3"/>
        <v>1.9701480807027512</v>
      </c>
      <c r="L40" s="64">
        <f t="shared" si="4"/>
        <v>0</v>
      </c>
      <c r="M40" s="72">
        <f t="shared" si="5"/>
        <v>0</v>
      </c>
      <c r="N40" s="72">
        <f t="shared" si="6"/>
        <v>0</v>
      </c>
      <c r="O40" s="64">
        <f t="shared" si="18"/>
        <v>0</v>
      </c>
      <c r="P40" s="84">
        <f t="shared" si="7"/>
        <v>0</v>
      </c>
      <c r="Q40" s="84">
        <f t="shared" si="19"/>
        <v>27.67427468738876</v>
      </c>
      <c r="R40" s="73">
        <f t="shared" si="20"/>
        <v>1015.8571810995776</v>
      </c>
      <c r="S40" s="694">
        <f>IF(NOT(EXACT(A40, "MP Complete")), INDEX(MP_new!$A$4:$J$9, MATCH(Step3!A40 - 1, MP_new!$A$4:$A$9, 0), 7), S38)</f>
        <v>48544.957141362807</v>
      </c>
      <c r="T40" s="693">
        <f>IF(EXACT($Q$5, "Yes"), IF(NOT(EXACT(A40, "MP Complete")), INDEX(MP_new!$A$4:$J$9, MATCH(Step3!A40, MP_new!$A$4:$A$9, 0), 10), T38), 0)</f>
        <v>9000</v>
      </c>
      <c r="U40" s="6">
        <f>('NPV Summary'!$B$16-S40)+T40</f>
        <v>25864.882970329993</v>
      </c>
      <c r="V40" s="6">
        <f>LOOKUP(B40,Rates!$A$5:$B$168)</f>
        <v>2726.4301574059054</v>
      </c>
      <c r="W40" s="72">
        <f t="shared" si="8"/>
        <v>70.518796948082112</v>
      </c>
      <c r="X40" s="73">
        <f t="shared" si="24"/>
        <v>1170.3172176872856</v>
      </c>
      <c r="Y40" s="20">
        <f t="shared" si="25"/>
        <v>42.844522260693353</v>
      </c>
      <c r="Z40" s="20">
        <f t="shared" si="25"/>
        <v>154.46003658770803</v>
      </c>
      <c r="AA40" s="465">
        <f>IF(SUM(AA$11:AA39)&gt;0,0,IF(SUM(X40-R40)&gt;0,B40,0))</f>
        <v>0</v>
      </c>
      <c r="AB40" s="171">
        <f>ABS(Z40)*1000000/SUM(U$12:U40)</f>
        <v>244.09062090391987</v>
      </c>
      <c r="AC40" s="9"/>
      <c r="AD40" s="9"/>
      <c r="AE40" s="9"/>
      <c r="AF40" s="9"/>
      <c r="AG40" s="9"/>
      <c r="AH40" s="55">
        <f t="shared" si="21"/>
        <v>2035</v>
      </c>
      <c r="AI40" s="8">
        <f>Rates!B33</f>
        <v>1847.7238618278641</v>
      </c>
      <c r="AJ40" s="9"/>
      <c r="AK40" s="55">
        <f t="shared" si="22"/>
        <v>2035</v>
      </c>
      <c r="AL40" s="164">
        <f>Rates!E33</f>
        <v>3.5999999999999997E-2</v>
      </c>
      <c r="AM40" s="8">
        <f>Rates!F33</f>
        <v>1847.7238618278641</v>
      </c>
      <c r="AN40" s="15">
        <f>Rates!G33</f>
        <v>1451.7830342933219</v>
      </c>
      <c r="AO40" s="9"/>
      <c r="AP40" s="16">
        <f t="shared" si="9"/>
        <v>2046</v>
      </c>
      <c r="AQ40" s="77">
        <f t="shared" si="0"/>
        <v>0</v>
      </c>
      <c r="AR40" s="9"/>
      <c r="AS40" s="136">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4">
        <f t="shared" si="14"/>
        <v>2047</v>
      </c>
      <c r="C41" s="695">
        <v>0</v>
      </c>
      <c r="D41" s="695">
        <f>'Area Summary'!$E$44</f>
        <v>11.234676200331869</v>
      </c>
      <c r="E41" s="66">
        <f t="shared" si="15"/>
        <v>0.65700000000000003</v>
      </c>
      <c r="F41" s="66">
        <f t="shared" si="16"/>
        <v>0</v>
      </c>
      <c r="G41" s="67">
        <f t="shared" si="17"/>
        <v>26.475250404886584</v>
      </c>
      <c r="H41" s="68">
        <f t="shared" si="1"/>
        <v>2.0489540039308611</v>
      </c>
      <c r="I41" s="66">
        <f t="shared" si="2"/>
        <v>0</v>
      </c>
      <c r="J41" s="67">
        <f t="shared" si="3"/>
        <v>26.475250404886584</v>
      </c>
      <c r="K41" s="68">
        <f t="shared" si="3"/>
        <v>2.0489540039308611</v>
      </c>
      <c r="L41" s="66">
        <f t="shared" si="4"/>
        <v>0</v>
      </c>
      <c r="M41" s="70">
        <f t="shared" si="5"/>
        <v>0</v>
      </c>
      <c r="N41" s="70">
        <f t="shared" si="6"/>
        <v>0</v>
      </c>
      <c r="O41" s="66">
        <f t="shared" si="18"/>
        <v>0</v>
      </c>
      <c r="P41" s="67">
        <f t="shared" si="7"/>
        <v>0</v>
      </c>
      <c r="Q41" s="67">
        <f t="shared" si="19"/>
        <v>28.524204408817447</v>
      </c>
      <c r="R41" s="71">
        <f t="shared" si="20"/>
        <v>1044.3813855083949</v>
      </c>
      <c r="S41" s="694">
        <f>IF(NOT(EXACT(A41, "MP Complete")), INDEX(MP_new!$A$4:$J$9, MATCH(Step3!A41 - 1, MP_new!$A$4:$A$9, 0), 7), S39)</f>
        <v>48544.957141362807</v>
      </c>
      <c r="T41" s="693">
        <f>IF(EXACT($Q$5, "Yes"), IF(NOT(EXACT(A41, "MP Complete")), INDEX(MP_new!$A$4:$J$9, MATCH(Step3!A41, MP_new!$A$4:$A$9, 0), 10), T39), 0)</f>
        <v>9000</v>
      </c>
      <c r="U41" s="82">
        <f>('NPV Summary'!$B$16-S41)+T41</f>
        <v>25864.882970329993</v>
      </c>
      <c r="V41" s="82">
        <f>LOOKUP(B41,Rates!$A$5:$B$168)</f>
        <v>2824.5816430725181</v>
      </c>
      <c r="W41" s="70">
        <f t="shared" si="8"/>
        <v>73.057473638213082</v>
      </c>
      <c r="X41" s="71">
        <f t="shared" si="24"/>
        <v>1243.3746913254986</v>
      </c>
      <c r="Y41" s="470">
        <f t="shared" si="25"/>
        <v>44.533269229395636</v>
      </c>
      <c r="Z41" s="470">
        <f t="shared" si="25"/>
        <v>198.99330581710365</v>
      </c>
      <c r="AA41" s="466">
        <f>IF(SUM(AA$11:AA40)&gt;0,0,IF(SUM(X41-R41)&gt;0,B41,0))</f>
        <v>0</v>
      </c>
      <c r="AB41" s="471">
        <f>ABS(Z41)*1000000/SUM(U$12:U41)</f>
        <v>302.11711618897812</v>
      </c>
      <c r="AH41" s="52">
        <f t="shared" si="21"/>
        <v>2036</v>
      </c>
      <c r="AI41" s="53">
        <f>Rates!B34</f>
        <v>1914.2419208536674</v>
      </c>
      <c r="AK41" s="52">
        <f t="shared" si="22"/>
        <v>2036</v>
      </c>
      <c r="AL41" s="165">
        <f>Rates!E34</f>
        <v>3.5999999999999997E-2</v>
      </c>
      <c r="AM41" s="53">
        <f>Rates!F34</f>
        <v>1914.2419208536674</v>
      </c>
      <c r="AN41" s="54">
        <f>Rates!G34</f>
        <v>1504.0472235278814</v>
      </c>
      <c r="AP41" s="48">
        <f t="shared" si="9"/>
        <v>2047</v>
      </c>
      <c r="AQ41" s="78">
        <f t="shared" si="0"/>
        <v>0</v>
      </c>
      <c r="AS41" s="133">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5">
        <f t="shared" si="14"/>
        <v>2048</v>
      </c>
      <c r="C42" s="695">
        <v>0</v>
      </c>
      <c r="D42" s="695">
        <f>'Area Summary'!$E$44</f>
        <v>11.234676200331869</v>
      </c>
      <c r="E42" s="64">
        <f t="shared" si="15"/>
        <v>0.65700000000000003</v>
      </c>
      <c r="F42" s="64">
        <f t="shared" si="16"/>
        <v>0</v>
      </c>
      <c r="G42" s="84">
        <f t="shared" si="17"/>
        <v>27.269507917033181</v>
      </c>
      <c r="H42" s="65">
        <f t="shared" si="1"/>
        <v>2.1309121640880955</v>
      </c>
      <c r="I42" s="64">
        <f t="shared" si="2"/>
        <v>0</v>
      </c>
      <c r="J42" s="84">
        <f t="shared" si="3"/>
        <v>27.269507917033181</v>
      </c>
      <c r="K42" s="65">
        <f t="shared" si="3"/>
        <v>2.1309121640880955</v>
      </c>
      <c r="L42" s="64">
        <f t="shared" si="4"/>
        <v>0</v>
      </c>
      <c r="M42" s="72">
        <f t="shared" si="5"/>
        <v>0</v>
      </c>
      <c r="N42" s="72">
        <f t="shared" si="6"/>
        <v>0</v>
      </c>
      <c r="O42" s="64">
        <f t="shared" si="18"/>
        <v>0</v>
      </c>
      <c r="P42" s="84">
        <f t="shared" si="7"/>
        <v>0</v>
      </c>
      <c r="Q42" s="84">
        <f t="shared" si="19"/>
        <v>29.400420081121275</v>
      </c>
      <c r="R42" s="73">
        <f t="shared" si="20"/>
        <v>1073.7818055895161</v>
      </c>
      <c r="S42" s="694">
        <f>IF(NOT(EXACT(A42, "MP Complete")), INDEX(MP_new!$A$4:$J$9, MATCH(Step3!A42 - 1, MP_new!$A$4:$A$9, 0), 7), S40)</f>
        <v>48544.957141362807</v>
      </c>
      <c r="T42" s="693">
        <f>IF(EXACT($Q$5, "Yes"), IF(NOT(EXACT(A42, "MP Complete")), INDEX(MP_new!$A$4:$J$9, MATCH(Step3!A42, MP_new!$A$4:$A$9, 0), 10), T40), 0)</f>
        <v>9000</v>
      </c>
      <c r="U42" s="6">
        <f>('NPV Summary'!$B$16-S42)+T42</f>
        <v>25864.882970329993</v>
      </c>
      <c r="V42" s="6">
        <f>LOOKUP(B42,Rates!$A$5:$B$168)</f>
        <v>2926.2665822231288</v>
      </c>
      <c r="W42" s="72">
        <f t="shared" si="8"/>
        <v>75.687542689188746</v>
      </c>
      <c r="X42" s="73">
        <f t="shared" si="24"/>
        <v>1319.0622340146874</v>
      </c>
      <c r="Y42" s="20">
        <f t="shared" si="25"/>
        <v>46.28712260806747</v>
      </c>
      <c r="Z42" s="20">
        <f t="shared" si="25"/>
        <v>245.28042842517129</v>
      </c>
      <c r="AA42" s="465">
        <f>IF(SUM(AA$11:AA41)&gt;0,0,IF(SUM(X42-R42)&gt;0,B42,0))</f>
        <v>0</v>
      </c>
      <c r="AB42" s="171">
        <f>ABS(Z42)*1000000/SUM(U$12:U42)</f>
        <v>358.32068499351686</v>
      </c>
      <c r="AH42" s="55">
        <f t="shared" si="21"/>
        <v>2037</v>
      </c>
      <c r="AI42" s="8">
        <f>Rates!B35</f>
        <v>1983.1546300043995</v>
      </c>
      <c r="AK42" s="55">
        <f t="shared" si="22"/>
        <v>2037</v>
      </c>
      <c r="AL42" s="164">
        <f>Rates!E35</f>
        <v>3.5999999999999997E-2</v>
      </c>
      <c r="AM42" s="8">
        <f>Rates!F35</f>
        <v>1983.1546300043995</v>
      </c>
      <c r="AN42" s="15">
        <f>Rates!G35</f>
        <v>1558.1929235748853</v>
      </c>
      <c r="AP42" s="16">
        <f t="shared" si="9"/>
        <v>2048</v>
      </c>
      <c r="AQ42" s="77">
        <f t="shared" si="0"/>
        <v>0</v>
      </c>
      <c r="AS42" s="136">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4">
        <f t="shared" si="14"/>
        <v>2049</v>
      </c>
      <c r="C43" s="695">
        <v>0</v>
      </c>
      <c r="D43" s="695">
        <f>'Area Summary'!$E$44</f>
        <v>11.234676200331869</v>
      </c>
      <c r="E43" s="66">
        <f t="shared" si="15"/>
        <v>0.65700000000000003</v>
      </c>
      <c r="F43" s="66">
        <f t="shared" si="16"/>
        <v>0</v>
      </c>
      <c r="G43" s="67">
        <f t="shared" si="17"/>
        <v>28.08759315454418</v>
      </c>
      <c r="H43" s="68">
        <f t="shared" si="1"/>
        <v>2.2161486506516193</v>
      </c>
      <c r="I43" s="66">
        <f t="shared" si="2"/>
        <v>0</v>
      </c>
      <c r="J43" s="67">
        <f t="shared" si="3"/>
        <v>28.08759315454418</v>
      </c>
      <c r="K43" s="68">
        <f t="shared" si="3"/>
        <v>2.2161486506516193</v>
      </c>
      <c r="L43" s="66">
        <f t="shared" si="4"/>
        <v>0</v>
      </c>
      <c r="M43" s="70">
        <f t="shared" si="5"/>
        <v>0</v>
      </c>
      <c r="N43" s="70">
        <f t="shared" si="6"/>
        <v>0</v>
      </c>
      <c r="O43" s="66">
        <f t="shared" si="18"/>
        <v>0</v>
      </c>
      <c r="P43" s="67">
        <f t="shared" si="7"/>
        <v>0</v>
      </c>
      <c r="Q43" s="67">
        <f t="shared" si="19"/>
        <v>30.303741805195799</v>
      </c>
      <c r="R43" s="71">
        <f t="shared" si="20"/>
        <v>1104.085547394712</v>
      </c>
      <c r="S43" s="694">
        <f>IF(NOT(EXACT(A43, "MP Complete")), INDEX(MP_new!$A$4:$J$9, MATCH(Step3!A43 - 1, MP_new!$A$4:$A$9, 0), 7), S41)</f>
        <v>48544.957141362807</v>
      </c>
      <c r="T43" s="693">
        <f>IF(EXACT($Q$5, "Yes"), IF(NOT(EXACT(A43, "MP Complete")), INDEX(MP_new!$A$4:$J$9, MATCH(Step3!A43, MP_new!$A$4:$A$9, 0), 10), T41), 0)</f>
        <v>9000</v>
      </c>
      <c r="U43" s="82">
        <f>('NPV Summary'!$B$16-S43)+T43</f>
        <v>25864.882970329993</v>
      </c>
      <c r="V43" s="82">
        <f>LOOKUP(B43,Rates!$A$5:$B$168)</f>
        <v>3031.6121791831615</v>
      </c>
      <c r="W43" s="70">
        <f t="shared" si="8"/>
        <v>78.412294225999545</v>
      </c>
      <c r="X43" s="71">
        <f t="shared" si="24"/>
        <v>1397.4745282406871</v>
      </c>
      <c r="Y43" s="470">
        <f t="shared" si="25"/>
        <v>48.108552420803747</v>
      </c>
      <c r="Z43" s="470">
        <f t="shared" si="25"/>
        <v>293.38898084597508</v>
      </c>
      <c r="AA43" s="466">
        <f>IF(SUM(AA$11:AA42)&gt;0,0,IF(SUM(X43-R43)&gt;0,B43,0))</f>
        <v>0</v>
      </c>
      <c r="AB43" s="471">
        <f>ABS(Z43)*1000000/SUM(U$12:U43)</f>
        <v>412.99556712830525</v>
      </c>
      <c r="AH43" s="52">
        <f t="shared" si="21"/>
        <v>2038</v>
      </c>
      <c r="AI43" s="53">
        <f>Rates!B36</f>
        <v>2054.5481966845578</v>
      </c>
      <c r="AK43" s="52">
        <f t="shared" si="22"/>
        <v>2038</v>
      </c>
      <c r="AL43" s="165">
        <f>Rates!E36</f>
        <v>3.5999999999999997E-2</v>
      </c>
      <c r="AM43" s="53">
        <f>Rates!F36</f>
        <v>2054.5481966845578</v>
      </c>
      <c r="AN43" s="54">
        <f>Rates!G36</f>
        <v>1614.2878688235812</v>
      </c>
      <c r="AP43" s="48">
        <f t="shared" si="9"/>
        <v>2049</v>
      </c>
      <c r="AQ43" s="78">
        <f t="shared" si="0"/>
        <v>0</v>
      </c>
      <c r="AS43" s="133">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5">
        <f t="shared" si="14"/>
        <v>2050</v>
      </c>
      <c r="C44" s="695">
        <v>0</v>
      </c>
      <c r="D44" s="695">
        <f>'Area Summary'!$E$44</f>
        <v>11.234676200331869</v>
      </c>
      <c r="E44" s="64">
        <f t="shared" si="15"/>
        <v>0.65700000000000003</v>
      </c>
      <c r="F44" s="64">
        <f t="shared" si="16"/>
        <v>0</v>
      </c>
      <c r="G44" s="84">
        <f t="shared" si="17"/>
        <v>28.930220949180502</v>
      </c>
      <c r="H44" s="65">
        <f t="shared" si="1"/>
        <v>2.3047945966776844</v>
      </c>
      <c r="I44" s="64">
        <f t="shared" si="2"/>
        <v>0</v>
      </c>
      <c r="J44" s="84">
        <f t="shared" si="3"/>
        <v>28.930220949180502</v>
      </c>
      <c r="K44" s="65">
        <f t="shared" si="3"/>
        <v>2.3047945966776844</v>
      </c>
      <c r="L44" s="64">
        <f t="shared" si="4"/>
        <v>0</v>
      </c>
      <c r="M44" s="72">
        <f t="shared" si="5"/>
        <v>0</v>
      </c>
      <c r="N44" s="72">
        <f t="shared" si="6"/>
        <v>0</v>
      </c>
      <c r="O44" s="64">
        <f t="shared" si="18"/>
        <v>0</v>
      </c>
      <c r="P44" s="84">
        <f t="shared" si="7"/>
        <v>0</v>
      </c>
      <c r="Q44" s="84">
        <f t="shared" si="19"/>
        <v>31.235015545858186</v>
      </c>
      <c r="R44" s="73">
        <f t="shared" si="20"/>
        <v>1135.3205629405702</v>
      </c>
      <c r="S44" s="694">
        <f>IF(NOT(EXACT(A44, "MP Complete")), INDEX(MP_new!$A$4:$J$9, MATCH(Step3!A44 - 1, MP_new!$A$4:$A$9, 0), 7), S42)</f>
        <v>48544.957141362807</v>
      </c>
      <c r="T44" s="693">
        <f>IF(EXACT($Q$5, "Yes"), IF(NOT(EXACT(A44, "MP Complete")), INDEX(MP_new!$A$4:$J$9, MATCH(Step3!A44, MP_new!$A$4:$A$9, 0), 10), T42), 0)</f>
        <v>9000</v>
      </c>
      <c r="U44" s="6">
        <f>('NPV Summary'!$B$16-S44)+T44</f>
        <v>25864.882970329993</v>
      </c>
      <c r="V44" s="6">
        <f>LOOKUP(B44,Rates!$A$5:$B$168)</f>
        <v>3140.7502176337553</v>
      </c>
      <c r="W44" s="72">
        <f t="shared" si="8"/>
        <v>81.23513681813553</v>
      </c>
      <c r="X44" s="73">
        <f t="shared" si="24"/>
        <v>1478.7096650588226</v>
      </c>
      <c r="Y44" s="20">
        <f t="shared" si="25"/>
        <v>50.00012127227734</v>
      </c>
      <c r="Z44" s="20">
        <f t="shared" si="25"/>
        <v>343.38910211825237</v>
      </c>
      <c r="AA44" s="468">
        <f>IF(SUM(AA$11:AA43)&gt;0,0,IF(SUM(X44-R44)&gt;0,B44,0))</f>
        <v>0</v>
      </c>
      <c r="AB44" s="171">
        <f>ABS(Z44)*1000000/SUM(U$12:U44)</f>
        <v>466.39813615442813</v>
      </c>
      <c r="AH44" s="55">
        <f t="shared" si="21"/>
        <v>2039</v>
      </c>
      <c r="AI44" s="8">
        <f>Rates!B37</f>
        <v>2128.511931765202</v>
      </c>
      <c r="AK44" s="55">
        <f t="shared" si="22"/>
        <v>2039</v>
      </c>
      <c r="AL44" s="164">
        <f>Rates!E37</f>
        <v>3.5999999999999997E-2</v>
      </c>
      <c r="AM44" s="8">
        <f>Rates!F37</f>
        <v>2128.511931765202</v>
      </c>
      <c r="AN44" s="15">
        <f>Rates!G37</f>
        <v>1672.4022321012301</v>
      </c>
      <c r="AP44" s="16">
        <f t="shared" si="9"/>
        <v>2050</v>
      </c>
      <c r="AQ44" s="77">
        <f t="shared" si="0"/>
        <v>0</v>
      </c>
      <c r="AS44" s="136">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4">
        <f t="shared" si="14"/>
        <v>2051</v>
      </c>
      <c r="C45" s="695">
        <v>0</v>
      </c>
      <c r="D45" s="695">
        <f>'Area Summary'!$E$44</f>
        <v>11.234676200331869</v>
      </c>
      <c r="E45" s="66">
        <f t="shared" si="15"/>
        <v>0.65700000000000003</v>
      </c>
      <c r="F45" s="66">
        <f t="shared" si="16"/>
        <v>0</v>
      </c>
      <c r="G45" s="67">
        <f t="shared" si="17"/>
        <v>29.798127577655919</v>
      </c>
      <c r="H45" s="68">
        <f t="shared" si="1"/>
        <v>2.3969863805447917</v>
      </c>
      <c r="I45" s="66">
        <f t="shared" si="2"/>
        <v>0</v>
      </c>
      <c r="J45" s="67">
        <f t="shared" si="3"/>
        <v>29.798127577655919</v>
      </c>
      <c r="K45" s="68">
        <f t="shared" si="3"/>
        <v>2.3969863805447917</v>
      </c>
      <c r="L45" s="66">
        <f t="shared" si="4"/>
        <v>0</v>
      </c>
      <c r="M45" s="70">
        <f t="shared" si="5"/>
        <v>0</v>
      </c>
      <c r="N45" s="70">
        <f t="shared" si="6"/>
        <v>0</v>
      </c>
      <c r="O45" s="66">
        <f t="shared" si="18"/>
        <v>0</v>
      </c>
      <c r="P45" s="67">
        <f t="shared" si="7"/>
        <v>0</v>
      </c>
      <c r="Q45" s="67">
        <f t="shared" si="19"/>
        <v>32.195113958200707</v>
      </c>
      <c r="R45" s="71">
        <f t="shared" si="20"/>
        <v>1167.5156768987708</v>
      </c>
      <c r="S45" s="694">
        <f>IF(NOT(EXACT(A45, "MP Complete")), INDEX(MP_new!$A$4:$J$9, MATCH(Step3!A45 - 1, MP_new!$A$4:$A$9, 0), 7), S43)</f>
        <v>48544.957141362807</v>
      </c>
      <c r="T45" s="693">
        <f>IF(EXACT($Q$5, "Yes"), IF(NOT(EXACT(A45, "MP Complete")), INDEX(MP_new!$A$4:$J$9, MATCH(Step3!A45, MP_new!$A$4:$A$9, 0), 10), T43), 0)</f>
        <v>9000</v>
      </c>
      <c r="U45" s="82">
        <f>('NPV Summary'!$B$16-S45)+T45</f>
        <v>25864.882970329993</v>
      </c>
      <c r="V45" s="82">
        <f>LOOKUP(B45,Rates!$A$5:$B$168)</f>
        <v>3253.8172254685705</v>
      </c>
      <c r="W45" s="70">
        <f t="shared" si="8"/>
        <v>84.159601743588411</v>
      </c>
      <c r="X45" s="71">
        <f t="shared" si="24"/>
        <v>1562.8692668024109</v>
      </c>
      <c r="Y45" s="470">
        <f t="shared" si="25"/>
        <v>51.964487785387703</v>
      </c>
      <c r="Z45" s="470">
        <f t="shared" si="25"/>
        <v>395.35358990364011</v>
      </c>
      <c r="AA45" s="466">
        <f>IF(SUM(AA$11:AA44)&gt;0,0,IF(SUM(X45-R45)&gt;0,B45,0))</f>
        <v>0</v>
      </c>
      <c r="AB45" s="471">
        <f>ABS(Z45)*1000000/SUM(U$12:U45)</f>
        <v>518.7534508889928</v>
      </c>
      <c r="AH45" s="52">
        <f t="shared" si="21"/>
        <v>2040</v>
      </c>
      <c r="AI45" s="53">
        <f>Rates!B38</f>
        <v>2205.1383613087492</v>
      </c>
      <c r="AK45" s="52">
        <f t="shared" si="22"/>
        <v>2040</v>
      </c>
      <c r="AL45" s="165">
        <f>Rates!E38</f>
        <v>3.5999999999999997E-2</v>
      </c>
      <c r="AM45" s="53">
        <f>Rates!F38</f>
        <v>2205.1383613087492</v>
      </c>
      <c r="AN45" s="54">
        <f>Rates!G38</f>
        <v>1732.6087124568744</v>
      </c>
      <c r="AP45" s="48">
        <f t="shared" si="9"/>
        <v>2051</v>
      </c>
      <c r="AQ45" s="78">
        <f t="shared" si="0"/>
        <v>0</v>
      </c>
      <c r="AS45" s="133">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5">
        <f t="shared" si="14"/>
        <v>2052</v>
      </c>
      <c r="C46" s="695">
        <v>0</v>
      </c>
      <c r="D46" s="695">
        <f>'Area Summary'!$E$44</f>
        <v>11.234676200331869</v>
      </c>
      <c r="E46" s="64">
        <f t="shared" si="15"/>
        <v>0.65700000000000003</v>
      </c>
      <c r="F46" s="64">
        <f t="shared" si="16"/>
        <v>0</v>
      </c>
      <c r="G46" s="84">
        <f t="shared" si="17"/>
        <v>30.69207140498559</v>
      </c>
      <c r="H46" s="65">
        <f t="shared" si="1"/>
        <v>2.4928658357665836</v>
      </c>
      <c r="I46" s="64">
        <f t="shared" si="2"/>
        <v>0</v>
      </c>
      <c r="J46" s="84">
        <f t="shared" si="3"/>
        <v>30.69207140498559</v>
      </c>
      <c r="K46" s="65">
        <f t="shared" si="3"/>
        <v>2.4928658357665836</v>
      </c>
      <c r="L46" s="64">
        <f t="shared" si="4"/>
        <v>0</v>
      </c>
      <c r="M46" s="72">
        <f t="shared" si="5"/>
        <v>0</v>
      </c>
      <c r="N46" s="72">
        <f t="shared" si="6"/>
        <v>0</v>
      </c>
      <c r="O46" s="64">
        <f t="shared" si="18"/>
        <v>0</v>
      </c>
      <c r="P46" s="84">
        <f t="shared" si="7"/>
        <v>0</v>
      </c>
      <c r="Q46" s="84">
        <f t="shared" si="19"/>
        <v>33.184937240752177</v>
      </c>
      <c r="R46" s="73">
        <f t="shared" si="20"/>
        <v>1200.7006141395229</v>
      </c>
      <c r="S46" s="694">
        <f>IF(NOT(EXACT(A46, "MP Complete")), INDEX(MP_new!$A$4:$J$9, MATCH(Step3!A46 - 1, MP_new!$A$4:$A$9, 0), 7), S44)</f>
        <v>48544.957141362807</v>
      </c>
      <c r="T46" s="693">
        <f>IF(EXACT($Q$5, "Yes"), IF(NOT(EXACT(A46, "MP Complete")), INDEX(MP_new!$A$4:$J$9, MATCH(Step3!A46, MP_new!$A$4:$A$9, 0), 10), T44), 0)</f>
        <v>9000</v>
      </c>
      <c r="U46" s="6">
        <f>('NPV Summary'!$B$16-S46)+T46</f>
        <v>25864.882970329993</v>
      </c>
      <c r="V46" s="6">
        <f>LOOKUP(B46,Rates!$A$5:$B$168)</f>
        <v>3370.9546455854393</v>
      </c>
      <c r="W46" s="72">
        <f t="shared" si="8"/>
        <v>87.189347406357598</v>
      </c>
      <c r="X46" s="73">
        <f t="shared" si="24"/>
        <v>1650.0586142087686</v>
      </c>
      <c r="Y46" s="20">
        <f t="shared" si="25"/>
        <v>54.004410165605421</v>
      </c>
      <c r="Z46" s="20">
        <f t="shared" si="25"/>
        <v>449.35800006924569</v>
      </c>
      <c r="AA46" s="465">
        <f>IF(SUM(AA$11:AA45)&gt;0,0,IF(SUM(X46-R46)&gt;0,B46,0))</f>
        <v>0</v>
      </c>
      <c r="AB46" s="171">
        <f>ABS(Z46)*1000000/SUM(U$12:U46)</f>
        <v>570.26052115491711</v>
      </c>
      <c r="AH46" s="55">
        <f t="shared" si="21"/>
        <v>2041</v>
      </c>
      <c r="AI46" s="8">
        <f>Rates!B39</f>
        <v>2284.5233423158643</v>
      </c>
      <c r="AK46" s="55">
        <f t="shared" si="22"/>
        <v>2041</v>
      </c>
      <c r="AL46" s="164">
        <f>Rates!E39</f>
        <v>3.5999999999999997E-2</v>
      </c>
      <c r="AM46" s="8">
        <f>Rates!F39</f>
        <v>2284.5233423158643</v>
      </c>
      <c r="AN46" s="15">
        <f>Rates!G39</f>
        <v>1794.982626105322</v>
      </c>
      <c r="AP46" s="16">
        <f t="shared" si="9"/>
        <v>2052</v>
      </c>
      <c r="AQ46" s="77">
        <f t="shared" si="0"/>
        <v>0</v>
      </c>
      <c r="AS46" s="136">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4">
        <f t="shared" si="14"/>
        <v>2053</v>
      </c>
      <c r="C47" s="695">
        <v>0</v>
      </c>
      <c r="D47" s="695">
        <f>'Area Summary'!$E$44</f>
        <v>11.234676200331869</v>
      </c>
      <c r="E47" s="66">
        <f t="shared" si="15"/>
        <v>0.65700000000000003</v>
      </c>
      <c r="F47" s="66">
        <f t="shared" si="16"/>
        <v>0</v>
      </c>
      <c r="G47" s="67">
        <f t="shared" si="17"/>
        <v>31.612833547135164</v>
      </c>
      <c r="H47" s="68">
        <f t="shared" si="1"/>
        <v>2.5925804691972472</v>
      </c>
      <c r="I47" s="66">
        <f t="shared" si="2"/>
        <v>0</v>
      </c>
      <c r="J47" s="67">
        <f t="shared" si="3"/>
        <v>31.612833547135164</v>
      </c>
      <c r="K47" s="68">
        <f t="shared" si="3"/>
        <v>2.5925804691972472</v>
      </c>
      <c r="L47" s="66">
        <f t="shared" si="4"/>
        <v>0</v>
      </c>
      <c r="M47" s="70">
        <f t="shared" si="5"/>
        <v>0</v>
      </c>
      <c r="N47" s="70">
        <f t="shared" si="6"/>
        <v>0</v>
      </c>
      <c r="O47" s="66">
        <f t="shared" si="18"/>
        <v>0</v>
      </c>
      <c r="P47" s="67">
        <f t="shared" si="7"/>
        <v>0</v>
      </c>
      <c r="Q47" s="67">
        <f t="shared" si="19"/>
        <v>34.205414016332412</v>
      </c>
      <c r="R47" s="71">
        <f t="shared" si="20"/>
        <v>1234.9060281558554</v>
      </c>
      <c r="S47" s="694">
        <f>IF(NOT(EXACT(A47, "MP Complete")), INDEX(MP_new!$A$4:$J$9, MATCH(Step3!A47 - 1, MP_new!$A$4:$A$9, 0), 7), S45)</f>
        <v>48544.957141362807</v>
      </c>
      <c r="T47" s="693">
        <f>IF(EXACT($Q$5, "Yes"), IF(NOT(EXACT(A47, "MP Complete")), INDEX(MP_new!$A$4:$J$9, MATCH(Step3!A47, MP_new!$A$4:$A$9, 0), 10), T45), 0)</f>
        <v>9000</v>
      </c>
      <c r="U47" s="82">
        <f>('NPV Summary'!$B$16-S47)+T47</f>
        <v>25864.882970329993</v>
      </c>
      <c r="V47" s="82">
        <f>LOOKUP(B47,Rates!$A$5:$B$168)</f>
        <v>3492.3090128265153</v>
      </c>
      <c r="W47" s="70">
        <f t="shared" si="8"/>
        <v>90.328163912986483</v>
      </c>
      <c r="X47" s="71">
        <f t="shared" si="24"/>
        <v>1740.386778121755</v>
      </c>
      <c r="Y47" s="470">
        <f t="shared" si="25"/>
        <v>56.122749896654071</v>
      </c>
      <c r="Z47" s="470">
        <f t="shared" si="25"/>
        <v>505.48074996589958</v>
      </c>
      <c r="AA47" s="469">
        <f>IF(SUM(AA$11:AA46)&gt;0,0,IF(SUM(X47-R47)&gt;0,B47,0))</f>
        <v>0</v>
      </c>
      <c r="AB47" s="471">
        <f>ABS(Z47)*1000000/SUM(U$12:U47)</f>
        <v>621.09657397277272</v>
      </c>
      <c r="AC47">
        <f>R47*1000000/SUM(U$12:U47)</f>
        <v>1517.3592729647346</v>
      </c>
      <c r="AH47" s="52">
        <f t="shared" si="21"/>
        <v>2042</v>
      </c>
      <c r="AI47" s="53">
        <f>Rates!B40</f>
        <v>2366.7661826392355</v>
      </c>
      <c r="AK47" s="52">
        <f t="shared" si="22"/>
        <v>2042</v>
      </c>
      <c r="AL47" s="165">
        <f>Rates!E40</f>
        <v>3.5999999999999997E-2</v>
      </c>
      <c r="AM47" s="53">
        <f>Rates!F40</f>
        <v>2366.7661826392355</v>
      </c>
      <c r="AN47" s="54">
        <f>Rates!G40</f>
        <v>1859.6020006451135</v>
      </c>
      <c r="AP47" s="48">
        <f t="shared" si="9"/>
        <v>2053</v>
      </c>
      <c r="AQ47" s="78">
        <f t="shared" si="0"/>
        <v>0</v>
      </c>
      <c r="AS47" s="133">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5">
        <f t="shared" si="14"/>
        <v>2054</v>
      </c>
      <c r="C48" s="695">
        <v>0</v>
      </c>
      <c r="D48" s="695">
        <f>'Area Summary'!$E$44</f>
        <v>11.234676200331869</v>
      </c>
      <c r="E48" s="64">
        <f t="shared" si="15"/>
        <v>0.65700000000000003</v>
      </c>
      <c r="F48" s="64">
        <f t="shared" si="16"/>
        <v>0</v>
      </c>
      <c r="G48" s="84">
        <f t="shared" si="17"/>
        <v>32.561218553549217</v>
      </c>
      <c r="H48" s="65">
        <f t="shared" si="1"/>
        <v>2.6962836879651366</v>
      </c>
      <c r="I48" s="64">
        <f t="shared" si="2"/>
        <v>0</v>
      </c>
      <c r="J48" s="84">
        <f t="shared" si="3"/>
        <v>32.561218553549217</v>
      </c>
      <c r="K48" s="65">
        <f t="shared" si="3"/>
        <v>2.6962836879651366</v>
      </c>
      <c r="L48" s="64">
        <f t="shared" si="4"/>
        <v>0</v>
      </c>
      <c r="M48" s="72">
        <f t="shared" si="5"/>
        <v>0</v>
      </c>
      <c r="N48" s="72">
        <f t="shared" si="6"/>
        <v>0</v>
      </c>
      <c r="O48" s="64">
        <f t="shared" si="18"/>
        <v>0</v>
      </c>
      <c r="P48" s="84">
        <f t="shared" si="7"/>
        <v>0</v>
      </c>
      <c r="Q48" s="84">
        <f t="shared" si="19"/>
        <v>35.257502241514352</v>
      </c>
      <c r="R48" s="73">
        <f t="shared" si="20"/>
        <v>1270.1635303973699</v>
      </c>
      <c r="S48" s="694">
        <f>IF(NOT(EXACT(A48, "MP Complete")), INDEX(MP_new!$A$4:$J$9, MATCH(Step3!A48 - 1, MP_new!$A$4:$A$9, 0), 7), S46)</f>
        <v>48544.957141362807</v>
      </c>
      <c r="T48" s="693">
        <f>IF(EXACT($Q$5, "Yes"), IF(NOT(EXACT(A48, "MP Complete")), INDEX(MP_new!$A$4:$J$9, MATCH(Step3!A48, MP_new!$A$4:$A$9, 0), 10), T46), 0)</f>
        <v>9000</v>
      </c>
      <c r="U48" s="6">
        <f>('NPV Summary'!$B$16-S48)+T48</f>
        <v>25864.882970329993</v>
      </c>
      <c r="V48" s="6">
        <f>LOOKUP(B48,Rates!$A$5:$B$168)</f>
        <v>3618.03213728827</v>
      </c>
      <c r="W48" s="72">
        <f t="shared" si="8"/>
        <v>93.579977813854001</v>
      </c>
      <c r="X48" s="73">
        <f t="shared" si="24"/>
        <v>1833.9667559356089</v>
      </c>
      <c r="Y48" s="20">
        <f t="shared" si="25"/>
        <v>58.322475572339648</v>
      </c>
      <c r="Z48" s="20">
        <f t="shared" si="25"/>
        <v>563.80322553823908</v>
      </c>
      <c r="AA48" s="468">
        <f>IF(SUM(AA$11:AA47)&gt;0,0,IF(SUM(X48-R48)&gt;0,B48,0))</f>
        <v>0</v>
      </c>
      <c r="AB48" s="171">
        <f>ABS(Z48)*1000000/SUM(U$12:U48)</f>
        <v>671.42053587484645</v>
      </c>
      <c r="AH48" s="55">
        <f t="shared" si="21"/>
        <v>2043</v>
      </c>
      <c r="AI48" s="8">
        <f>Rates!B41</f>
        <v>2451.9697652142481</v>
      </c>
      <c r="AK48" s="55">
        <f t="shared" si="22"/>
        <v>2043</v>
      </c>
      <c r="AL48" s="164">
        <f>Rates!E41</f>
        <v>3.5999999999999997E-2</v>
      </c>
      <c r="AM48" s="8">
        <f>Rates!F41</f>
        <v>2451.9697652142481</v>
      </c>
      <c r="AN48" s="15">
        <f>Rates!G41</f>
        <v>1926.5476726683378</v>
      </c>
      <c r="AP48" s="16">
        <f t="shared" si="9"/>
        <v>2054</v>
      </c>
      <c r="AQ48" s="77">
        <f t="shared" si="0"/>
        <v>0</v>
      </c>
      <c r="AS48" s="136">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4">
        <f t="shared" si="14"/>
        <v>2055</v>
      </c>
      <c r="C49" s="695">
        <v>0</v>
      </c>
      <c r="D49" s="695">
        <f>'Area Summary'!$E$44</f>
        <v>11.234676200331869</v>
      </c>
      <c r="E49" s="66">
        <f t="shared" si="15"/>
        <v>0.65700000000000003</v>
      </c>
      <c r="F49" s="66">
        <f t="shared" si="16"/>
        <v>0</v>
      </c>
      <c r="G49" s="67">
        <f t="shared" si="17"/>
        <v>33.538055110155689</v>
      </c>
      <c r="H49" s="68">
        <f t="shared" si="1"/>
        <v>2.8041350354837431</v>
      </c>
      <c r="I49" s="66">
        <f t="shared" si="2"/>
        <v>0</v>
      </c>
      <c r="J49" s="67">
        <f t="shared" si="3"/>
        <v>33.538055110155689</v>
      </c>
      <c r="K49" s="68">
        <f t="shared" si="3"/>
        <v>2.8041350354837431</v>
      </c>
      <c r="L49" s="66">
        <f t="shared" si="4"/>
        <v>0</v>
      </c>
      <c r="M49" s="70">
        <f t="shared" si="5"/>
        <v>0</v>
      </c>
      <c r="N49" s="70">
        <f t="shared" si="6"/>
        <v>0</v>
      </c>
      <c r="O49" s="66">
        <f t="shared" si="18"/>
        <v>0</v>
      </c>
      <c r="P49" s="67">
        <f t="shared" si="7"/>
        <v>0</v>
      </c>
      <c r="Q49" s="67">
        <f t="shared" si="19"/>
        <v>36.342190145639435</v>
      </c>
      <c r="R49" s="71">
        <f t="shared" si="20"/>
        <v>1306.5057205430094</v>
      </c>
      <c r="S49" s="694">
        <f>IF(NOT(EXACT(A49, "MP Complete")), INDEX(MP_new!$A$4:$J$9, MATCH(Step3!A49 - 1, MP_new!$A$4:$A$9, 0), 7), S47)</f>
        <v>48544.957141362807</v>
      </c>
      <c r="T49" s="693">
        <f>IF(EXACT($Q$5, "Yes"), IF(NOT(EXACT(A49, "MP Complete")), INDEX(MP_new!$A$4:$J$9, MATCH(Step3!A49, MP_new!$A$4:$A$9, 0), 10), T47), 0)</f>
        <v>9000</v>
      </c>
      <c r="U49" s="82">
        <f>('NPV Summary'!$B$16-S49)+T49</f>
        <v>25864.882970329993</v>
      </c>
      <c r="V49" s="82">
        <f>LOOKUP(B49,Rates!$A$5:$B$168)</f>
        <v>3748.2812942306477</v>
      </c>
      <c r="W49" s="70">
        <f t="shared" si="8"/>
        <v>96.948857015152754</v>
      </c>
      <c r="X49" s="71">
        <f t="shared" si="24"/>
        <v>1930.9156129507617</v>
      </c>
      <c r="Y49" s="470">
        <f t="shared" si="25"/>
        <v>60.606666869513319</v>
      </c>
      <c r="Z49" s="470">
        <f t="shared" si="25"/>
        <v>624.4098924077523</v>
      </c>
      <c r="AA49" s="466">
        <f>IF(SUM(AA$11:AA48)&gt;0,0,IF(SUM(X49-R49)&gt;0,B49,0))</f>
        <v>0</v>
      </c>
      <c r="AB49" s="471">
        <f>ABS(Z49)*1000000/SUM(U$12:U49)</f>
        <v>721.37589546856157</v>
      </c>
      <c r="AH49" s="52">
        <f t="shared" si="21"/>
        <v>2044</v>
      </c>
      <c r="AI49" s="53">
        <f>Rates!B42</f>
        <v>2540.2406767619609</v>
      </c>
      <c r="AK49" s="52">
        <f t="shared" si="22"/>
        <v>2044</v>
      </c>
      <c r="AL49" s="165">
        <f>Rates!E42</f>
        <v>3.5999999999999997E-2</v>
      </c>
      <c r="AM49" s="53">
        <f>Rates!F42</f>
        <v>2540.2406767619609</v>
      </c>
      <c r="AN49" s="54">
        <f>Rates!G42</f>
        <v>1995.9033888843981</v>
      </c>
      <c r="AP49" s="48">
        <f t="shared" si="9"/>
        <v>2055</v>
      </c>
      <c r="AQ49" s="78">
        <f t="shared" si="0"/>
        <v>0</v>
      </c>
      <c r="AS49" s="133">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5">
        <f>B49+1</f>
        <v>2056</v>
      </c>
      <c r="C50" s="695">
        <v>0</v>
      </c>
      <c r="D50" s="695">
        <f>'Area Summary'!$E$44</f>
        <v>11.234676200331869</v>
      </c>
      <c r="E50" s="64">
        <f t="shared" si="15"/>
        <v>0.65700000000000003</v>
      </c>
      <c r="F50" s="64">
        <f t="shared" si="16"/>
        <v>0</v>
      </c>
      <c r="G50" s="84">
        <f t="shared" si="17"/>
        <v>34.544196763460356</v>
      </c>
      <c r="H50" s="65">
        <f t="shared" si="1"/>
        <v>2.916300436903092</v>
      </c>
      <c r="I50" s="64">
        <f t="shared" si="2"/>
        <v>0</v>
      </c>
      <c r="J50" s="84">
        <f t="shared" si="3"/>
        <v>34.544196763460356</v>
      </c>
      <c r="K50" s="65">
        <f t="shared" si="3"/>
        <v>2.916300436903092</v>
      </c>
      <c r="L50" s="64">
        <f t="shared" si="4"/>
        <v>0</v>
      </c>
      <c r="M50" s="72">
        <f t="shared" si="5"/>
        <v>0</v>
      </c>
      <c r="N50" s="72">
        <f t="shared" si="6"/>
        <v>0</v>
      </c>
      <c r="O50" s="64">
        <f>IF($L$5="Yes", IF( U50&gt;U49, (U50-U49)*$M$5/1000000,0),0)</f>
        <v>0</v>
      </c>
      <c r="P50" s="84">
        <f t="shared" si="7"/>
        <v>0</v>
      </c>
      <c r="Q50" s="84">
        <f t="shared" si="19"/>
        <v>37.460497200363449</v>
      </c>
      <c r="R50" s="73">
        <f>R49+Q50</f>
        <v>1343.9662177433729</v>
      </c>
      <c r="S50" s="694">
        <f>IF(NOT(EXACT(A50, "MP Complete")), INDEX(MP_new!$A$4:$J$9, MATCH(Step3!A50 - 1, MP_new!$A$4:$A$9, 0), 7), S48)</f>
        <v>48544.957141362807</v>
      </c>
      <c r="T50" s="693">
        <f>IF(EXACT($Q$5, "Yes"), IF(NOT(EXACT(A50, "MP Complete")), INDEX(MP_new!$A$4:$J$9, MATCH(Step3!A50, MP_new!$A$4:$A$9, 0), 10), T48), 0)</f>
        <v>9000</v>
      </c>
      <c r="U50" s="6">
        <f>('NPV Summary'!$B$16-S50)+T50</f>
        <v>25864.882970329993</v>
      </c>
      <c r="V50" s="6">
        <f>LOOKUP(B50,Rates!$A$5:$B$168)</f>
        <v>3883.2194208229512</v>
      </c>
      <c r="W50" s="72">
        <f t="shared" si="8"/>
        <v>100.43901586769825</v>
      </c>
      <c r="X50" s="73">
        <f>X49+W50</f>
        <v>2031.35462881846</v>
      </c>
      <c r="Y50" s="20">
        <f t="shared" si="25"/>
        <v>62.978518667334797</v>
      </c>
      <c r="Z50" s="20">
        <f t="shared" si="25"/>
        <v>687.38841107508711</v>
      </c>
      <c r="AA50" s="465">
        <f>IF(SUM(AA$11:AA49)&gt;0,0,IF(SUM(X50-R50)&gt;0,B50,0))</f>
        <v>0</v>
      </c>
      <c r="AB50" s="171">
        <f>ABS(Z50)*1000000/SUM(U$12:U50)</f>
        <v>771.09307228567172</v>
      </c>
      <c r="AH50" s="55">
        <f>AH49+1</f>
        <v>2045</v>
      </c>
      <c r="AI50" s="8">
        <f>Rates!B43</f>
        <v>2631.6893411253914</v>
      </c>
      <c r="AK50" s="55">
        <f>AK49+1</f>
        <v>2045</v>
      </c>
      <c r="AL50" s="164">
        <f>Rates!E43</f>
        <v>3.5999999999999997E-2</v>
      </c>
      <c r="AM50" s="8">
        <f>Rates!F43</f>
        <v>2631.6893411253914</v>
      </c>
      <c r="AN50" s="15">
        <f>Rates!G43</f>
        <v>2067.7559108842365</v>
      </c>
      <c r="AP50" s="16">
        <f t="shared" si="9"/>
        <v>2056</v>
      </c>
      <c r="AQ50" s="77">
        <f t="shared" si="0"/>
        <v>0</v>
      </c>
      <c r="AS50" s="136">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4">
        <f t="shared" si="14"/>
        <v>2057</v>
      </c>
      <c r="C51" s="695">
        <v>0</v>
      </c>
      <c r="D51" s="695">
        <f>'Area Summary'!$E$44</f>
        <v>11.234676200331869</v>
      </c>
      <c r="E51" s="66">
        <f t="shared" si="15"/>
        <v>0.65700000000000003</v>
      </c>
      <c r="F51" s="66">
        <f t="shared" si="16"/>
        <v>0</v>
      </c>
      <c r="G51" s="67">
        <f t="shared" si="17"/>
        <v>35.580522666364175</v>
      </c>
      <c r="H51" s="68">
        <f t="shared" si="1"/>
        <v>3.0329524543792159</v>
      </c>
      <c r="I51" s="66">
        <f t="shared" si="2"/>
        <v>0</v>
      </c>
      <c r="J51" s="67">
        <f t="shared" si="3"/>
        <v>35.580522666364175</v>
      </c>
      <c r="K51" s="68">
        <f t="shared" si="3"/>
        <v>3.0329524543792159</v>
      </c>
      <c r="L51" s="66">
        <f t="shared" si="4"/>
        <v>0</v>
      </c>
      <c r="M51" s="70">
        <f t="shared" si="5"/>
        <v>0</v>
      </c>
      <c r="N51" s="70">
        <f t="shared" si="6"/>
        <v>0</v>
      </c>
      <c r="O51" s="66">
        <f t="shared" si="18"/>
        <v>0</v>
      </c>
      <c r="P51" s="67">
        <f t="shared" si="7"/>
        <v>0</v>
      </c>
      <c r="Q51" s="67">
        <f t="shared" si="19"/>
        <v>38.613475120743388</v>
      </c>
      <c r="R51" s="71">
        <f t="shared" si="20"/>
        <v>1382.5796928641164</v>
      </c>
      <c r="S51" s="694">
        <f>IF(NOT(EXACT(A51, "MP Complete")), INDEX(MP_new!$A$4:$J$9, MATCH(Step3!A51 - 1, MP_new!$A$4:$A$9, 0), 7), S49)</f>
        <v>48544.957141362807</v>
      </c>
      <c r="T51" s="693">
        <f>IF(EXACT($Q$5, "Yes"), IF(NOT(EXACT(A51, "MP Complete")), INDEX(MP_new!$A$4:$J$9, MATCH(Step3!A51, MP_new!$A$4:$A$9, 0), 10), T49), 0)</f>
        <v>9000</v>
      </c>
      <c r="U51" s="82">
        <f>('NPV Summary'!$B$16-S51)+T51</f>
        <v>25864.882970329993</v>
      </c>
      <c r="V51" s="82">
        <f>LOOKUP(B51,Rates!$A$5:$B$168)</f>
        <v>4023.0153199725773</v>
      </c>
      <c r="W51" s="70">
        <f t="shared" si="8"/>
        <v>104.05482043893538</v>
      </c>
      <c r="X51" s="74">
        <f t="shared" si="24"/>
        <v>2135.4094492573954</v>
      </c>
      <c r="Y51" s="470">
        <f t="shared" si="25"/>
        <v>65.441345318191992</v>
      </c>
      <c r="Z51" s="470">
        <f t="shared" si="25"/>
        <v>752.82975639327901</v>
      </c>
      <c r="AA51" s="466">
        <f>IF(SUM(AA$11:AA50)&gt;0,0,IF(SUM(X51-R51)&gt;0,B51,0))</f>
        <v>0</v>
      </c>
      <c r="AB51" s="471">
        <f>ABS(Z51)*1000000/SUM(U$12:U51)</f>
        <v>820.69138952928824</v>
      </c>
      <c r="AH51" s="52">
        <f t="shared" si="21"/>
        <v>2046</v>
      </c>
      <c r="AI51" s="53">
        <f>Rates!B44</f>
        <v>2726.4301574059054</v>
      </c>
      <c r="AK51" s="52">
        <f t="shared" si="22"/>
        <v>2046</v>
      </c>
      <c r="AL51" s="165">
        <f>Rates!E44</f>
        <v>3.5999999999999997E-2</v>
      </c>
      <c r="AM51" s="53">
        <f>Rates!F44</f>
        <v>2726.4301574059054</v>
      </c>
      <c r="AN51" s="54">
        <f>Rates!G44</f>
        <v>2142.1951236760692</v>
      </c>
      <c r="AP51" s="48">
        <f t="shared" si="9"/>
        <v>2057</v>
      </c>
      <c r="AQ51" s="78">
        <f t="shared" si="0"/>
        <v>0</v>
      </c>
      <c r="AS51" s="133">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5">
        <f t="shared" si="14"/>
        <v>2058</v>
      </c>
      <c r="C52" s="695">
        <v>0</v>
      </c>
      <c r="D52" s="695">
        <f>'Area Summary'!$E$44</f>
        <v>11.234676200331869</v>
      </c>
      <c r="E52" s="64">
        <f t="shared" si="15"/>
        <v>0.65700000000000003</v>
      </c>
      <c r="F52" s="64">
        <f t="shared" si="16"/>
        <v>0</v>
      </c>
      <c r="G52" s="84">
        <f t="shared" si="17"/>
        <v>36.64793834635509</v>
      </c>
      <c r="H52" s="65">
        <f t="shared" si="1"/>
        <v>3.1542705525543853</v>
      </c>
      <c r="I52" s="64">
        <f t="shared" si="2"/>
        <v>0</v>
      </c>
      <c r="J52" s="84">
        <f t="shared" si="3"/>
        <v>36.64793834635509</v>
      </c>
      <c r="K52" s="65">
        <f t="shared" si="3"/>
        <v>3.1542705525543853</v>
      </c>
      <c r="L52" s="64">
        <f t="shared" si="4"/>
        <v>0</v>
      </c>
      <c r="M52" s="72">
        <f t="shared" si="5"/>
        <v>0</v>
      </c>
      <c r="N52" s="72">
        <f t="shared" si="6"/>
        <v>0</v>
      </c>
      <c r="O52" s="64">
        <f t="shared" si="18"/>
        <v>0</v>
      </c>
      <c r="P52" s="84">
        <f t="shared" si="7"/>
        <v>0</v>
      </c>
      <c r="Q52" s="84">
        <f t="shared" si="19"/>
        <v>39.802208898909477</v>
      </c>
      <c r="R52" s="73">
        <f t="shared" si="20"/>
        <v>1422.3819017630258</v>
      </c>
      <c r="S52" s="694">
        <f>IF(NOT(EXACT(A52, "MP Complete")), INDEX(MP_new!$A$4:$J$9, MATCH(Step3!A52 - 1, MP_new!$A$4:$A$9, 0), 7), S50)</f>
        <v>48544.957141362807</v>
      </c>
      <c r="T52" s="693">
        <f>IF(EXACT($Q$5, "Yes"), IF(NOT(EXACT(A52, "MP Complete")), INDEX(MP_new!$A$4:$J$9, MATCH(Step3!A52, MP_new!$A$4:$A$9, 0), 10), T50), 0)</f>
        <v>9000</v>
      </c>
      <c r="U52" s="6">
        <f>('NPV Summary'!$B$16-S52)+T52</f>
        <v>25864.882970329993</v>
      </c>
      <c r="V52" s="6">
        <f>LOOKUP(B52,Rates!$A$5:$B$168)</f>
        <v>4167.8438714915901</v>
      </c>
      <c r="W52" s="72">
        <f t="shared" si="8"/>
        <v>107.80079397473705</v>
      </c>
      <c r="X52" s="73">
        <f t="shared" si="24"/>
        <v>2243.2102432321326</v>
      </c>
      <c r="Y52" s="20">
        <f t="shared" si="25"/>
        <v>67.998585075827577</v>
      </c>
      <c r="Z52" s="20">
        <f t="shared" si="25"/>
        <v>820.82834146910682</v>
      </c>
      <c r="AA52" s="465">
        <f>IF(SUM(AA$11:AA51)&gt;0,0,IF(SUM(X52-R52)&gt;0,B52,0))</f>
        <v>0</v>
      </c>
      <c r="AB52" s="171">
        <f>ABS(Z52)*1000000/SUM(U$12:U52)</f>
        <v>870.28072692204023</v>
      </c>
      <c r="AH52" s="55">
        <f t="shared" si="21"/>
        <v>2047</v>
      </c>
      <c r="AI52" s="8">
        <f>Rates!B45</f>
        <v>2824.5816430725181</v>
      </c>
      <c r="AK52" s="55">
        <f t="shared" si="22"/>
        <v>2047</v>
      </c>
      <c r="AL52" s="164">
        <f>Rates!E45</f>
        <v>3.5999999999999997E-2</v>
      </c>
      <c r="AM52" s="8">
        <f>Rates!F45</f>
        <v>2824.5816430725181</v>
      </c>
      <c r="AN52" s="15">
        <f>Rates!G45</f>
        <v>2219.3141481284079</v>
      </c>
      <c r="AP52" s="16">
        <f t="shared" si="9"/>
        <v>2058</v>
      </c>
      <c r="AQ52" s="77">
        <f t="shared" si="0"/>
        <v>0</v>
      </c>
      <c r="AS52" s="136">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4">
        <f t="shared" si="14"/>
        <v>2059</v>
      </c>
      <c r="C53" s="695">
        <v>0</v>
      </c>
      <c r="D53" s="695">
        <f>'Area Summary'!$E$44</f>
        <v>11.234676200331869</v>
      </c>
      <c r="E53" s="66">
        <f t="shared" si="15"/>
        <v>0.65700000000000003</v>
      </c>
      <c r="F53" s="66">
        <f t="shared" si="16"/>
        <v>0</v>
      </c>
      <c r="G53" s="67">
        <f t="shared" si="17"/>
        <v>37.747376496745751</v>
      </c>
      <c r="H53" s="68">
        <f t="shared" si="1"/>
        <v>3.2804413746565606</v>
      </c>
      <c r="I53" s="66">
        <f t="shared" si="2"/>
        <v>0</v>
      </c>
      <c r="J53" s="67">
        <f t="shared" si="3"/>
        <v>37.747376496745751</v>
      </c>
      <c r="K53" s="68">
        <f t="shared" si="3"/>
        <v>3.2804413746565606</v>
      </c>
      <c r="L53" s="66">
        <f t="shared" si="4"/>
        <v>0</v>
      </c>
      <c r="M53" s="70">
        <f t="shared" si="5"/>
        <v>0</v>
      </c>
      <c r="N53" s="70">
        <f t="shared" si="6"/>
        <v>0</v>
      </c>
      <c r="O53" s="66">
        <f t="shared" si="18"/>
        <v>0</v>
      </c>
      <c r="P53" s="67">
        <f t="shared" si="7"/>
        <v>0</v>
      </c>
      <c r="Q53" s="67">
        <f t="shared" si="19"/>
        <v>41.027817871402313</v>
      </c>
      <c r="R53" s="71">
        <f t="shared" si="20"/>
        <v>1463.409719634428</v>
      </c>
      <c r="S53" s="694">
        <f>IF(NOT(EXACT(A53, "MP Complete")), INDEX(MP_new!$A$4:$J$9, MATCH(Step3!A53 - 1, MP_new!$A$4:$A$9, 0), 7), S51)</f>
        <v>48544.957141362807</v>
      </c>
      <c r="T53" s="693">
        <f>IF(EXACT($Q$5, "Yes"), IF(NOT(EXACT(A53, "MP Complete")), INDEX(MP_new!$A$4:$J$9, MATCH(Step3!A53, MP_new!$A$4:$A$9, 0), 10), T51), 0)</f>
        <v>9000</v>
      </c>
      <c r="U53" s="82">
        <f>('NPV Summary'!$B$16-S53)+T53</f>
        <v>25864.882970329993</v>
      </c>
      <c r="V53" s="82">
        <f>LOOKUP(B53,Rates!$A$5:$B$168)</f>
        <v>4317.8862508652874</v>
      </c>
      <c r="W53" s="70">
        <f t="shared" si="8"/>
        <v>111.68162255782759</v>
      </c>
      <c r="X53" s="71">
        <f t="shared" si="24"/>
        <v>2354.8918657899603</v>
      </c>
      <c r="Y53" s="470">
        <f t="shared" si="25"/>
        <v>70.653804686425275</v>
      </c>
      <c r="Z53" s="470">
        <f t="shared" si="25"/>
        <v>891.48214615553229</v>
      </c>
      <c r="AA53" s="474">
        <f>IF(SUM(AA$11:AA52)&gt;0,0,IF(SUM(X53-R53)&gt;0,B53,0))</f>
        <v>0</v>
      </c>
      <c r="AB53" s="471">
        <f>ABS(Z53)*1000000/SUM(U$12:U53)</f>
        <v>919.962913592934</v>
      </c>
      <c r="AH53" s="52">
        <f t="shared" si="21"/>
        <v>2048</v>
      </c>
      <c r="AI53" s="53">
        <f>Rates!B46</f>
        <v>2926.2665822231288</v>
      </c>
      <c r="AK53" s="52">
        <f t="shared" si="22"/>
        <v>2048</v>
      </c>
      <c r="AL53" s="165">
        <f>Rates!E46</f>
        <v>3.5999999999999997E-2</v>
      </c>
      <c r="AM53" s="53">
        <f>Rates!F46</f>
        <v>2926.2665822231288</v>
      </c>
      <c r="AN53" s="54">
        <f>Rates!G46</f>
        <v>2299.2094574610305</v>
      </c>
      <c r="AP53" s="48">
        <f t="shared" si="9"/>
        <v>2059</v>
      </c>
      <c r="AQ53" s="78">
        <f t="shared" si="0"/>
        <v>0</v>
      </c>
      <c r="AS53" s="133">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5">
        <f>B53+1</f>
        <v>2060</v>
      </c>
      <c r="C54" s="695">
        <v>0</v>
      </c>
      <c r="D54" s="695">
        <f>'Area Summary'!$E$44</f>
        <v>11.234676200331869</v>
      </c>
      <c r="E54" s="64">
        <f t="shared" si="15"/>
        <v>0.65700000000000003</v>
      </c>
      <c r="F54" s="64">
        <f t="shared" si="16"/>
        <v>0</v>
      </c>
      <c r="G54" s="84">
        <f t="shared" si="17"/>
        <v>38.879797791648123</v>
      </c>
      <c r="H54" s="65">
        <f t="shared" si="1"/>
        <v>3.4116590296428231</v>
      </c>
      <c r="I54" s="64">
        <f t="shared" si="2"/>
        <v>0</v>
      </c>
      <c r="J54" s="84">
        <f t="shared" si="3"/>
        <v>38.879797791648123</v>
      </c>
      <c r="K54" s="65">
        <f t="shared" si="3"/>
        <v>3.4116590296428231</v>
      </c>
      <c r="L54" s="64">
        <f t="shared" si="4"/>
        <v>0</v>
      </c>
      <c r="M54" s="72">
        <f t="shared" si="5"/>
        <v>0</v>
      </c>
      <c r="N54" s="72">
        <f t="shared" si="6"/>
        <v>0</v>
      </c>
      <c r="O54" s="64">
        <f>IF($L$5="Yes", IF( U54&gt;U53, (U54-U53)*$M$5/1000000,0),0)</f>
        <v>0</v>
      </c>
      <c r="P54" s="84">
        <f t="shared" si="7"/>
        <v>0</v>
      </c>
      <c r="Q54" s="84">
        <f t="shared" si="19"/>
        <v>42.291456821290943</v>
      </c>
      <c r="R54" s="73">
        <f>R53+Q54</f>
        <v>1505.701176455719</v>
      </c>
      <c r="S54" s="694">
        <f>IF(NOT(EXACT(A54, "MP Complete")), INDEX(MP_new!$A$4:$J$9, MATCH(Step3!A54 - 1, MP_new!$A$4:$A$9, 0), 7), S52)</f>
        <v>48544.957141362807</v>
      </c>
      <c r="T54" s="693">
        <f>IF(EXACT($Q$5, "Yes"), IF(NOT(EXACT(A54, "MP Complete")), INDEX(MP_new!$A$4:$J$9, MATCH(Step3!A54, MP_new!$A$4:$A$9, 0), 10), T52), 0)</f>
        <v>9000</v>
      </c>
      <c r="U54" s="6">
        <f>('NPV Summary'!$B$16-S54)+T54</f>
        <v>25864.882970329993</v>
      </c>
      <c r="V54" s="6">
        <f>LOOKUP(B54,Rates!$A$5:$B$168)</f>
        <v>4473.3301558964376</v>
      </c>
      <c r="W54" s="72">
        <f t="shared" si="8"/>
        <v>115.70216096990939</v>
      </c>
      <c r="X54" s="73">
        <f>X53+W54</f>
        <v>2470.5940267598698</v>
      </c>
      <c r="Y54" s="20">
        <f>W54-Q54</f>
        <v>73.410704148618436</v>
      </c>
      <c r="Z54" s="20">
        <f>X54-R54</f>
        <v>964.8928503041509</v>
      </c>
      <c r="AA54" s="467">
        <f>IF(SUM(AA$11:AA53)&gt;0,0,IF(SUM(X54-R54)&gt;0,B54,0))</f>
        <v>0</v>
      </c>
      <c r="AB54" s="171">
        <f>ABS(Z54)*1000000/SUM(U$12:U54)</f>
        <v>969.83290848075944</v>
      </c>
      <c r="AH54" s="55">
        <f>AH53+1</f>
        <v>2049</v>
      </c>
      <c r="AI54" s="8">
        <f>Rates!B47</f>
        <v>3031.6121791831615</v>
      </c>
      <c r="AK54" s="55">
        <f>AK53+1</f>
        <v>2049</v>
      </c>
      <c r="AL54" s="164">
        <f>Rates!E47</f>
        <v>3.5999999999999997E-2</v>
      </c>
      <c r="AM54" s="8">
        <f>Rates!F47</f>
        <v>3031.6121791831615</v>
      </c>
      <c r="AN54" s="15">
        <f>Rates!G47</f>
        <v>2381.9809979296278</v>
      </c>
      <c r="AP54" s="16">
        <f t="shared" si="9"/>
        <v>2060</v>
      </c>
      <c r="AQ54" s="77">
        <f t="shared" si="0"/>
        <v>0</v>
      </c>
      <c r="AS54" s="136">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53" t="s">
        <v>118</v>
      </c>
      <c r="Q55" s="166">
        <f>NPV($E$5,Q12:Q54)*(1+$E$5)^($D$5-($C$5-1))</f>
        <v>801.08567956408092</v>
      </c>
      <c r="V55" s="153" t="s">
        <v>119</v>
      </c>
      <c r="W55" s="167">
        <f>NPV($E$5,W12:W54)*(1+$E$5)^($D$5-($C$5-1))</f>
        <v>922.31836795913887</v>
      </c>
      <c r="X55" s="61" t="s">
        <v>30</v>
      </c>
      <c r="Y55" s="62">
        <f>IFERROR(IRR(Y12:Y54), 0)</f>
        <v>5.5527245477243303E-2</v>
      </c>
      <c r="AA55" s="475" t="s">
        <v>535</v>
      </c>
      <c r="AB55" s="476">
        <f>R54*1000000/SUM(U$12:U54)</f>
        <v>1513.4100649669506</v>
      </c>
      <c r="AH55" s="55">
        <f t="shared" ref="AH55:AH62" si="36">AH54+1</f>
        <v>2050</v>
      </c>
      <c r="AI55" s="8">
        <f>Rates!B48</f>
        <v>3140.7502176337553</v>
      </c>
      <c r="AK55" s="55">
        <f t="shared" ref="AK55:AK62" si="37">AK54+1</f>
        <v>2050</v>
      </c>
      <c r="AL55" s="164">
        <f>Rates!E48</f>
        <v>3.5999999999999997E-2</v>
      </c>
      <c r="AM55" s="8">
        <f>Rates!F48</f>
        <v>3140.7502176337553</v>
      </c>
      <c r="AN55" s="15">
        <f>Rates!G48</f>
        <v>2467.7323138550946</v>
      </c>
    </row>
    <row r="56" spans="1:61" x14ac:dyDescent="0.25">
      <c r="A56" s="622" t="s">
        <v>120</v>
      </c>
      <c r="B56" s="622"/>
      <c r="C56" s="622"/>
      <c r="D56" s="622"/>
      <c r="E56" s="622"/>
      <c r="F56" s="622"/>
      <c r="G56" s="622"/>
      <c r="H56" s="622"/>
      <c r="I56" s="622"/>
      <c r="J56" s="622"/>
      <c r="K56" s="622"/>
      <c r="AH56" s="55">
        <f t="shared" si="36"/>
        <v>2051</v>
      </c>
      <c r="AI56" s="8">
        <f>Rates!B49</f>
        <v>3253.8172254685705</v>
      </c>
      <c r="AK56" s="55">
        <f t="shared" si="37"/>
        <v>2051</v>
      </c>
      <c r="AL56" s="164">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64">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64">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64">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64">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64">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64">
        <f>Rates!E55</f>
        <v>3.5999999999999997E-2</v>
      </c>
      <c r="AM62" s="8">
        <f>Rates!F55</f>
        <v>4023.0153199725773</v>
      </c>
      <c r="AN62" s="15">
        <f>Rates!G55</f>
        <v>3160.9406085498831</v>
      </c>
    </row>
    <row r="63" spans="1:61" x14ac:dyDescent="0.25">
      <c r="AH63" s="55">
        <f>AH62+1</f>
        <v>2058</v>
      </c>
      <c r="AI63" s="8">
        <f>Rates!B56</f>
        <v>4167.8438714915901</v>
      </c>
      <c r="AK63" s="55">
        <f>AK62+1</f>
        <v>2058</v>
      </c>
      <c r="AL63" s="164">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64">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64">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zoomScale="85" zoomScaleNormal="85" workbookViewId="0">
      <selection activeCell="D17" sqref="D17"/>
    </sheetView>
    <sheetView topLeftCell="A26" workbookViewId="1">
      <selection activeCell="D25" sqref="D25:D54"/>
    </sheetView>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58"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42" t="s">
        <v>545</v>
      </c>
      <c r="Y1" s="458"/>
      <c r="Z1"/>
      <c r="AA1"/>
      <c r="BW1" s="9"/>
      <c r="BX1" s="9"/>
    </row>
    <row r="2" spans="1:76" ht="15.75" customHeight="1" thickBot="1" x14ac:dyDescent="0.3">
      <c r="B2" s="578" t="s">
        <v>1</v>
      </c>
      <c r="C2" s="604"/>
      <c r="D2" s="604"/>
      <c r="E2" s="604"/>
      <c r="F2" s="604"/>
      <c r="G2" s="604"/>
      <c r="H2" s="604"/>
      <c r="I2" s="604"/>
      <c r="J2" s="604"/>
      <c r="K2" s="604"/>
      <c r="L2" s="604"/>
      <c r="M2" s="604"/>
      <c r="N2" s="604"/>
      <c r="O2" s="604"/>
      <c r="P2" s="604"/>
      <c r="Q2" s="604"/>
      <c r="R2" s="604"/>
      <c r="Y2" s="458"/>
      <c r="Z2"/>
      <c r="AA2"/>
      <c r="BW2" s="9"/>
      <c r="BX2" s="9"/>
    </row>
    <row r="3" spans="1:76" s="56" customFormat="1" ht="24" customHeight="1" x14ac:dyDescent="0.25">
      <c r="B3" s="125"/>
      <c r="C3" s="126"/>
      <c r="D3" s="595" t="s">
        <v>2</v>
      </c>
      <c r="E3" s="596"/>
      <c r="F3" s="580" t="s">
        <v>3</v>
      </c>
      <c r="G3" s="580"/>
      <c r="H3" s="587"/>
      <c r="I3" s="590" t="s">
        <v>4</v>
      </c>
      <c r="J3" s="591"/>
      <c r="K3" s="592"/>
      <c r="L3" s="587" t="s">
        <v>5</v>
      </c>
      <c r="M3" s="588"/>
      <c r="N3" s="589"/>
      <c r="O3" s="593" t="s">
        <v>6</v>
      </c>
      <c r="P3" s="594"/>
      <c r="Q3" s="579" t="s">
        <v>7</v>
      </c>
      <c r="R3" s="675"/>
      <c r="Y3" s="459"/>
    </row>
    <row r="4" spans="1:76" s="56" customFormat="1" ht="51.75" customHeight="1" thickBot="1" x14ac:dyDescent="0.3">
      <c r="B4" s="108" t="s">
        <v>8</v>
      </c>
      <c r="C4" s="109" t="s">
        <v>9</v>
      </c>
      <c r="D4" s="99" t="s">
        <v>10</v>
      </c>
      <c r="E4" s="113" t="s">
        <v>11</v>
      </c>
      <c r="F4" s="110" t="s">
        <v>12</v>
      </c>
      <c r="G4" s="98" t="s">
        <v>13</v>
      </c>
      <c r="H4" s="98" t="s">
        <v>14</v>
      </c>
      <c r="I4" s="108" t="s">
        <v>15</v>
      </c>
      <c r="J4" s="97" t="s">
        <v>16</v>
      </c>
      <c r="K4" s="109" t="s">
        <v>17</v>
      </c>
      <c r="L4" s="101" t="s">
        <v>18</v>
      </c>
      <c r="M4" s="93" t="s">
        <v>19</v>
      </c>
      <c r="N4" s="100" t="s">
        <v>20</v>
      </c>
      <c r="O4" s="108" t="s">
        <v>21</v>
      </c>
      <c r="P4" s="109" t="s">
        <v>22</v>
      </c>
      <c r="Q4" s="122" t="s">
        <v>23</v>
      </c>
      <c r="R4" s="123" t="s">
        <v>24</v>
      </c>
      <c r="Y4" s="459"/>
    </row>
    <row r="5" spans="1:76" s="56" customFormat="1" ht="15.75" customHeight="1" thickBot="1" x14ac:dyDescent="0.3">
      <c r="B5" s="129">
        <f>'NPV Summary'!B5</f>
        <v>2018</v>
      </c>
      <c r="C5" s="129">
        <f>'NPV Summary'!C5</f>
        <v>2018</v>
      </c>
      <c r="D5" s="129">
        <f>'NPV Summary'!D5</f>
        <v>2018</v>
      </c>
      <c r="E5" s="129">
        <f>'NPV Summary'!E5</f>
        <v>0.04</v>
      </c>
      <c r="F5" s="129">
        <f>'NPV Summary'!F5</f>
        <v>2.1999999999999999E-2</v>
      </c>
      <c r="G5" s="129">
        <f>'NPV Summary'!G5</f>
        <v>0.03</v>
      </c>
      <c r="H5" s="129">
        <f>'NPV Summary'!H5</f>
        <v>0.04</v>
      </c>
      <c r="I5" s="129">
        <f>'NPV Summary'!I5</f>
        <v>0</v>
      </c>
      <c r="J5" s="129">
        <f>'NPV Summary'!J5</f>
        <v>30</v>
      </c>
      <c r="K5" s="129">
        <f>'NPV Summary'!K5</f>
        <v>0.05</v>
      </c>
      <c r="L5" s="129" t="str">
        <f>'NPV Summary'!L5</f>
        <v>No</v>
      </c>
      <c r="M5" s="129">
        <f>'NPV Summary'!M5</f>
        <v>475</v>
      </c>
      <c r="N5" s="129">
        <f>'NPV Summary'!N5</f>
        <v>15</v>
      </c>
      <c r="O5" s="129" t="str">
        <f>'NPV Summary'!O5</f>
        <v>Treated</v>
      </c>
      <c r="P5" s="129">
        <f>'NPV Summary'!P5</f>
        <v>3.5999999999999997E-2</v>
      </c>
      <c r="Q5" s="129" t="str">
        <f>'NPV Summary'!Q5</f>
        <v>Yes</v>
      </c>
      <c r="R5" s="129">
        <f>'NPV Summary'!R5</f>
        <v>73</v>
      </c>
      <c r="Y5" s="459"/>
    </row>
    <row r="6" spans="1:76" s="56" customFormat="1" ht="15" customHeight="1" thickBot="1" x14ac:dyDescent="0.3">
      <c r="A6" s="103"/>
      <c r="B6" s="130" t="s">
        <v>67</v>
      </c>
      <c r="C6" s="57"/>
      <c r="D6" s="158"/>
      <c r="E6" s="158"/>
      <c r="F6" s="158"/>
      <c r="G6" s="158"/>
      <c r="H6" s="158"/>
      <c r="I6" s="57"/>
      <c r="J6" s="57"/>
      <c r="K6" s="103"/>
      <c r="L6" s="103"/>
      <c r="M6" s="91"/>
      <c r="N6" s="58"/>
      <c r="O6" s="158"/>
      <c r="P6" s="57"/>
      <c r="Q6" s="159"/>
      <c r="R6" s="159"/>
      <c r="S6" s="159"/>
      <c r="T6" s="159"/>
      <c r="V6" s="159"/>
      <c r="W6" s="92"/>
      <c r="AA6" s="459"/>
    </row>
    <row r="7" spans="1:76" s="56" customFormat="1" ht="15" customHeight="1" thickBot="1" x14ac:dyDescent="0.3">
      <c r="A7" s="103"/>
      <c r="B7" s="118"/>
      <c r="C7" s="118"/>
      <c r="D7" s="163"/>
      <c r="E7" s="163"/>
      <c r="F7" s="163"/>
      <c r="G7" s="163"/>
      <c r="H7" s="163"/>
      <c r="I7" s="118"/>
      <c r="J7" s="118"/>
      <c r="K7" s="118"/>
      <c r="L7" s="118"/>
      <c r="M7" s="119"/>
      <c r="N7" s="119"/>
      <c r="O7" s="163"/>
      <c r="P7" s="118"/>
      <c r="Q7" s="159"/>
      <c r="R7" s="159"/>
      <c r="S7" s="159"/>
      <c r="T7" s="159"/>
      <c r="U7" s="103"/>
      <c r="V7" s="159"/>
      <c r="W7" s="92"/>
      <c r="X7" s="86"/>
      <c r="Z7" s="162"/>
      <c r="AA7" s="460"/>
      <c r="AH7" s="623" t="s">
        <v>68</v>
      </c>
      <c r="AI7" s="624"/>
      <c r="AJ7" s="624"/>
      <c r="AK7" s="624"/>
      <c r="AL7" s="624"/>
      <c r="AM7" s="624"/>
      <c r="AN7" s="625"/>
    </row>
    <row r="8" spans="1:76" ht="13.5" customHeight="1" thickBot="1" x14ac:dyDescent="0.3">
      <c r="A8" s="629" t="s">
        <v>69</v>
      </c>
      <c r="B8" s="620"/>
      <c r="C8" s="620"/>
      <c r="D8" s="620"/>
      <c r="E8" s="620"/>
      <c r="F8" s="620"/>
      <c r="G8" s="620"/>
      <c r="H8" s="620"/>
      <c r="I8" s="620"/>
      <c r="J8" s="620"/>
      <c r="K8" s="620"/>
      <c r="L8" s="620"/>
      <c r="M8" s="620"/>
      <c r="N8" s="620"/>
      <c r="O8" s="620"/>
      <c r="P8" s="620"/>
      <c r="Q8" s="620"/>
      <c r="R8" s="620"/>
      <c r="S8" s="620"/>
      <c r="T8" s="620"/>
      <c r="U8" s="620"/>
      <c r="V8" s="620"/>
      <c r="W8" s="620"/>
      <c r="X8" s="620"/>
      <c r="Y8" s="620"/>
      <c r="Z8" s="621"/>
      <c r="AA8" s="461"/>
      <c r="AH8" s="626"/>
      <c r="AI8" s="627"/>
      <c r="AJ8" s="627"/>
      <c r="AK8" s="627"/>
      <c r="AL8" s="627"/>
      <c r="AM8" s="627"/>
      <c r="AN8" s="628"/>
    </row>
    <row r="9" spans="1:76" ht="38.25" customHeight="1" thickBot="1" x14ac:dyDescent="0.3">
      <c r="A9" s="630"/>
      <c r="B9" s="631"/>
      <c r="C9" s="632" t="str">
        <f>"Projected Annual Cost
"&amp;B5&amp;" Dollar Year" &amp;"
($Million)"</f>
        <v>Projected Annual Cost
2018 Dollar Year
($Million)</v>
      </c>
      <c r="D9" s="633"/>
      <c r="E9" s="634"/>
      <c r="F9" s="633" t="s">
        <v>70</v>
      </c>
      <c r="G9" s="633"/>
      <c r="H9" s="634"/>
      <c r="I9" s="635" t="str">
        <f>"Projected Annual Cost with Financing
($Million; NPV=$"&amp;ROUND(Q55,3)&amp;")"</f>
        <v>Projected Annual Cost with Financing
($Million; NPV=$1014.721)</v>
      </c>
      <c r="J9" s="636"/>
      <c r="K9" s="636"/>
      <c r="L9" s="636"/>
      <c r="M9" s="636"/>
      <c r="N9" s="636"/>
      <c r="O9" s="636"/>
      <c r="P9" s="636"/>
      <c r="Q9" s="636"/>
      <c r="R9" s="637"/>
      <c r="S9" s="632" t="str">
        <f>"Avoided MWD Purchase 
 ($Million; NPV=$"&amp;ROUND(W55,3)&amp;")"</f>
        <v>Avoided MWD Purchase 
 ($Million; NPV=$922.318)</v>
      </c>
      <c r="T9" s="633"/>
      <c r="U9" s="633"/>
      <c r="V9" s="633"/>
      <c r="W9" s="633"/>
      <c r="X9" s="634"/>
      <c r="Y9" s="632" t="s">
        <v>71</v>
      </c>
      <c r="Z9" s="634"/>
      <c r="AA9" s="462"/>
      <c r="AH9" s="638" t="s">
        <v>72</v>
      </c>
      <c r="AI9" s="639"/>
      <c r="AJ9" s="41"/>
      <c r="AK9" s="640" t="s">
        <v>73</v>
      </c>
      <c r="AL9" s="641"/>
      <c r="AM9" s="641"/>
      <c r="AN9" s="642"/>
      <c r="AP9" s="617" t="s">
        <v>74</v>
      </c>
      <c r="AQ9" s="618"/>
      <c r="AS9" s="619" t="s">
        <v>75</v>
      </c>
      <c r="AT9" s="620"/>
      <c r="AU9" s="620"/>
      <c r="AV9" s="620"/>
      <c r="AW9" s="620"/>
      <c r="AX9" s="620"/>
      <c r="AY9" s="620"/>
      <c r="AZ9" s="620"/>
      <c r="BA9" s="620"/>
      <c r="BB9" s="621"/>
      <c r="BD9" s="617" t="s">
        <v>76</v>
      </c>
      <c r="BE9" s="618"/>
      <c r="BF9" s="9"/>
      <c r="BG9" s="619" t="s">
        <v>77</v>
      </c>
      <c r="BH9" s="620"/>
      <c r="BI9" s="620"/>
    </row>
    <row r="10" spans="1:76" ht="51.75" customHeight="1" thickBot="1" x14ac:dyDescent="0.3">
      <c r="A10" s="34" t="s">
        <v>29</v>
      </c>
      <c r="B10" s="69" t="s">
        <v>78</v>
      </c>
      <c r="C10" s="117" t="s">
        <v>79</v>
      </c>
      <c r="D10" s="13" t="s">
        <v>80</v>
      </c>
      <c r="E10" s="14" t="s">
        <v>81</v>
      </c>
      <c r="F10" s="117" t="s">
        <v>82</v>
      </c>
      <c r="G10" s="13" t="s">
        <v>83</v>
      </c>
      <c r="H10" s="14" t="s">
        <v>84</v>
      </c>
      <c r="I10" s="18" t="s">
        <v>85</v>
      </c>
      <c r="J10" s="19" t="s">
        <v>86</v>
      </c>
      <c r="K10" s="19" t="s">
        <v>87</v>
      </c>
      <c r="L10" s="117" t="s">
        <v>88</v>
      </c>
      <c r="M10" s="13" t="s">
        <v>89</v>
      </c>
      <c r="N10" s="19" t="s">
        <v>90</v>
      </c>
      <c r="O10" s="38" t="s">
        <v>91</v>
      </c>
      <c r="P10" s="13" t="s">
        <v>92</v>
      </c>
      <c r="Q10" s="18" t="s">
        <v>93</v>
      </c>
      <c r="R10" s="487" t="s">
        <v>94</v>
      </c>
      <c r="S10" s="486" t="s">
        <v>95</v>
      </c>
      <c r="T10" s="14" t="s">
        <v>96</v>
      </c>
      <c r="U10" s="117" t="s">
        <v>97</v>
      </c>
      <c r="V10" s="13" t="s">
        <v>98</v>
      </c>
      <c r="W10" s="13" t="s">
        <v>99</v>
      </c>
      <c r="X10" s="14" t="s">
        <v>100</v>
      </c>
      <c r="Y10" s="117" t="s">
        <v>101</v>
      </c>
      <c r="Z10" s="14" t="s">
        <v>102</v>
      </c>
      <c r="AA10" s="463" t="s">
        <v>534</v>
      </c>
      <c r="AB10" s="14" t="s">
        <v>372</v>
      </c>
      <c r="AH10" s="21" t="s">
        <v>103</v>
      </c>
      <c r="AI10" s="23" t="str">
        <f>IF(O5= "Treated","Tier 1 Treated     ($/Acre-Ft)", IF(O5 = "Untreated", "Tier 1 Untreated         ($/Acre-Ft)",0))</f>
        <v>Tier 1 Treated     ($/Acre-Ft)</v>
      </c>
      <c r="AK10" s="21" t="s">
        <v>103</v>
      </c>
      <c r="AL10" s="22" t="s">
        <v>104</v>
      </c>
      <c r="AM10" s="22" t="s">
        <v>105</v>
      </c>
      <c r="AN10" s="23" t="s">
        <v>106</v>
      </c>
      <c r="AP10" s="75" t="s">
        <v>103</v>
      </c>
      <c r="AQ10" s="76" t="str">
        <f t="shared" ref="AQ10:AQ54" si="0">IF($J$5=5,AT10,IF($J$5=10,AU10,IF($J$5=15,AV10,IF($J$5=18,AW10,IF($J$5=20,AX10,IF($J$5=25,AY10,IF($J$5=30,AZ10,IF($J$5=35,BA10,IF($J$5=40,BB10)))))))))</f>
        <v>30 Year 
Borrowing
Term</v>
      </c>
      <c r="AS10" s="75" t="s">
        <v>103</v>
      </c>
      <c r="AT10" s="76" t="s">
        <v>107</v>
      </c>
      <c r="AU10" s="76" t="s">
        <v>108</v>
      </c>
      <c r="AV10" s="76" t="s">
        <v>109</v>
      </c>
      <c r="AW10" s="76" t="s">
        <v>110</v>
      </c>
      <c r="AX10" s="76" t="s">
        <v>111</v>
      </c>
      <c r="AY10" s="76" t="s">
        <v>112</v>
      </c>
      <c r="AZ10" s="76" t="s">
        <v>113</v>
      </c>
      <c r="BA10" s="76" t="s">
        <v>114</v>
      </c>
      <c r="BB10" s="76" t="s">
        <v>115</v>
      </c>
      <c r="BD10" s="75" t="s">
        <v>103</v>
      </c>
      <c r="BE10" s="76" t="str">
        <f>IF(N5=15,BH10,IF(N5=25,BI10,0))</f>
        <v>15 Year Term</v>
      </c>
      <c r="BF10" s="60"/>
      <c r="BG10" s="75" t="s">
        <v>103</v>
      </c>
      <c r="BH10" s="76" t="s">
        <v>116</v>
      </c>
      <c r="BI10" s="76" t="s">
        <v>117</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27"/>
      <c r="T11" s="127"/>
      <c r="U11" s="1"/>
      <c r="V11" s="2"/>
      <c r="W11" s="3"/>
      <c r="X11" s="10"/>
      <c r="Y11" s="12"/>
      <c r="Z11" s="4"/>
      <c r="AA11" s="464"/>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5">
        <f>$C$5</f>
        <v>2018</v>
      </c>
      <c r="C12" s="695">
        <f>'10 YEAR PROJECTION'!$H$54/1000000</f>
        <v>1.5</v>
      </c>
      <c r="D12" s="69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694">
        <f>IF(NOT(EXACT(A12, "MP Complete")), INDEX(MP_new!$A$4:$J$9, MATCH(Step4!A12, MP_new!$A$4:$A$9, 0), 7), S10)</f>
        <v>65409.8401116928</v>
      </c>
      <c r="T12" s="693">
        <f>IF(EXACT($Q$5, "Yes"), IF(NOT(EXACT(A12, "MP Complete")), INDEX(MP_new!$A$4:$J$9, MATCH(Step4!A12, MP_new!$A$4:$A$9, 0), 10), T10), 0)</f>
        <v>0</v>
      </c>
      <c r="U12" s="6">
        <f>('NPV Summary'!$B$16-S12)+T12</f>
        <v>0</v>
      </c>
      <c r="V12" s="6">
        <f>LOOKUP(B12,AH12:AI62)</f>
        <v>1015</v>
      </c>
      <c r="W12" s="72">
        <f t="shared" ref="W12:W54" si="8">(U12*V12)/1000000</f>
        <v>0</v>
      </c>
      <c r="X12" s="73">
        <f>W12</f>
        <v>0</v>
      </c>
      <c r="Y12" s="20">
        <f>W12-Q12</f>
        <v>-1.5</v>
      </c>
      <c r="Z12" s="20">
        <f>X12-R12</f>
        <v>-1.5</v>
      </c>
      <c r="AA12" s="468">
        <f>IF(SUM(AA$11:AA11)&gt;0,0,IF(SUM(X12-R12)&gt;0,B12,0))</f>
        <v>0</v>
      </c>
      <c r="AB12" s="171"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36">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4">
        <f t="shared" ref="B13:B53" si="14">B12+1</f>
        <v>2019</v>
      </c>
      <c r="C13" s="695">
        <f>'10 YEAR PROJECTION'!$I$54/1000000</f>
        <v>3.84896875</v>
      </c>
      <c r="D13" s="695"/>
      <c r="E13" s="66">
        <f t="shared" ref="E13:E54" si="15">IF( $Q$5="Yes", ($R$5)*T13, 0)/1000000</f>
        <v>0.36499999999999999</v>
      </c>
      <c r="F13" s="66">
        <f t="shared" ref="F13:F54" si="16">IF(B13&gt;$B$5,(C13)*(1+$F$5)^(B13-$B$5),C13)</f>
        <v>3.9336460625000003</v>
      </c>
      <c r="G13" s="67">
        <f t="shared" ref="G13:G54" si="17">IF(B13&gt;$B$5, (D13)*(1+$G$5)^(B13-$B$5),D13)</f>
        <v>0</v>
      </c>
      <c r="H13" s="68">
        <f t="shared" si="1"/>
        <v>0.37959999999999999</v>
      </c>
      <c r="I13" s="66">
        <f t="shared" si="2"/>
        <v>3.9336460625000003</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4.3132460625000002</v>
      </c>
      <c r="R13" s="71">
        <f t="shared" ref="R13:R53" si="20">R12+Q13</f>
        <v>5.8132460625000002</v>
      </c>
      <c r="S13" s="694">
        <f>IF(NOT(EXACT(A13, "MP Complete")), INDEX(MP_new!$A$4:$J$9, MATCH(Step4!A13 - 1, MP_new!$A$4:$A$9, 0), 7), S11)</f>
        <v>65409.8401116928</v>
      </c>
      <c r="T13" s="693">
        <f>IF(EXACT($Q$5, "Yes"), IF(NOT(EXACT(A13, "MP Complete")), INDEX(MP_new!$A$4:$J$9, MATCH(Step4!A13, MP_new!$A$4:$A$9, 0), 10), T11), 0)</f>
        <v>5000</v>
      </c>
      <c r="U13" s="82">
        <f>('NPV Summary'!$B$16-S13)+T13</f>
        <v>5000</v>
      </c>
      <c r="V13" s="82">
        <f>LOOKUP(B13,Rates!$A$5:$B$168)</f>
        <v>1053</v>
      </c>
      <c r="W13" s="70">
        <f t="shared" si="8"/>
        <v>5.2649999999999997</v>
      </c>
      <c r="X13" s="71">
        <f>X12+W13</f>
        <v>5.2649999999999997</v>
      </c>
      <c r="Y13" s="470">
        <f>W13-Q13</f>
        <v>0.95175393749999948</v>
      </c>
      <c r="Z13" s="470">
        <f>X13-R13</f>
        <v>-0.54824606250000052</v>
      </c>
      <c r="AA13" s="466">
        <f>IF(SUM(AA$11:AA12)&gt;0,0,IF(SUM(X13-R13)&gt;0,B13,0))</f>
        <v>0</v>
      </c>
      <c r="AB13" s="471">
        <f>ABS(Z13)*1000000/SUM(U$12:U13)</f>
        <v>109.64921250000009</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33">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5">
        <f t="shared" si="14"/>
        <v>2020</v>
      </c>
      <c r="C14" s="695">
        <f>'10 YEAR PROJECTION'!$J$54/1000000</f>
        <v>46.371124999999999</v>
      </c>
      <c r="D14" s="695">
        <f>'Area Summary'!$C$44</f>
        <v>4.3366557156605179</v>
      </c>
      <c r="E14" s="64">
        <f t="shared" si="15"/>
        <v>0.36499999999999999</v>
      </c>
      <c r="F14" s="64">
        <f t="shared" si="16"/>
        <v>48.433898124499997</v>
      </c>
      <c r="G14" s="84">
        <f t="shared" si="17"/>
        <v>4.6007580487442432</v>
      </c>
      <c r="H14" s="65">
        <f t="shared" si="1"/>
        <v>0.39478400000000002</v>
      </c>
      <c r="I14" s="64">
        <f t="shared" si="2"/>
        <v>48.433898124499997</v>
      </c>
      <c r="J14" s="84">
        <f t="shared" si="3"/>
        <v>4.6007580487442432</v>
      </c>
      <c r="K14" s="65">
        <f t="shared" si="3"/>
        <v>0.39478400000000002</v>
      </c>
      <c r="L14" s="64">
        <f t="shared" si="4"/>
        <v>0</v>
      </c>
      <c r="M14" s="72">
        <f t="shared" si="5"/>
        <v>0</v>
      </c>
      <c r="N14" s="72">
        <f t="shared" si="6"/>
        <v>0</v>
      </c>
      <c r="O14" s="64">
        <f t="shared" si="18"/>
        <v>0</v>
      </c>
      <c r="P14" s="84">
        <f t="shared" si="7"/>
        <v>0</v>
      </c>
      <c r="Q14" s="84">
        <f t="shared" si="19"/>
        <v>53.429440173244245</v>
      </c>
      <c r="R14" s="73">
        <f t="shared" si="20"/>
        <v>59.242686235744245</v>
      </c>
      <c r="S14" s="694">
        <f>IF(NOT(EXACT(A14, "MP Complete")), INDEX(MP_new!$A$4:$J$9, MATCH(Step4!A14 - 1, MP_new!$A$4:$A$9, 0), 7), S12)</f>
        <v>65409.8401116928</v>
      </c>
      <c r="T14" s="693">
        <f>IF(EXACT($Q$5, "Yes"), IF(NOT(EXACT(A14, "MP Complete")), INDEX(MP_new!$A$4:$J$9, MATCH(Step4!A14, MP_new!$A$4:$A$9, 0), 10), T12), 0)</f>
        <v>5000</v>
      </c>
      <c r="U14" s="6">
        <f>('NPV Summary'!$B$16-S14)+T14</f>
        <v>5000</v>
      </c>
      <c r="V14" s="6">
        <f>LOOKUP(B14,Rates!$A$5:$B$168)</f>
        <v>1092</v>
      </c>
      <c r="W14" s="72">
        <f t="shared" si="8"/>
        <v>5.46</v>
      </c>
      <c r="X14" s="73">
        <f t="shared" ref="X14:X53" si="24">X13+W14</f>
        <v>10.725</v>
      </c>
      <c r="Y14" s="20">
        <f t="shared" ref="Y14:Z53" si="25">W14-Q14</f>
        <v>-47.969440173244244</v>
      </c>
      <c r="Z14" s="20">
        <f t="shared" si="25"/>
        <v>-48.517686235744243</v>
      </c>
      <c r="AA14" s="465">
        <f>IF(SUM(AA$11:AA13)&gt;0,0,IF(SUM(X14-R14)&gt;0,B14,0))</f>
        <v>0</v>
      </c>
      <c r="AB14" s="171">
        <f>ABS(Z14)*1000000/SUM(U$12:U14)</f>
        <v>4851.768623574425</v>
      </c>
      <c r="AH14" s="28">
        <f t="shared" si="21"/>
        <v>2009</v>
      </c>
      <c r="AI14" s="30">
        <f>Rates!B7</f>
        <v>579</v>
      </c>
      <c r="AK14" s="29">
        <f t="shared" si="22"/>
        <v>2009</v>
      </c>
      <c r="AL14" s="8" t="str">
        <f>Rates!E7</f>
        <v>-</v>
      </c>
      <c r="AM14" s="30">
        <f>Rates!F7</f>
        <v>579</v>
      </c>
      <c r="AN14" s="31">
        <f>Rates!G7</f>
        <v>412</v>
      </c>
      <c r="AP14" s="16">
        <f t="shared" si="9"/>
        <v>2020</v>
      </c>
      <c r="AQ14" s="77">
        <f t="shared" si="0"/>
        <v>0</v>
      </c>
      <c r="AS14" s="136">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4">
        <f t="shared" si="14"/>
        <v>2021</v>
      </c>
      <c r="C15" s="695">
        <f>'10 YEAR PROJECTION'!$K$54/1000000</f>
        <v>85.595343749999998</v>
      </c>
      <c r="D15" s="695">
        <f>'Area Summary'!$C$44</f>
        <v>4.3366557156605179</v>
      </c>
      <c r="E15" s="66">
        <f t="shared" si="15"/>
        <v>0.36499999999999999</v>
      </c>
      <c r="F15" s="66">
        <f t="shared" si="16"/>
        <v>91.369832295845242</v>
      </c>
      <c r="G15" s="67">
        <f t="shared" si="17"/>
        <v>4.7387807902065706</v>
      </c>
      <c r="H15" s="68">
        <f t="shared" si="1"/>
        <v>0.41057536</v>
      </c>
      <c r="I15" s="66">
        <f t="shared" si="2"/>
        <v>91.369832295845242</v>
      </c>
      <c r="J15" s="67">
        <f t="shared" si="3"/>
        <v>4.7387807902065706</v>
      </c>
      <c r="K15" s="68">
        <f t="shared" si="3"/>
        <v>0.41057536</v>
      </c>
      <c r="L15" s="66">
        <f t="shared" si="4"/>
        <v>0</v>
      </c>
      <c r="M15" s="70">
        <f t="shared" si="5"/>
        <v>0</v>
      </c>
      <c r="N15" s="70">
        <f t="shared" si="6"/>
        <v>0</v>
      </c>
      <c r="O15" s="66">
        <f t="shared" si="18"/>
        <v>0</v>
      </c>
      <c r="P15" s="67">
        <f t="shared" si="7"/>
        <v>0</v>
      </c>
      <c r="Q15" s="67">
        <f t="shared" si="19"/>
        <v>96.519188446051814</v>
      </c>
      <c r="R15" s="71">
        <f t="shared" si="20"/>
        <v>155.76187468179606</v>
      </c>
      <c r="S15" s="694">
        <f>IF(NOT(EXACT(A15, "MP Complete")), INDEX(MP_new!$A$4:$J$9, MATCH(Step4!A15 - 1, MP_new!$A$4:$A$9, 0), 7), S13)</f>
        <v>65409.8401116928</v>
      </c>
      <c r="T15" s="693">
        <f>IF(EXACT($Q$5, "Yes"), IF(NOT(EXACT(A15, "MP Complete")), INDEX(MP_new!$A$4:$J$9, MATCH(Step4!A15, MP_new!$A$4:$A$9, 0), 10), T13), 0)</f>
        <v>5000</v>
      </c>
      <c r="U15" s="82">
        <f>('NPV Summary'!$B$16-S15)+T15</f>
        <v>5000</v>
      </c>
      <c r="V15" s="82">
        <f>LOOKUP(B15,Rates!$A$5:$B$168)</f>
        <v>1123</v>
      </c>
      <c r="W15" s="70">
        <f t="shared" si="8"/>
        <v>5.6150000000000002</v>
      </c>
      <c r="X15" s="71">
        <f t="shared" si="24"/>
        <v>16.34</v>
      </c>
      <c r="Y15" s="470">
        <f t="shared" si="25"/>
        <v>-90.904188446051819</v>
      </c>
      <c r="Z15" s="470">
        <f t="shared" si="25"/>
        <v>-139.42187468179606</v>
      </c>
      <c r="AA15" s="466">
        <f>IF(SUM(AA$11:AA14)&gt;0,0,IF(SUM(X15-R15)&gt;0,B15,0))</f>
        <v>0</v>
      </c>
      <c r="AB15" s="471">
        <f>ABS(Z15)*1000000/SUM(U$12:U15)</f>
        <v>9294.7916454530696</v>
      </c>
      <c r="AH15" s="43">
        <f t="shared" si="21"/>
        <v>2010</v>
      </c>
      <c r="AI15" s="46">
        <f>Rates!B8</f>
        <v>701</v>
      </c>
      <c r="AK15" s="44">
        <f t="shared" si="22"/>
        <v>2010</v>
      </c>
      <c r="AL15" s="53" t="str">
        <f>Rates!E8</f>
        <v>-</v>
      </c>
      <c r="AM15" s="46">
        <f>Rates!F8</f>
        <v>701</v>
      </c>
      <c r="AN15" s="47">
        <f>Rates!G8</f>
        <v>484</v>
      </c>
      <c r="AP15" s="48">
        <f t="shared" si="9"/>
        <v>2021</v>
      </c>
      <c r="AQ15" s="78">
        <f t="shared" si="0"/>
        <v>0</v>
      </c>
      <c r="AS15" s="133">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5">
        <f t="shared" si="14"/>
        <v>2022</v>
      </c>
      <c r="C16" s="695">
        <f>'10 YEAR PROJECTION'!L$54/1000000</f>
        <v>48.660440625</v>
      </c>
      <c r="D16" s="695">
        <f>'Area Summary'!$C$44</f>
        <v>4.3366557156605179</v>
      </c>
      <c r="E16" s="64">
        <f t="shared" si="15"/>
        <v>0.65700000000000003</v>
      </c>
      <c r="F16" s="64">
        <f t="shared" si="16"/>
        <v>53.085953264062283</v>
      </c>
      <c r="G16" s="84">
        <f t="shared" si="17"/>
        <v>4.8809442139127679</v>
      </c>
      <c r="H16" s="65">
        <f t="shared" si="1"/>
        <v>0.76859707392000021</v>
      </c>
      <c r="I16" s="64">
        <f t="shared" si="2"/>
        <v>53.085953264062283</v>
      </c>
      <c r="J16" s="84">
        <f t="shared" si="3"/>
        <v>4.8809442139127679</v>
      </c>
      <c r="K16" s="65">
        <f t="shared" si="3"/>
        <v>0.76859707392000021</v>
      </c>
      <c r="L16" s="64">
        <f t="shared" si="4"/>
        <v>0</v>
      </c>
      <c r="M16" s="72">
        <f t="shared" si="5"/>
        <v>0</v>
      </c>
      <c r="N16" s="72">
        <f t="shared" si="6"/>
        <v>0</v>
      </c>
      <c r="O16" s="64">
        <f t="shared" si="18"/>
        <v>0</v>
      </c>
      <c r="P16" s="84">
        <f t="shared" si="7"/>
        <v>0</v>
      </c>
      <c r="Q16" s="84">
        <f t="shared" si="19"/>
        <v>58.735494551895052</v>
      </c>
      <c r="R16" s="73">
        <f t="shared" si="20"/>
        <v>214.4973692336911</v>
      </c>
      <c r="S16" s="694">
        <f>IF(NOT(EXACT(A16, "MP Complete")), INDEX(MP_new!$A$4:$J$9, MATCH(Step4!A16 - 1, MP_new!$A$4:$A$9, 0), 7), S14)</f>
        <v>54321.653018812802</v>
      </c>
      <c r="T16" s="693">
        <f>IF(EXACT($Q$5, "Yes"), IF(NOT(EXACT(A16, "MP Complete")), INDEX(MP_new!$A$4:$J$9, MATCH(Step4!A16, MP_new!$A$4:$A$9, 0), 10), T14), 0)</f>
        <v>9000</v>
      </c>
      <c r="U16" s="6">
        <f>('NPV Summary'!$B$16-S16)+T16</f>
        <v>20088.187092879998</v>
      </c>
      <c r="V16" s="6">
        <f>LOOKUP(B16,Rates!$A$5:$B$168)</f>
        <v>1164</v>
      </c>
      <c r="W16" s="72">
        <f t="shared" si="8"/>
        <v>23.382649776112316</v>
      </c>
      <c r="X16" s="73">
        <f t="shared" si="24"/>
        <v>39.72264977611232</v>
      </c>
      <c r="Y16" s="20">
        <f t="shared" si="25"/>
        <v>-35.352844775782735</v>
      </c>
      <c r="Z16" s="20">
        <f t="shared" si="25"/>
        <v>-174.77471945757878</v>
      </c>
      <c r="AA16" s="465">
        <f>IF(SUM(AA$11:AA15)&gt;0,0,IF(SUM(X16-R16)&gt;0,B16,0))</f>
        <v>0</v>
      </c>
      <c r="AB16" s="171">
        <f>ABS(Z16)*1000000/SUM(U$12:U16)</f>
        <v>4981.0130969417796</v>
      </c>
      <c r="AH16" s="28">
        <f t="shared" si="21"/>
        <v>2011</v>
      </c>
      <c r="AI16" s="30">
        <f>Rates!B9</f>
        <v>744</v>
      </c>
      <c r="AK16" s="29">
        <f t="shared" si="22"/>
        <v>2011</v>
      </c>
      <c r="AL16" s="87" t="str">
        <f>Rates!E9</f>
        <v>-</v>
      </c>
      <c r="AM16" s="30">
        <f>Rates!F9</f>
        <v>744</v>
      </c>
      <c r="AN16" s="31">
        <f>Rates!G9</f>
        <v>527</v>
      </c>
      <c r="AP16" s="16">
        <f t="shared" si="9"/>
        <v>2022</v>
      </c>
      <c r="AQ16" s="77">
        <f t="shared" si="0"/>
        <v>0</v>
      </c>
      <c r="AS16" s="136">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4">
        <f t="shared" si="14"/>
        <v>2023</v>
      </c>
      <c r="C17" s="695">
        <f>'10 YEAR PROJECTION'!M$54/1000000</f>
        <v>44.700837499999992</v>
      </c>
      <c r="D17" s="695">
        <f>'Area Summary'!$C$44</f>
        <v>4.3366557156605179</v>
      </c>
      <c r="E17" s="66">
        <f t="shared" si="15"/>
        <v>0.65700000000000003</v>
      </c>
      <c r="F17" s="66">
        <f t="shared" si="16"/>
        <v>49.839094011245606</v>
      </c>
      <c r="G17" s="67">
        <f t="shared" si="17"/>
        <v>5.0273725403301501</v>
      </c>
      <c r="H17" s="68">
        <f t="shared" si="1"/>
        <v>0.79934095687680029</v>
      </c>
      <c r="I17" s="66">
        <f t="shared" si="2"/>
        <v>49.839094011245606</v>
      </c>
      <c r="J17" s="67">
        <f t="shared" si="3"/>
        <v>5.0273725403301501</v>
      </c>
      <c r="K17" s="68">
        <f t="shared" si="3"/>
        <v>0.79934095687680029</v>
      </c>
      <c r="L17" s="66">
        <f t="shared" si="4"/>
        <v>0</v>
      </c>
      <c r="M17" s="70">
        <f t="shared" si="5"/>
        <v>0</v>
      </c>
      <c r="N17" s="70">
        <f t="shared" si="6"/>
        <v>0</v>
      </c>
      <c r="O17" s="66">
        <f t="shared" si="18"/>
        <v>0</v>
      </c>
      <c r="P17" s="67">
        <f t="shared" si="7"/>
        <v>0</v>
      </c>
      <c r="Q17" s="67">
        <f t="shared" si="19"/>
        <v>55.665807508452552</v>
      </c>
      <c r="R17" s="71">
        <f t="shared" si="20"/>
        <v>270.16317674214366</v>
      </c>
      <c r="S17" s="694">
        <f>IF(NOT(EXACT(A17, "MP Complete")), INDEX(MP_new!$A$4:$J$9, MATCH(Step4!A17 - 1, MP_new!$A$4:$A$9, 0), 7), S15)</f>
        <v>54321.653018812802</v>
      </c>
      <c r="T17" s="693">
        <f>IF(EXACT($Q$5, "Yes"), IF(NOT(EXACT(A17, "MP Complete")), INDEX(MP_new!$A$4:$J$9, MATCH(Step4!A17, MP_new!$A$4:$A$9, 0), 10), T15), 0)</f>
        <v>9000</v>
      </c>
      <c r="U17" s="82">
        <f>('NPV Summary'!$B$16-S17)+T17</f>
        <v>20088.187092879998</v>
      </c>
      <c r="V17" s="82">
        <f>LOOKUP(B17,Rates!$A$5:$B$168)</f>
        <v>1205</v>
      </c>
      <c r="W17" s="70">
        <f t="shared" si="8"/>
        <v>24.206265446920398</v>
      </c>
      <c r="X17" s="71">
        <f t="shared" si="24"/>
        <v>63.928915223032718</v>
      </c>
      <c r="Y17" s="470">
        <f t="shared" si="25"/>
        <v>-31.459542061532154</v>
      </c>
      <c r="Z17" s="470">
        <f t="shared" si="25"/>
        <v>-206.23426151911093</v>
      </c>
      <c r="AA17" s="466">
        <f>IF(SUM(AA$11:AA16)&gt;0,0,IF(SUM(X17-R17)&gt;0,B17,0))</f>
        <v>0</v>
      </c>
      <c r="AB17" s="471">
        <f>ABS(Z17)*1000000/SUM(U$12:U17)</f>
        <v>3737.7276880280433</v>
      </c>
      <c r="AH17" s="43">
        <f t="shared" si="21"/>
        <v>2012</v>
      </c>
      <c r="AI17" s="46">
        <f>Rates!B10</f>
        <v>794</v>
      </c>
      <c r="AK17" s="44">
        <f t="shared" si="22"/>
        <v>2012</v>
      </c>
      <c r="AL17" s="89" t="str">
        <f>Rates!E10</f>
        <v>-</v>
      </c>
      <c r="AM17" s="46">
        <f>Rates!F10</f>
        <v>794</v>
      </c>
      <c r="AN17" s="47">
        <f>Rates!G10</f>
        <v>560</v>
      </c>
      <c r="AP17" s="48">
        <f t="shared" si="9"/>
        <v>2023</v>
      </c>
      <c r="AQ17" s="78">
        <f t="shared" si="0"/>
        <v>0</v>
      </c>
      <c r="AS17" s="133">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5">
        <f t="shared" si="14"/>
        <v>2024</v>
      </c>
      <c r="C18" s="695">
        <f>'10 YEAR PROJECTION'!N$54/1000000</f>
        <v>82.433728124999988</v>
      </c>
      <c r="D18" s="695">
        <f>'Area Summary'!$C$44</f>
        <v>4.3366557156605179</v>
      </c>
      <c r="E18" s="64">
        <f t="shared" si="15"/>
        <v>0.65700000000000003</v>
      </c>
      <c r="F18" s="64">
        <f t="shared" si="16"/>
        <v>93.931296407705133</v>
      </c>
      <c r="G18" s="84">
        <f t="shared" si="17"/>
        <v>5.1781937165400551</v>
      </c>
      <c r="H18" s="65">
        <f t="shared" si="1"/>
        <v>0.83131459515187223</v>
      </c>
      <c r="I18" s="64">
        <f t="shared" si="2"/>
        <v>93.931296407705133</v>
      </c>
      <c r="J18" s="84">
        <f t="shared" si="3"/>
        <v>5.1781937165400551</v>
      </c>
      <c r="K18" s="65">
        <f t="shared" si="3"/>
        <v>0.83131459515187223</v>
      </c>
      <c r="L18" s="64">
        <f t="shared" si="4"/>
        <v>0</v>
      </c>
      <c r="M18" s="72">
        <f t="shared" si="5"/>
        <v>0</v>
      </c>
      <c r="N18" s="72">
        <f t="shared" si="6"/>
        <v>0</v>
      </c>
      <c r="O18" s="64">
        <f t="shared" si="18"/>
        <v>0</v>
      </c>
      <c r="P18" s="84">
        <f t="shared" si="7"/>
        <v>0</v>
      </c>
      <c r="Q18" s="84">
        <f t="shared" si="19"/>
        <v>99.94080471939705</v>
      </c>
      <c r="R18" s="73">
        <f t="shared" si="20"/>
        <v>370.10398146154068</v>
      </c>
      <c r="S18" s="694">
        <f>IF(NOT(EXACT(A18, "MP Complete")), INDEX(MP_new!$A$4:$J$9, MATCH(Step4!A18 - 1, MP_new!$A$4:$A$9, 0), 7), S16)</f>
        <v>54321.653018812802</v>
      </c>
      <c r="T18" s="693">
        <f>IF(EXACT($Q$5, "Yes"), IF(NOT(EXACT(A18, "MP Complete")), INDEX(MP_new!$A$4:$J$9, MATCH(Step4!A18, MP_new!$A$4:$A$9, 0), 10), T16), 0)</f>
        <v>9000</v>
      </c>
      <c r="U18" s="6">
        <f>('NPV Summary'!$B$16-S18)+T18</f>
        <v>20088.187092879998</v>
      </c>
      <c r="V18" s="6">
        <f>LOOKUP(B18,Rates!$A$5:$B$168)</f>
        <v>1249</v>
      </c>
      <c r="W18" s="72">
        <f t="shared" si="8"/>
        <v>25.090145679007115</v>
      </c>
      <c r="X18" s="73">
        <f t="shared" si="24"/>
        <v>89.019060902039826</v>
      </c>
      <c r="Y18" s="20">
        <f t="shared" si="25"/>
        <v>-74.850659040389928</v>
      </c>
      <c r="Z18" s="20">
        <f t="shared" si="25"/>
        <v>-281.08492055950086</v>
      </c>
      <c r="AA18" s="465">
        <f>IF(SUM(AA$11:AA17)&gt;0,0,IF(SUM(X18-R18)&gt;0,B18,0))</f>
        <v>0</v>
      </c>
      <c r="AB18" s="171">
        <f>ABS(Z18)*1000000/SUM(U$12:U18)</f>
        <v>3734.6251115300456</v>
      </c>
      <c r="AH18" s="28">
        <f t="shared" si="21"/>
        <v>2013</v>
      </c>
      <c r="AI18" s="30">
        <f>Rates!B11</f>
        <v>847</v>
      </c>
      <c r="AK18" s="29">
        <f t="shared" si="22"/>
        <v>2013</v>
      </c>
      <c r="AL18" s="8" t="str">
        <f>Rates!E11</f>
        <v>-</v>
      </c>
      <c r="AM18" s="30">
        <f>Rates!F11</f>
        <v>847</v>
      </c>
      <c r="AN18" s="31">
        <f>Rates!G11</f>
        <v>593</v>
      </c>
      <c r="AP18" s="16">
        <f t="shared" si="9"/>
        <v>2024</v>
      </c>
      <c r="AQ18" s="77">
        <f t="shared" si="0"/>
        <v>0</v>
      </c>
      <c r="AS18" s="136">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4">
        <f t="shared" si="14"/>
        <v>2025</v>
      </c>
      <c r="C19" s="695">
        <f>'10 YEAR PROJECTION'!O$54/1000000</f>
        <v>46.911009374999992</v>
      </c>
      <c r="D19" s="695">
        <f>'Area Summary'!$D$44</f>
        <v>9.616785314343435</v>
      </c>
      <c r="E19" s="66">
        <f t="shared" si="15"/>
        <v>0.65700000000000003</v>
      </c>
      <c r="F19" s="66">
        <f t="shared" si="16"/>
        <v>54.629980848852824</v>
      </c>
      <c r="G19" s="67">
        <f t="shared" si="17"/>
        <v>11.827432927512683</v>
      </c>
      <c r="H19" s="68">
        <f t="shared" si="1"/>
        <v>0.8645671789579471</v>
      </c>
      <c r="I19" s="66">
        <f t="shared" si="2"/>
        <v>54.629980848852824</v>
      </c>
      <c r="J19" s="67">
        <f t="shared" si="3"/>
        <v>11.827432927512683</v>
      </c>
      <c r="K19" s="68">
        <f t="shared" si="3"/>
        <v>0.8645671789579471</v>
      </c>
      <c r="L19" s="66">
        <f t="shared" si="4"/>
        <v>0</v>
      </c>
      <c r="M19" s="70">
        <f t="shared" si="5"/>
        <v>0</v>
      </c>
      <c r="N19" s="70">
        <f t="shared" si="6"/>
        <v>0</v>
      </c>
      <c r="O19" s="66">
        <f t="shared" si="18"/>
        <v>0</v>
      </c>
      <c r="P19" s="67">
        <f t="shared" si="7"/>
        <v>0</v>
      </c>
      <c r="Q19" s="67">
        <f t="shared" si="19"/>
        <v>67.321980955323454</v>
      </c>
      <c r="R19" s="71">
        <f t="shared" si="20"/>
        <v>437.42596241686414</v>
      </c>
      <c r="S19" s="694">
        <f>IF(NOT(EXACT(A19, "MP Complete")), INDEX(MP_new!$A$4:$J$9, MATCH(Step4!A19 - 1, MP_new!$A$4:$A$9, 0), 7), S17)</f>
        <v>51216.431518812809</v>
      </c>
      <c r="T19" s="693">
        <f>IF(EXACT($Q$5, "Yes"), IF(NOT(EXACT(A19, "MP Complete")), INDEX(MP_new!$A$4:$J$9, MATCH(Step4!A19, MP_new!$A$4:$A$9, 0), 10), T17), 0)</f>
        <v>9000</v>
      </c>
      <c r="U19" s="82">
        <f>('NPV Summary'!$B$16-S19)+T19</f>
        <v>23193.40859287999</v>
      </c>
      <c r="V19" s="82">
        <f>LOOKUP(B19,Rates!$A$5:$B$168)</f>
        <v>1296</v>
      </c>
      <c r="W19" s="70">
        <f t="shared" si="8"/>
        <v>30.058657536372468</v>
      </c>
      <c r="X19" s="71">
        <f t="shared" si="24"/>
        <v>119.07771843841229</v>
      </c>
      <c r="Y19" s="470">
        <f t="shared" si="25"/>
        <v>-37.263323418950989</v>
      </c>
      <c r="Z19" s="470">
        <f t="shared" si="25"/>
        <v>-318.34824397845182</v>
      </c>
      <c r="AA19" s="466">
        <f>IF(SUM(AA$11:AA18)&gt;0,0,IF(SUM(X19-R19)&gt;0,B19,0))</f>
        <v>0</v>
      </c>
      <c r="AB19" s="471">
        <f>ABS(Z19)*1000000/SUM(U$12:U19)</f>
        <v>3233.3415404956204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33">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5">
        <f t="shared" si="14"/>
        <v>2026</v>
      </c>
      <c r="C20" s="695">
        <f>'10 YEAR PROJECTION'!P$54/1000000</f>
        <v>42.48481249999999</v>
      </c>
      <c r="D20" s="695">
        <f>'Area Summary'!$D$44</f>
        <v>9.616785314343435</v>
      </c>
      <c r="E20" s="64">
        <f t="shared" si="15"/>
        <v>0.65700000000000003</v>
      </c>
      <c r="F20" s="64">
        <f t="shared" si="16"/>
        <v>50.563935922417564</v>
      </c>
      <c r="G20" s="84">
        <f t="shared" si="17"/>
        <v>12.182255915338063</v>
      </c>
      <c r="H20" s="65">
        <f t="shared" si="1"/>
        <v>0.89914986611626513</v>
      </c>
      <c r="I20" s="64">
        <f t="shared" si="2"/>
        <v>50.563935922417564</v>
      </c>
      <c r="J20" s="84">
        <f t="shared" si="3"/>
        <v>12.182255915338063</v>
      </c>
      <c r="K20" s="65">
        <f t="shared" si="3"/>
        <v>0.89914986611626513</v>
      </c>
      <c r="L20" s="64">
        <f t="shared" si="4"/>
        <v>0</v>
      </c>
      <c r="M20" s="72">
        <f t="shared" si="5"/>
        <v>0</v>
      </c>
      <c r="N20" s="72">
        <f t="shared" si="6"/>
        <v>0</v>
      </c>
      <c r="O20" s="64">
        <f t="shared" si="18"/>
        <v>0</v>
      </c>
      <c r="P20" s="84">
        <f t="shared" si="7"/>
        <v>0</v>
      </c>
      <c r="Q20" s="84">
        <f t="shared" si="19"/>
        <v>63.645341703871892</v>
      </c>
      <c r="R20" s="73">
        <f t="shared" si="20"/>
        <v>501.07130412073604</v>
      </c>
      <c r="S20" s="694">
        <f>IF(NOT(EXACT(A20, "MP Complete")), INDEX(MP_new!$A$4:$J$9, MATCH(Step4!A20 - 1, MP_new!$A$4:$A$9, 0), 7), S18)</f>
        <v>51216.431518812809</v>
      </c>
      <c r="T20" s="693">
        <f>IF(EXACT($Q$5, "Yes"), IF(NOT(EXACT(A20, "MP Complete")), INDEX(MP_new!$A$4:$J$9, MATCH(Step4!A20, MP_new!$A$4:$A$9, 0), 10), T18), 0)</f>
        <v>9000</v>
      </c>
      <c r="U20" s="6">
        <f>('NPV Summary'!$B$16-S20)+T20</f>
        <v>23193.40859287999</v>
      </c>
      <c r="V20" s="6">
        <f>LOOKUP(B20,Rates!$A$5:$B$168)</f>
        <v>1344</v>
      </c>
      <c r="W20" s="72">
        <f t="shared" si="8"/>
        <v>31.171941148830708</v>
      </c>
      <c r="X20" s="73">
        <f t="shared" si="24"/>
        <v>150.249659587243</v>
      </c>
      <c r="Y20" s="20">
        <f t="shared" si="25"/>
        <v>-32.473400555041181</v>
      </c>
      <c r="Z20" s="20">
        <f t="shared" si="25"/>
        <v>-350.82164453349304</v>
      </c>
      <c r="AA20" s="465">
        <f>IF(SUM(AA$11:AA19)&gt;0,0,IF(SUM(X20-R20)&gt;0,B20,0))</f>
        <v>0</v>
      </c>
      <c r="AB20" s="171">
        <f>ABS(Z20)*1000000/SUM(U$12:U20)</f>
        <v>2883.8279431100518</v>
      </c>
      <c r="AH20" s="55">
        <f t="shared" si="21"/>
        <v>2015</v>
      </c>
      <c r="AI20" s="87">
        <f>Rates!B13</f>
        <v>923</v>
      </c>
      <c r="AK20" s="55">
        <f t="shared" si="22"/>
        <v>2015</v>
      </c>
      <c r="AL20" s="87" t="str">
        <f>Rates!E13</f>
        <v>-</v>
      </c>
      <c r="AM20" s="87">
        <f>Rates!F13</f>
        <v>923</v>
      </c>
      <c r="AN20" s="88">
        <f>Rates!G13</f>
        <v>582</v>
      </c>
      <c r="AP20" s="16">
        <f t="shared" si="9"/>
        <v>2026</v>
      </c>
      <c r="AQ20" s="77">
        <f t="shared" si="0"/>
        <v>0</v>
      </c>
      <c r="AS20" s="136">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4">
        <f t="shared" si="14"/>
        <v>2027</v>
      </c>
      <c r="C21" s="695">
        <f>'10 YEAR PROJECTION'!Q$54/1000000</f>
        <v>78.239109374999984</v>
      </c>
      <c r="D21" s="695">
        <f>'Area Summary'!$D$44</f>
        <v>9.616785314343435</v>
      </c>
      <c r="E21" s="66">
        <f t="shared" si="15"/>
        <v>0.65700000000000003</v>
      </c>
      <c r="F21" s="66">
        <f t="shared" si="16"/>
        <v>95.166031719027558</v>
      </c>
      <c r="G21" s="67">
        <f t="shared" si="17"/>
        <v>12.547723592798205</v>
      </c>
      <c r="H21" s="68">
        <f t="shared" si="1"/>
        <v>0.9351158607609158</v>
      </c>
      <c r="I21" s="66">
        <f t="shared" si="2"/>
        <v>95.166031719027558</v>
      </c>
      <c r="J21" s="67">
        <f t="shared" si="3"/>
        <v>12.547723592798205</v>
      </c>
      <c r="K21" s="68">
        <f t="shared" si="3"/>
        <v>0.9351158607609158</v>
      </c>
      <c r="L21" s="66">
        <f t="shared" si="4"/>
        <v>0</v>
      </c>
      <c r="M21" s="70">
        <f t="shared" si="5"/>
        <v>0</v>
      </c>
      <c r="N21" s="70">
        <f t="shared" si="6"/>
        <v>0</v>
      </c>
      <c r="O21" s="66">
        <f t="shared" si="18"/>
        <v>0</v>
      </c>
      <c r="P21" s="67">
        <f t="shared" si="7"/>
        <v>0</v>
      </c>
      <c r="Q21" s="67">
        <f t="shared" si="19"/>
        <v>108.64887117258668</v>
      </c>
      <c r="R21" s="71">
        <f t="shared" si="20"/>
        <v>609.72017529332277</v>
      </c>
      <c r="S21" s="694">
        <f>IF(NOT(EXACT(A21, "MP Complete")), INDEX(MP_new!$A$4:$J$9, MATCH(Step4!A21 - 1, MP_new!$A$4:$A$9, 0), 7), S19)</f>
        <v>51216.431518812809</v>
      </c>
      <c r="T21" s="693">
        <f>IF(EXACT($Q$5, "Yes"), IF(NOT(EXACT(A21, "MP Complete")), INDEX(MP_new!$A$4:$J$9, MATCH(Step4!A21, MP_new!$A$4:$A$9, 0), 10), T19), 0)</f>
        <v>9000</v>
      </c>
      <c r="U21" s="82">
        <f>('NPV Summary'!$B$16-S21)+T21</f>
        <v>23193.40859287999</v>
      </c>
      <c r="V21" s="82">
        <f>LOOKUP(B21,Rates!$A$5:$B$168)</f>
        <v>1392.384</v>
      </c>
      <c r="W21" s="70">
        <f t="shared" si="8"/>
        <v>32.294131030188609</v>
      </c>
      <c r="X21" s="71">
        <f t="shared" si="24"/>
        <v>182.54379061743163</v>
      </c>
      <c r="Y21" s="470">
        <f t="shared" si="25"/>
        <v>-76.354740142398072</v>
      </c>
      <c r="Z21" s="470">
        <f t="shared" si="25"/>
        <v>-427.17638467589114</v>
      </c>
      <c r="AA21" s="466">
        <f>IF(SUM(AA$11:AA20)&gt;0,0,IF(SUM(X21-R21)&gt;0,B21,0))</f>
        <v>0</v>
      </c>
      <c r="AB21" s="471">
        <f>ABS(Z21)*1000000/SUM(U$12:U21)</f>
        <v>2949.2009574839658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34">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5">
        <f t="shared" si="14"/>
        <v>2028</v>
      </c>
      <c r="C22" s="695">
        <f>'10 YEAR PROJECTION'!R$54/1000000</f>
        <v>44.618596874999994</v>
      </c>
      <c r="D22" s="695">
        <f>'Area Summary'!$D$44</f>
        <v>9.616785314343435</v>
      </c>
      <c r="E22" s="64">
        <f t="shared" si="15"/>
        <v>0.65700000000000003</v>
      </c>
      <c r="F22" s="64">
        <f t="shared" si="16"/>
        <v>55.465747065004585</v>
      </c>
      <c r="G22" s="84">
        <f t="shared" si="17"/>
        <v>12.924155300582152</v>
      </c>
      <c r="H22" s="65">
        <f t="shared" si="1"/>
        <v>0.97252049519135242</v>
      </c>
      <c r="I22" s="64">
        <f t="shared" si="2"/>
        <v>55.465747065004585</v>
      </c>
      <c r="J22" s="84">
        <f t="shared" si="3"/>
        <v>12.924155300582152</v>
      </c>
      <c r="K22" s="65">
        <f t="shared" si="3"/>
        <v>0.97252049519135242</v>
      </c>
      <c r="L22" s="64">
        <f t="shared" si="4"/>
        <v>0</v>
      </c>
      <c r="M22" s="72">
        <f t="shared" si="5"/>
        <v>0</v>
      </c>
      <c r="N22" s="72">
        <f t="shared" si="6"/>
        <v>0</v>
      </c>
      <c r="O22" s="64">
        <f t="shared" si="18"/>
        <v>0</v>
      </c>
      <c r="P22" s="84">
        <f t="shared" si="7"/>
        <v>0</v>
      </c>
      <c r="Q22" s="84">
        <f t="shared" si="19"/>
        <v>69.362422860778082</v>
      </c>
      <c r="R22" s="73">
        <f t="shared" si="20"/>
        <v>679.08259815410088</v>
      </c>
      <c r="S22" s="694">
        <f>IF(NOT(EXACT(A22, "MP Complete")), INDEX(MP_new!$A$4:$J$9, MATCH(Step4!A22 - 1, MP_new!$A$4:$A$9, 0), 7), S20)</f>
        <v>49704.839141362812</v>
      </c>
      <c r="T22" s="693">
        <f>IF(EXACT($Q$5, "Yes"), IF(NOT(EXACT(A22, "MP Complete")), INDEX(MP_new!$A$4:$J$9, MATCH(Step4!A22, MP_new!$A$4:$A$9, 0), 10), T20), 0)</f>
        <v>9000</v>
      </c>
      <c r="U22" s="6">
        <f>('NPV Summary'!$B$16-S22)+T22</f>
        <v>24705.000970329987</v>
      </c>
      <c r="V22" s="6">
        <f>LOOKUP(B22,Rates!$A$5:$B$168)</f>
        <v>1442.509824</v>
      </c>
      <c r="W22" s="72">
        <f t="shared" si="8"/>
        <v>35.637206601630538</v>
      </c>
      <c r="X22" s="73">
        <f t="shared" si="24"/>
        <v>218.18099721906216</v>
      </c>
      <c r="Y22" s="20">
        <f t="shared" si="25"/>
        <v>-33.725216259147544</v>
      </c>
      <c r="Z22" s="20">
        <f t="shared" si="25"/>
        <v>-460.90160093503869</v>
      </c>
      <c r="AA22" s="465">
        <f>IF(SUM(AA$11:AA21)&gt;0,0,IF(SUM(X22-R22)&gt;0,B22,0))</f>
        <v>0</v>
      </c>
      <c r="AB22" s="171">
        <f>ABS(Z22)*1000000/SUM(U$12:U22)</f>
        <v>2718.3850024040389</v>
      </c>
      <c r="AH22" s="55">
        <f t="shared" si="21"/>
        <v>2017</v>
      </c>
      <c r="AI22" s="8">
        <f>Rates!B15</f>
        <v>979</v>
      </c>
      <c r="AK22" s="55">
        <f t="shared" si="22"/>
        <v>2017</v>
      </c>
      <c r="AL22" s="8" t="str">
        <f>Rates!E15</f>
        <v>-</v>
      </c>
      <c r="AM22" s="114">
        <f>Rates!F15</f>
        <v>979</v>
      </c>
      <c r="AN22" s="115">
        <f>Rates!G15</f>
        <v>666</v>
      </c>
      <c r="AP22" s="16">
        <f t="shared" si="9"/>
        <v>2028</v>
      </c>
      <c r="AQ22" s="77">
        <f t="shared" si="0"/>
        <v>0</v>
      </c>
      <c r="AS22" s="135">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4">
        <f t="shared" si="14"/>
        <v>2029</v>
      </c>
      <c r="C23" s="695">
        <f>'10 YEAR PROJECTION'!S$54/1000000</f>
        <v>41.845962499999999</v>
      </c>
      <c r="D23" s="695">
        <f>'Area Summary'!$E$44</f>
        <v>11.234676200331869</v>
      </c>
      <c r="E23" s="66">
        <f t="shared" si="15"/>
        <v>0.65700000000000003</v>
      </c>
      <c r="F23" s="66">
        <f t="shared" si="16"/>
        <v>53.163481696653733</v>
      </c>
      <c r="G23" s="67">
        <f t="shared" si="17"/>
        <v>15.551419323121188</v>
      </c>
      <c r="H23" s="68">
        <f t="shared" si="1"/>
        <v>1.0114213149990066</v>
      </c>
      <c r="I23" s="66">
        <f t="shared" si="2"/>
        <v>53.163481696653733</v>
      </c>
      <c r="J23" s="67">
        <f t="shared" si="3"/>
        <v>15.551419323121188</v>
      </c>
      <c r="K23" s="68">
        <f t="shared" si="3"/>
        <v>1.0114213149990066</v>
      </c>
      <c r="L23" s="66">
        <f t="shared" si="4"/>
        <v>0</v>
      </c>
      <c r="M23" s="70">
        <f t="shared" si="5"/>
        <v>0</v>
      </c>
      <c r="N23" s="70">
        <f t="shared" si="6"/>
        <v>0</v>
      </c>
      <c r="O23" s="66">
        <f t="shared" si="18"/>
        <v>0</v>
      </c>
      <c r="P23" s="67">
        <f t="shared" si="7"/>
        <v>0</v>
      </c>
      <c r="Q23" s="67">
        <f t="shared" si="19"/>
        <v>69.726322334773926</v>
      </c>
      <c r="R23" s="71">
        <f t="shared" si="20"/>
        <v>748.80892048887483</v>
      </c>
      <c r="S23" s="694">
        <f>IF(NOT(EXACT(A23, "MP Complete")), INDEX(MP_new!$A$4:$J$9, MATCH(Step4!A23 - 1, MP_new!$A$4:$A$9, 0), 7), S21)</f>
        <v>49704.839141362812</v>
      </c>
      <c r="T23" s="693">
        <f>IF(EXACT($Q$5, "Yes"), IF(NOT(EXACT(A23, "MP Complete")), INDEX(MP_new!$A$4:$J$9, MATCH(Step4!A23, MP_new!$A$4:$A$9, 0), 10), T21), 0)</f>
        <v>9000</v>
      </c>
      <c r="U23" s="82">
        <f>('NPV Summary'!$B$16-S23)+T23</f>
        <v>24705.000970329987</v>
      </c>
      <c r="V23" s="82">
        <f>LOOKUP(B23,Rates!$A$5:$B$168)</f>
        <v>1494.440177664</v>
      </c>
      <c r="W23" s="70">
        <f t="shared" si="8"/>
        <v>36.920146039289236</v>
      </c>
      <c r="X23" s="71">
        <f t="shared" si="24"/>
        <v>255.10114325835139</v>
      </c>
      <c r="Y23" s="470">
        <f t="shared" si="25"/>
        <v>-32.80617629548469</v>
      </c>
      <c r="Z23" s="470">
        <f t="shared" si="25"/>
        <v>-493.70777723052345</v>
      </c>
      <c r="AA23" s="466">
        <f>IF(SUM(AA$11:AA22)&gt;0,0,IF(SUM(X23-R23)&gt;0,B23,0))</f>
        <v>0</v>
      </c>
      <c r="AB23" s="471">
        <f>ABS(Z23)*1000000/SUM(U$12:U23)</f>
        <v>2541.5475200241231</v>
      </c>
      <c r="AH23" s="52">
        <f t="shared" si="21"/>
        <v>2018</v>
      </c>
      <c r="AI23" s="53">
        <f>Rates!B16</f>
        <v>1015</v>
      </c>
      <c r="AK23" s="52">
        <f t="shared" si="22"/>
        <v>2018</v>
      </c>
      <c r="AL23" s="53" t="str">
        <f>Rates!E16</f>
        <v>-</v>
      </c>
      <c r="AM23" s="472">
        <f>Rates!F16</f>
        <v>1015</v>
      </c>
      <c r="AN23" s="473">
        <f>Rates!G16</f>
        <v>695</v>
      </c>
      <c r="AP23" s="48">
        <f t="shared" si="9"/>
        <v>2029</v>
      </c>
      <c r="AQ23" s="78">
        <f t="shared" si="0"/>
        <v>0</v>
      </c>
      <c r="AS23" s="133">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5">
        <f t="shared" si="14"/>
        <v>2030</v>
      </c>
      <c r="C24" s="695">
        <f>'10 YEAR PROJECTION'!T$54/1000000</f>
        <v>76.444646875000004</v>
      </c>
      <c r="D24" s="695">
        <f>'Area Summary'!$E$44</f>
        <v>11.234676200331869</v>
      </c>
      <c r="E24" s="64">
        <f t="shared" si="15"/>
        <v>0.65700000000000003</v>
      </c>
      <c r="F24" s="64">
        <f t="shared" si="16"/>
        <v>99.256242076282447</v>
      </c>
      <c r="G24" s="84">
        <f t="shared" si="17"/>
        <v>16.017961902814822</v>
      </c>
      <c r="H24" s="65">
        <f t="shared" si="1"/>
        <v>1.051878167598967</v>
      </c>
      <c r="I24" s="64">
        <f t="shared" si="2"/>
        <v>99.256242076282447</v>
      </c>
      <c r="J24" s="84">
        <f t="shared" si="3"/>
        <v>16.017961902814822</v>
      </c>
      <c r="K24" s="65">
        <f t="shared" si="3"/>
        <v>1.051878167598967</v>
      </c>
      <c r="L24" s="64">
        <f t="shared" si="4"/>
        <v>0</v>
      </c>
      <c r="M24" s="72">
        <f t="shared" si="5"/>
        <v>0</v>
      </c>
      <c r="N24" s="72">
        <f t="shared" si="6"/>
        <v>0</v>
      </c>
      <c r="O24" s="64">
        <f t="shared" si="18"/>
        <v>0</v>
      </c>
      <c r="P24" s="84">
        <f t="shared" si="7"/>
        <v>0</v>
      </c>
      <c r="Q24" s="84">
        <f t="shared" si="19"/>
        <v>116.32608214669624</v>
      </c>
      <c r="R24" s="73">
        <f t="shared" si="20"/>
        <v>865.13500263557103</v>
      </c>
      <c r="S24" s="694">
        <f>IF(NOT(EXACT(A24, "MP Complete")), INDEX(MP_new!$A$4:$J$9, MATCH(Step4!A24 - 1, MP_new!$A$4:$A$9, 0), 7), S22)</f>
        <v>49704.839141362812</v>
      </c>
      <c r="T24" s="693">
        <f>IF(EXACT($Q$5, "Yes"), IF(NOT(EXACT(A24, "MP Complete")), INDEX(MP_new!$A$4:$J$9, MATCH(Step4!A24, MP_new!$A$4:$A$9, 0), 10), T22), 0)</f>
        <v>9000</v>
      </c>
      <c r="U24" s="6">
        <f>('NPV Summary'!$B$16-S24)+T24</f>
        <v>24705.000970329987</v>
      </c>
      <c r="V24" s="6">
        <f>LOOKUP(B24,Rates!$A$5:$B$168)</f>
        <v>1548.240024059904</v>
      </c>
      <c r="W24" s="72">
        <f t="shared" si="8"/>
        <v>38.249271296703654</v>
      </c>
      <c r="X24" s="73">
        <f t="shared" si="24"/>
        <v>293.35041455505507</v>
      </c>
      <c r="Y24" s="20">
        <f t="shared" si="25"/>
        <v>-78.076810849992583</v>
      </c>
      <c r="Z24" s="20">
        <f t="shared" si="25"/>
        <v>-571.78458808051596</v>
      </c>
      <c r="AA24" s="465">
        <f>IF(SUM(AA$11:AA23)&gt;0,0,IF(SUM(X24-R24)&gt;0,B24,0))</f>
        <v>0</v>
      </c>
      <c r="AB24" s="171">
        <f>ABS(Z24)*1000000/SUM(U$12:U24)</f>
        <v>2611.3679966690461</v>
      </c>
      <c r="AH24" s="55">
        <f t="shared" si="21"/>
        <v>2019</v>
      </c>
      <c r="AI24" s="8">
        <f>Rates!B17</f>
        <v>1053</v>
      </c>
      <c r="AK24" s="55">
        <f t="shared" si="22"/>
        <v>2019</v>
      </c>
      <c r="AL24" s="8" t="str">
        <f>Rates!E17</f>
        <v>-</v>
      </c>
      <c r="AM24" s="114">
        <f>Rates!F17</f>
        <v>1053</v>
      </c>
      <c r="AN24" s="115">
        <f>Rates!G17</f>
        <v>738</v>
      </c>
      <c r="AP24" s="16">
        <f t="shared" si="9"/>
        <v>2030</v>
      </c>
      <c r="AQ24" s="77">
        <f t="shared" si="0"/>
        <v>0</v>
      </c>
      <c r="AS24" s="136">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4">
        <f t="shared" si="14"/>
        <v>2031</v>
      </c>
      <c r="C25" s="695">
        <v>0</v>
      </c>
      <c r="D25" s="695">
        <f>'Area Summary'!$F$44</f>
        <v>14.748636883992878</v>
      </c>
      <c r="E25" s="66">
        <f t="shared" si="15"/>
        <v>0.65700000000000003</v>
      </c>
      <c r="F25" s="66">
        <f t="shared" si="16"/>
        <v>0</v>
      </c>
      <c r="G25" s="67">
        <f t="shared" si="17"/>
        <v>21.658870491598766</v>
      </c>
      <c r="H25" s="68">
        <f t="shared" si="1"/>
        <v>1.0939532943029258</v>
      </c>
      <c r="I25" s="66">
        <f t="shared" si="2"/>
        <v>0</v>
      </c>
      <c r="J25" s="67">
        <f t="shared" si="3"/>
        <v>21.658870491598766</v>
      </c>
      <c r="K25" s="68">
        <f t="shared" si="3"/>
        <v>1.0939532943029258</v>
      </c>
      <c r="L25" s="66">
        <f t="shared" si="4"/>
        <v>0</v>
      </c>
      <c r="M25" s="70">
        <f t="shared" si="5"/>
        <v>0</v>
      </c>
      <c r="N25" s="70">
        <f t="shared" si="6"/>
        <v>0</v>
      </c>
      <c r="O25" s="66">
        <f t="shared" si="18"/>
        <v>0</v>
      </c>
      <c r="P25" s="67">
        <f t="shared" si="7"/>
        <v>0</v>
      </c>
      <c r="Q25" s="67">
        <f t="shared" si="19"/>
        <v>22.75282378590169</v>
      </c>
      <c r="R25" s="71">
        <f t="shared" si="20"/>
        <v>887.88782642147271</v>
      </c>
      <c r="S25" s="694">
        <f>IF(NOT(EXACT(A25, "MP Complete")), INDEX(MP_new!$A$4:$J$9, MATCH(Step4!A25 - 1, MP_new!$A$4:$A$9, 0), 7), S23)</f>
        <v>48544.957141362807</v>
      </c>
      <c r="T25" s="693">
        <f>IF(EXACT($Q$5, "Yes"), IF(NOT(EXACT(A25, "MP Complete")), INDEX(MP_new!$A$4:$J$9, MATCH(Step4!A25, MP_new!$A$4:$A$9, 0), 10), T23), 0)</f>
        <v>9000</v>
      </c>
      <c r="U25" s="82">
        <f>('NPV Summary'!$B$16-S25)+T25</f>
        <v>25864.882970329993</v>
      </c>
      <c r="V25" s="82">
        <f>LOOKUP(B25,Rates!$A$5:$B$168)</f>
        <v>1603.9766649260607</v>
      </c>
      <c r="W25" s="70">
        <f t="shared" si="8"/>
        <v>41.486668725452766</v>
      </c>
      <c r="X25" s="71">
        <f t="shared" si="24"/>
        <v>334.83708328050784</v>
      </c>
      <c r="Y25" s="470">
        <f t="shared" si="25"/>
        <v>18.733844939551076</v>
      </c>
      <c r="Z25" s="470">
        <f t="shared" si="25"/>
        <v>-553.05074314096487</v>
      </c>
      <c r="AA25" s="466">
        <f>IF(SUM(AA$11:AA24)&gt;0,0,IF(SUM(X25-R25)&gt;0,B25,0))</f>
        <v>0</v>
      </c>
      <c r="AB25" s="471">
        <f>ABS(Z25)*1000000/SUM(U$12:U25)</f>
        <v>2258.9665351239569</v>
      </c>
      <c r="AH25" s="52">
        <f t="shared" si="21"/>
        <v>2020</v>
      </c>
      <c r="AI25" s="53">
        <f>Rates!B18</f>
        <v>1092</v>
      </c>
      <c r="AK25" s="52">
        <f t="shared" si="22"/>
        <v>2020</v>
      </c>
      <c r="AL25" s="53" t="str">
        <f>Rates!E18</f>
        <v>-</v>
      </c>
      <c r="AM25" s="472">
        <f>Rates!F18</f>
        <v>1092</v>
      </c>
      <c r="AN25" s="473">
        <f>Rates!G18</f>
        <v>783</v>
      </c>
      <c r="AP25" s="48">
        <f t="shared" si="9"/>
        <v>2031</v>
      </c>
      <c r="AQ25" s="78">
        <f t="shared" si="0"/>
        <v>0</v>
      </c>
      <c r="AS25" s="133">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5">
        <f t="shared" si="14"/>
        <v>2032</v>
      </c>
      <c r="C26" s="695">
        <v>0</v>
      </c>
      <c r="D26" s="695">
        <f>'Area Summary'!$F$44</f>
        <v>14.748636883992878</v>
      </c>
      <c r="E26" s="64">
        <f t="shared" si="15"/>
        <v>0.65700000000000003</v>
      </c>
      <c r="F26" s="64">
        <f t="shared" si="16"/>
        <v>0</v>
      </c>
      <c r="G26" s="84">
        <f t="shared" si="17"/>
        <v>22.308636606346731</v>
      </c>
      <c r="H26" s="65">
        <f t="shared" si="1"/>
        <v>1.1377114260750427</v>
      </c>
      <c r="I26" s="64">
        <f t="shared" si="2"/>
        <v>0</v>
      </c>
      <c r="J26" s="84">
        <f t="shared" si="3"/>
        <v>22.308636606346731</v>
      </c>
      <c r="K26" s="65">
        <f t="shared" si="3"/>
        <v>1.1377114260750427</v>
      </c>
      <c r="L26" s="64">
        <f t="shared" si="4"/>
        <v>0</v>
      </c>
      <c r="M26" s="72">
        <f t="shared" si="5"/>
        <v>0</v>
      </c>
      <c r="N26" s="72">
        <f t="shared" si="6"/>
        <v>0</v>
      </c>
      <c r="O26" s="64">
        <f t="shared" si="18"/>
        <v>0</v>
      </c>
      <c r="P26" s="84">
        <f t="shared" si="7"/>
        <v>0</v>
      </c>
      <c r="Q26" s="84">
        <f t="shared" si="19"/>
        <v>23.446348032421774</v>
      </c>
      <c r="R26" s="73">
        <f t="shared" si="20"/>
        <v>911.33417445389443</v>
      </c>
      <c r="S26" s="694">
        <f>IF(NOT(EXACT(A26, "MP Complete")), INDEX(MP_new!$A$4:$J$9, MATCH(Step4!A26 - 1, MP_new!$A$4:$A$9, 0), 7), S24)</f>
        <v>48544.957141362807</v>
      </c>
      <c r="T26" s="693">
        <f>IF(EXACT($Q$5, "Yes"), IF(NOT(EXACT(A26, "MP Complete")), INDEX(MP_new!$A$4:$J$9, MATCH(Step4!A26, MP_new!$A$4:$A$9, 0), 10), T24), 0)</f>
        <v>9000</v>
      </c>
      <c r="U26" s="6">
        <f>('NPV Summary'!$B$16-S26)+T26</f>
        <v>25864.882970329993</v>
      </c>
      <c r="V26" s="6">
        <f>LOOKUP(B26,Rates!$A$5:$B$168)</f>
        <v>1661.719824863399</v>
      </c>
      <c r="W26" s="72">
        <f t="shared" si="8"/>
        <v>42.980188799569071</v>
      </c>
      <c r="X26" s="73">
        <f t="shared" si="24"/>
        <v>377.81727208007692</v>
      </c>
      <c r="Y26" s="20">
        <f t="shared" si="25"/>
        <v>19.533840767147296</v>
      </c>
      <c r="Z26" s="20">
        <f t="shared" si="25"/>
        <v>-533.51690237381752</v>
      </c>
      <c r="AA26" s="465">
        <f>IF(SUM(AA$11:AA25)&gt;0,0,IF(SUM(X26-R26)&gt;0,B26,0))</f>
        <v>0</v>
      </c>
      <c r="AB26" s="171">
        <f>ABS(Z26)*1000000/SUM(U$12:U26)</f>
        <v>1970.9548843964733</v>
      </c>
      <c r="AH26" s="55">
        <f t="shared" si="21"/>
        <v>2021</v>
      </c>
      <c r="AI26" s="8">
        <f>Rates!B19</f>
        <v>1123</v>
      </c>
      <c r="AK26" s="55">
        <f t="shared" si="22"/>
        <v>2021</v>
      </c>
      <c r="AL26" s="8" t="str">
        <f>Rates!E19</f>
        <v>-</v>
      </c>
      <c r="AM26" s="114">
        <f>Rates!F19</f>
        <v>1123</v>
      </c>
      <c r="AN26" s="115">
        <f>Rates!G19</f>
        <v>835</v>
      </c>
      <c r="AP26" s="16">
        <f t="shared" si="9"/>
        <v>2032</v>
      </c>
      <c r="AQ26" s="77">
        <f t="shared" si="0"/>
        <v>0</v>
      </c>
      <c r="AS26" s="136">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4">
        <f t="shared" si="14"/>
        <v>2033</v>
      </c>
      <c r="C27" s="695">
        <f>'10 YEAR PROJECTION'!X$55/1000000</f>
        <v>0</v>
      </c>
      <c r="D27" s="695">
        <f>'Area Summary'!$F$44</f>
        <v>14.748636883992878</v>
      </c>
      <c r="E27" s="66">
        <f t="shared" si="15"/>
        <v>0.65700000000000003</v>
      </c>
      <c r="F27" s="66">
        <f t="shared" si="16"/>
        <v>0</v>
      </c>
      <c r="G27" s="67">
        <f t="shared" si="17"/>
        <v>22.977895704537133</v>
      </c>
      <c r="H27" s="68">
        <f t="shared" si="1"/>
        <v>1.1832198831180443</v>
      </c>
      <c r="I27" s="66">
        <f t="shared" si="2"/>
        <v>0</v>
      </c>
      <c r="J27" s="67">
        <f t="shared" si="3"/>
        <v>22.977895704537133</v>
      </c>
      <c r="K27" s="68">
        <f t="shared" si="3"/>
        <v>1.1832198831180443</v>
      </c>
      <c r="L27" s="66">
        <f t="shared" si="4"/>
        <v>0</v>
      </c>
      <c r="M27" s="70">
        <f t="shared" si="5"/>
        <v>0</v>
      </c>
      <c r="N27" s="70">
        <f t="shared" si="6"/>
        <v>0</v>
      </c>
      <c r="O27" s="66">
        <f t="shared" si="18"/>
        <v>0</v>
      </c>
      <c r="P27" s="67">
        <f t="shared" si="7"/>
        <v>0</v>
      </c>
      <c r="Q27" s="67">
        <f t="shared" si="19"/>
        <v>24.161115587655178</v>
      </c>
      <c r="R27" s="71">
        <f t="shared" si="20"/>
        <v>935.49529004154965</v>
      </c>
      <c r="S27" s="694">
        <f>IF(NOT(EXACT(A27, "MP Complete")), INDEX(MP_new!$A$4:$J$9, MATCH(Step4!A27 - 1, MP_new!$A$4:$A$9, 0), 7), S25)</f>
        <v>48544.957141362807</v>
      </c>
      <c r="T27" s="693">
        <f>IF(EXACT($Q$5, "Yes"), IF(NOT(EXACT(A27, "MP Complete")), INDEX(MP_new!$A$4:$J$9, MATCH(Step4!A27, MP_new!$A$4:$A$9, 0), 10), T25), 0)</f>
        <v>9000</v>
      </c>
      <c r="U27" s="82">
        <f>('NPV Summary'!$B$16-S27)+T27</f>
        <v>25864.882970329993</v>
      </c>
      <c r="V27" s="82">
        <f>LOOKUP(B27,Rates!$A$5:$B$168)</f>
        <v>1721.5417385584815</v>
      </c>
      <c r="W27" s="70">
        <f t="shared" si="8"/>
        <v>44.527475596353554</v>
      </c>
      <c r="X27" s="71">
        <f t="shared" si="24"/>
        <v>422.34474767643047</v>
      </c>
      <c r="Y27" s="470">
        <f t="shared" si="25"/>
        <v>20.366360008698376</v>
      </c>
      <c r="Z27" s="470">
        <f t="shared" si="25"/>
        <v>-513.15054236511924</v>
      </c>
      <c r="AA27" s="466">
        <f>IF(SUM(AA$11:AA26)&gt;0,0,IF(SUM(X27-R27)&gt;0,B27,0))</f>
        <v>0</v>
      </c>
      <c r="AB27" s="471">
        <f>ABS(Z27)*1000000/SUM(U$12:U27)</f>
        <v>1730.3755233083698</v>
      </c>
      <c r="AH27" s="52">
        <f t="shared" si="21"/>
        <v>2022</v>
      </c>
      <c r="AI27" s="53">
        <f>Rates!B20</f>
        <v>1164</v>
      </c>
      <c r="AK27" s="52">
        <f t="shared" si="22"/>
        <v>2022</v>
      </c>
      <c r="AL27" s="53" t="str">
        <f>Rates!E20</f>
        <v>-</v>
      </c>
      <c r="AM27" s="472">
        <f>Rates!F20</f>
        <v>1164</v>
      </c>
      <c r="AN27" s="473">
        <f>Rates!G20</f>
        <v>876</v>
      </c>
      <c r="AP27" s="48">
        <f t="shared" si="9"/>
        <v>2033</v>
      </c>
      <c r="AQ27" s="78">
        <f t="shared" si="0"/>
        <v>0</v>
      </c>
      <c r="AS27" s="133">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5">
        <f t="shared" si="14"/>
        <v>2034</v>
      </c>
      <c r="C28" s="695">
        <v>0</v>
      </c>
      <c r="D28" s="695">
        <f>'Area Summary'!$F$44</f>
        <v>14.748636883992878</v>
      </c>
      <c r="E28" s="64">
        <f t="shared" si="15"/>
        <v>0.65700000000000003</v>
      </c>
      <c r="F28" s="64">
        <f t="shared" si="16"/>
        <v>0</v>
      </c>
      <c r="G28" s="84">
        <f t="shared" si="17"/>
        <v>23.667232575673243</v>
      </c>
      <c r="H28" s="65">
        <f t="shared" si="1"/>
        <v>1.2305486784427664</v>
      </c>
      <c r="I28" s="64">
        <f t="shared" si="2"/>
        <v>0</v>
      </c>
      <c r="J28" s="84">
        <f t="shared" si="3"/>
        <v>23.667232575673243</v>
      </c>
      <c r="K28" s="65">
        <f t="shared" si="3"/>
        <v>1.2305486784427664</v>
      </c>
      <c r="L28" s="64">
        <f t="shared" si="4"/>
        <v>0</v>
      </c>
      <c r="M28" s="72">
        <f t="shared" si="5"/>
        <v>0</v>
      </c>
      <c r="N28" s="72">
        <f t="shared" si="6"/>
        <v>0</v>
      </c>
      <c r="O28" s="64">
        <f t="shared" si="18"/>
        <v>0</v>
      </c>
      <c r="P28" s="84">
        <f t="shared" si="7"/>
        <v>0</v>
      </c>
      <c r="Q28" s="84">
        <f t="shared" si="19"/>
        <v>24.897781254116008</v>
      </c>
      <c r="R28" s="73">
        <f t="shared" si="20"/>
        <v>960.39307129566566</v>
      </c>
      <c r="S28" s="694">
        <f>IF(NOT(EXACT(A28, "MP Complete")), INDEX(MP_new!$A$4:$J$9, MATCH(Step4!A28 - 1, MP_new!$A$4:$A$9, 0), 7), S26)</f>
        <v>48544.957141362807</v>
      </c>
      <c r="T28" s="693">
        <f>IF(EXACT($Q$5, "Yes"), IF(NOT(EXACT(A28, "MP Complete")), INDEX(MP_new!$A$4:$J$9, MATCH(Step4!A28, MP_new!$A$4:$A$9, 0), 10), T26), 0)</f>
        <v>9000</v>
      </c>
      <c r="U28" s="6">
        <f>('NPV Summary'!$B$16-S28)+T28</f>
        <v>25864.882970329993</v>
      </c>
      <c r="V28" s="6">
        <f>LOOKUP(B28,Rates!$A$5:$B$168)</f>
        <v>1783.5172411465869</v>
      </c>
      <c r="W28" s="72">
        <f t="shared" si="8"/>
        <v>46.130464717822285</v>
      </c>
      <c r="X28" s="73">
        <f t="shared" si="24"/>
        <v>468.47521239425276</v>
      </c>
      <c r="Y28" s="20">
        <f t="shared" si="25"/>
        <v>21.232683463706277</v>
      </c>
      <c r="Z28" s="20">
        <f t="shared" si="25"/>
        <v>-491.9178589014129</v>
      </c>
      <c r="AA28" s="465">
        <f>IF(SUM(AA$11:AA27)&gt;0,0,IF(SUM(X28-R28)&gt;0,B28,0))</f>
        <v>0</v>
      </c>
      <c r="AB28" s="171">
        <f>ABS(Z28)*1000000/SUM(U$12:U28)</f>
        <v>1525.7083728092912</v>
      </c>
      <c r="AH28" s="55">
        <f t="shared" si="21"/>
        <v>2023</v>
      </c>
      <c r="AI28" s="8">
        <f>Rates!B21</f>
        <v>1205</v>
      </c>
      <c r="AK28" s="55">
        <f t="shared" si="22"/>
        <v>2023</v>
      </c>
      <c r="AL28" s="8" t="str">
        <f>Rates!E21</f>
        <v>-</v>
      </c>
      <c r="AM28" s="114">
        <f>Rates!F21</f>
        <v>1205</v>
      </c>
      <c r="AN28" s="115">
        <f>Rates!G21</f>
        <v>917</v>
      </c>
      <c r="AP28" s="16">
        <f t="shared" si="9"/>
        <v>2034</v>
      </c>
      <c r="AQ28" s="77">
        <f t="shared" si="0"/>
        <v>0</v>
      </c>
      <c r="AS28" s="136">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4">
        <f t="shared" si="14"/>
        <v>2035</v>
      </c>
      <c r="C29" s="695">
        <v>0</v>
      </c>
      <c r="D29" s="695">
        <f>'Area Summary'!$F$44</f>
        <v>14.748636883992878</v>
      </c>
      <c r="E29" s="66">
        <f t="shared" si="15"/>
        <v>0.65700000000000003</v>
      </c>
      <c r="F29" s="66">
        <f t="shared" si="16"/>
        <v>0</v>
      </c>
      <c r="G29" s="67">
        <f t="shared" si="17"/>
        <v>24.377249552943439</v>
      </c>
      <c r="H29" s="68">
        <f t="shared" si="1"/>
        <v>1.2797706255804771</v>
      </c>
      <c r="I29" s="66">
        <f t="shared" si="2"/>
        <v>0</v>
      </c>
      <c r="J29" s="67">
        <f t="shared" si="3"/>
        <v>24.377249552943439</v>
      </c>
      <c r="K29" s="68">
        <f t="shared" si="3"/>
        <v>1.2797706255804771</v>
      </c>
      <c r="L29" s="66">
        <f t="shared" si="4"/>
        <v>0</v>
      </c>
      <c r="M29" s="70">
        <f t="shared" si="5"/>
        <v>0</v>
      </c>
      <c r="N29" s="70">
        <f t="shared" si="6"/>
        <v>0</v>
      </c>
      <c r="O29" s="66">
        <f t="shared" si="18"/>
        <v>0</v>
      </c>
      <c r="P29" s="67">
        <f t="shared" si="7"/>
        <v>0</v>
      </c>
      <c r="Q29" s="67">
        <f t="shared" si="19"/>
        <v>25.657020178523915</v>
      </c>
      <c r="R29" s="71">
        <f t="shared" si="20"/>
        <v>986.05009147418957</v>
      </c>
      <c r="S29" s="694">
        <f>IF(NOT(EXACT(A29, "MP Complete")), INDEX(MP_new!$A$4:$J$9, MATCH(Step4!A29 - 1, MP_new!$A$4:$A$9, 0), 7), S27)</f>
        <v>48544.957141362807</v>
      </c>
      <c r="T29" s="693">
        <f>IF(EXACT($Q$5, "Yes"), IF(NOT(EXACT(A29, "MP Complete")), INDEX(MP_new!$A$4:$J$9, MATCH(Step4!A29, MP_new!$A$4:$A$9, 0), 10), T27), 0)</f>
        <v>9000</v>
      </c>
      <c r="U29" s="82">
        <f>('NPV Summary'!$B$16-S29)+T29</f>
        <v>25864.882970329993</v>
      </c>
      <c r="V29" s="82">
        <f>LOOKUP(B29,Rates!$A$5:$B$168)</f>
        <v>1847.7238618278641</v>
      </c>
      <c r="W29" s="70">
        <f t="shared" si="8"/>
        <v>47.791161447663889</v>
      </c>
      <c r="X29" s="71">
        <f t="shared" si="24"/>
        <v>516.26637384191667</v>
      </c>
      <c r="Y29" s="470">
        <f t="shared" si="25"/>
        <v>22.134141269139974</v>
      </c>
      <c r="Z29" s="470">
        <f t="shared" si="25"/>
        <v>-469.7837176322729</v>
      </c>
      <c r="AA29" s="466">
        <f>IF(SUM(AA$11:AA28)&gt;0,0,IF(SUM(X29-R29)&gt;0,B29,0))</f>
        <v>0</v>
      </c>
      <c r="AB29" s="471">
        <f>ABS(Z29)*1000000/SUM(U$12:U29)</f>
        <v>1348.8516307398272</v>
      </c>
      <c r="AH29" s="52">
        <f t="shared" si="21"/>
        <v>2024</v>
      </c>
      <c r="AI29" s="53">
        <f>Rates!B22</f>
        <v>1249</v>
      </c>
      <c r="AK29" s="52">
        <f t="shared" si="22"/>
        <v>2024</v>
      </c>
      <c r="AL29" s="53" t="str">
        <f>Rates!E22</f>
        <v>-</v>
      </c>
      <c r="AM29" s="472">
        <f>Rates!F22</f>
        <v>1249</v>
      </c>
      <c r="AN29" s="473">
        <f>Rates!G22</f>
        <v>961</v>
      </c>
      <c r="AP29" s="48">
        <f t="shared" si="9"/>
        <v>2035</v>
      </c>
      <c r="AQ29" s="78">
        <f t="shared" si="0"/>
        <v>0</v>
      </c>
      <c r="AS29" s="133">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5">
        <f t="shared" si="14"/>
        <v>2036</v>
      </c>
      <c r="C30" s="695">
        <v>0</v>
      </c>
      <c r="D30" s="695">
        <f>'Area Summary'!$F$44</f>
        <v>14.748636883992878</v>
      </c>
      <c r="E30" s="64">
        <f t="shared" si="15"/>
        <v>0.65700000000000003</v>
      </c>
      <c r="F30" s="64">
        <f t="shared" si="16"/>
        <v>0</v>
      </c>
      <c r="G30" s="84">
        <f t="shared" si="17"/>
        <v>25.108567039531742</v>
      </c>
      <c r="H30" s="65">
        <f t="shared" si="1"/>
        <v>1.3309614506036962</v>
      </c>
      <c r="I30" s="64">
        <f t="shared" si="2"/>
        <v>0</v>
      </c>
      <c r="J30" s="84">
        <f t="shared" si="3"/>
        <v>25.108567039531742</v>
      </c>
      <c r="K30" s="65">
        <f t="shared" si="3"/>
        <v>1.3309614506036962</v>
      </c>
      <c r="L30" s="64">
        <f t="shared" si="4"/>
        <v>0</v>
      </c>
      <c r="M30" s="72">
        <f t="shared" si="5"/>
        <v>0</v>
      </c>
      <c r="N30" s="72">
        <f t="shared" si="6"/>
        <v>0</v>
      </c>
      <c r="O30" s="64">
        <f t="shared" si="18"/>
        <v>0</v>
      </c>
      <c r="P30" s="84">
        <f t="shared" si="7"/>
        <v>0</v>
      </c>
      <c r="Q30" s="84">
        <f t="shared" si="19"/>
        <v>26.439528490135437</v>
      </c>
      <c r="R30" s="73">
        <f t="shared" si="20"/>
        <v>1012.489619964325</v>
      </c>
      <c r="S30" s="694">
        <f>IF(NOT(EXACT(A30, "MP Complete")), INDEX(MP_new!$A$4:$J$9, MATCH(Step4!A30 - 1, MP_new!$A$4:$A$9, 0), 7), S28)</f>
        <v>48544.957141362807</v>
      </c>
      <c r="T30" s="693">
        <f>IF(EXACT($Q$5, "Yes"), IF(NOT(EXACT(A30, "MP Complete")), INDEX(MP_new!$A$4:$J$9, MATCH(Step4!A30, MP_new!$A$4:$A$9, 0), 10), T28), 0)</f>
        <v>9000</v>
      </c>
      <c r="U30" s="6">
        <f>('NPV Summary'!$B$16-S30)+T30</f>
        <v>25864.882970329993</v>
      </c>
      <c r="V30" s="6">
        <f>LOOKUP(B30,Rates!$A$5:$B$168)</f>
        <v>1914.2419208536674</v>
      </c>
      <c r="W30" s="72">
        <f t="shared" si="8"/>
        <v>49.511643259779795</v>
      </c>
      <c r="X30" s="73">
        <f t="shared" si="24"/>
        <v>565.77801710169649</v>
      </c>
      <c r="Y30" s="20">
        <f t="shared" si="25"/>
        <v>23.072114769644358</v>
      </c>
      <c r="Z30" s="20">
        <f t="shared" si="25"/>
        <v>-446.71160286262852</v>
      </c>
      <c r="AA30" s="465">
        <f>IF(SUM(AA$11:AA29)&gt;0,0,IF(SUM(X30-R30)&gt;0,B30,0))</f>
        <v>0</v>
      </c>
      <c r="AB30" s="171">
        <f>ABS(Z30)*1000000/SUM(U$12:U30)</f>
        <v>1193.9401095454696</v>
      </c>
      <c r="AH30" s="55">
        <f t="shared" si="21"/>
        <v>2025</v>
      </c>
      <c r="AI30" s="8">
        <f>Rates!B23</f>
        <v>1296</v>
      </c>
      <c r="AK30" s="55">
        <f t="shared" si="22"/>
        <v>2025</v>
      </c>
      <c r="AL30" s="8" t="str">
        <f>Rates!E23</f>
        <v>-</v>
      </c>
      <c r="AM30" s="114">
        <f>Rates!F23</f>
        <v>1296</v>
      </c>
      <c r="AN30" s="115">
        <f>Rates!G23</f>
        <v>1008</v>
      </c>
      <c r="AP30" s="16">
        <f t="shared" si="9"/>
        <v>2036</v>
      </c>
      <c r="AQ30" s="77">
        <f t="shared" si="0"/>
        <v>0</v>
      </c>
      <c r="AS30" s="136">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4">
        <f t="shared" si="14"/>
        <v>2037</v>
      </c>
      <c r="C31" s="695">
        <v>0</v>
      </c>
      <c r="D31" s="695">
        <f>'Area Summary'!$F$44</f>
        <v>14.748636883992878</v>
      </c>
      <c r="E31" s="66">
        <f t="shared" si="15"/>
        <v>0.65700000000000003</v>
      </c>
      <c r="F31" s="66">
        <f t="shared" si="16"/>
        <v>0</v>
      </c>
      <c r="G31" s="67">
        <f t="shared" si="17"/>
        <v>25.861824050717694</v>
      </c>
      <c r="H31" s="68">
        <f t="shared" si="1"/>
        <v>1.384199908627844</v>
      </c>
      <c r="I31" s="66">
        <f t="shared" si="2"/>
        <v>0</v>
      </c>
      <c r="J31" s="67">
        <f t="shared" si="3"/>
        <v>25.861824050717694</v>
      </c>
      <c r="K31" s="68">
        <f t="shared" si="3"/>
        <v>1.384199908627844</v>
      </c>
      <c r="L31" s="66">
        <f t="shared" si="4"/>
        <v>0</v>
      </c>
      <c r="M31" s="70">
        <f t="shared" si="5"/>
        <v>0</v>
      </c>
      <c r="N31" s="70">
        <f t="shared" si="6"/>
        <v>0</v>
      </c>
      <c r="O31" s="66">
        <f t="shared" si="18"/>
        <v>0</v>
      </c>
      <c r="P31" s="67">
        <f t="shared" si="7"/>
        <v>0</v>
      </c>
      <c r="Q31" s="67">
        <f t="shared" si="19"/>
        <v>27.246023959345539</v>
      </c>
      <c r="R31" s="71">
        <f t="shared" si="20"/>
        <v>1039.7356439236705</v>
      </c>
      <c r="S31" s="694">
        <f>IF(NOT(EXACT(A31, "MP Complete")), INDEX(MP_new!$A$4:$J$9, MATCH(Step4!A31 - 1, MP_new!$A$4:$A$9, 0), 7), S29)</f>
        <v>48544.957141362807</v>
      </c>
      <c r="T31" s="693">
        <f>IF(EXACT($Q$5, "Yes"), IF(NOT(EXACT(A31, "MP Complete")), INDEX(MP_new!$A$4:$J$9, MATCH(Step4!A31, MP_new!$A$4:$A$9, 0), 10), T29), 0)</f>
        <v>9000</v>
      </c>
      <c r="U31" s="82">
        <f>('NPV Summary'!$B$16-S31)+T31</f>
        <v>25864.882970329993</v>
      </c>
      <c r="V31" s="82">
        <f>LOOKUP(B31,Rates!$A$5:$B$168)</f>
        <v>1983.1546300043995</v>
      </c>
      <c r="W31" s="70">
        <f t="shared" si="8"/>
        <v>51.294062417131869</v>
      </c>
      <c r="X31" s="71">
        <f t="shared" si="24"/>
        <v>617.07207951882833</v>
      </c>
      <c r="Y31" s="470">
        <f t="shared" si="25"/>
        <v>24.04803845778633</v>
      </c>
      <c r="Z31" s="470">
        <f t="shared" si="25"/>
        <v>-422.66356440484219</v>
      </c>
      <c r="AA31" s="466">
        <f>IF(SUM(AA$11:AA30)&gt;0,0,IF(SUM(X31-R31)&gt;0,B31,0))</f>
        <v>0</v>
      </c>
      <c r="AB31" s="471">
        <f>ABS(Z31)*1000000/SUM(U$12:U31)</f>
        <v>1056.6220064794154</v>
      </c>
      <c r="AH31" s="52">
        <f t="shared" si="21"/>
        <v>2026</v>
      </c>
      <c r="AI31" s="53">
        <f>Rates!B24</f>
        <v>1344</v>
      </c>
      <c r="AK31" s="52">
        <f t="shared" si="22"/>
        <v>2026</v>
      </c>
      <c r="AL31" s="53" t="str">
        <f>Rates!E24</f>
        <v>-</v>
      </c>
      <c r="AM31" s="472">
        <f>Rates!F24</f>
        <v>1344</v>
      </c>
      <c r="AN31" s="473">
        <f>Rates!G24</f>
        <v>1056</v>
      </c>
      <c r="AP31" s="48">
        <f t="shared" si="9"/>
        <v>2037</v>
      </c>
      <c r="AQ31" s="78">
        <f t="shared" si="0"/>
        <v>0</v>
      </c>
      <c r="AS31" s="133">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5">
        <f t="shared" si="14"/>
        <v>2038</v>
      </c>
      <c r="C32" s="695">
        <v>0</v>
      </c>
      <c r="D32" s="695">
        <f>'Area Summary'!$F$44</f>
        <v>14.748636883992878</v>
      </c>
      <c r="E32" s="64">
        <f t="shared" si="15"/>
        <v>0.65700000000000003</v>
      </c>
      <c r="F32" s="64">
        <f t="shared" si="16"/>
        <v>0</v>
      </c>
      <c r="G32" s="84">
        <f t="shared" si="17"/>
        <v>26.637678772239227</v>
      </c>
      <c r="H32" s="65">
        <f t="shared" si="1"/>
        <v>1.4395679049729577</v>
      </c>
      <c r="I32" s="64">
        <f t="shared" si="2"/>
        <v>0</v>
      </c>
      <c r="J32" s="84">
        <f t="shared" si="3"/>
        <v>26.637678772239227</v>
      </c>
      <c r="K32" s="65">
        <f t="shared" si="3"/>
        <v>1.4395679049729577</v>
      </c>
      <c r="L32" s="64">
        <f t="shared" si="4"/>
        <v>0</v>
      </c>
      <c r="M32" s="72">
        <f t="shared" si="5"/>
        <v>0</v>
      </c>
      <c r="N32" s="72">
        <f t="shared" si="6"/>
        <v>0</v>
      </c>
      <c r="O32" s="64">
        <f t="shared" si="18"/>
        <v>0</v>
      </c>
      <c r="P32" s="84">
        <f t="shared" si="7"/>
        <v>0</v>
      </c>
      <c r="Q32" s="84">
        <f t="shared" si="19"/>
        <v>28.077246677212184</v>
      </c>
      <c r="R32" s="73">
        <f t="shared" si="20"/>
        <v>1067.8128906008826</v>
      </c>
      <c r="S32" s="694">
        <f>IF(NOT(EXACT(A32, "MP Complete")), INDEX(MP_new!$A$4:$J$9, MATCH(Step4!A32 - 1, MP_new!$A$4:$A$9, 0), 7), S30)</f>
        <v>48544.957141362807</v>
      </c>
      <c r="T32" s="693">
        <f>IF(EXACT($Q$5, "Yes"), IF(NOT(EXACT(A32, "MP Complete")), INDEX(MP_new!$A$4:$J$9, MATCH(Step4!A32, MP_new!$A$4:$A$9, 0), 10), T30), 0)</f>
        <v>9000</v>
      </c>
      <c r="U32" s="6">
        <f>('NPV Summary'!$B$16-S32)+T32</f>
        <v>25864.882970329993</v>
      </c>
      <c r="V32" s="6">
        <f>LOOKUP(B32,Rates!$A$5:$B$168)</f>
        <v>2054.5481966845578</v>
      </c>
      <c r="W32" s="72">
        <f t="shared" si="8"/>
        <v>53.140648664148614</v>
      </c>
      <c r="X32" s="73">
        <f t="shared" si="24"/>
        <v>670.21272818297689</v>
      </c>
      <c r="Y32" s="20">
        <f t="shared" si="25"/>
        <v>25.06340198693643</v>
      </c>
      <c r="Z32" s="20">
        <f t="shared" si="25"/>
        <v>-397.60016241790572</v>
      </c>
      <c r="AA32" s="465">
        <f>IF(SUM(AA$11:AA31)&gt;0,0,IF(SUM(X32-R32)&gt;0,B32,0))</f>
        <v>0</v>
      </c>
      <c r="AB32" s="171">
        <f>ABS(Z32)*1000000/SUM(U$12:U32)</f>
        <v>933.59921239275252</v>
      </c>
      <c r="AH32" s="55">
        <f t="shared" si="21"/>
        <v>2027</v>
      </c>
      <c r="AI32" s="8">
        <f>Rates!B25</f>
        <v>1392.384</v>
      </c>
      <c r="AK32" s="55">
        <f t="shared" si="22"/>
        <v>2027</v>
      </c>
      <c r="AL32" s="164">
        <f>Rates!E25</f>
        <v>3.5999999999999997E-2</v>
      </c>
      <c r="AM32" s="8">
        <f>Rates!F25</f>
        <v>1392.384</v>
      </c>
      <c r="AN32" s="132">
        <f>Rates!G25</f>
        <v>1094.0160000000001</v>
      </c>
      <c r="AP32" s="16">
        <f t="shared" si="9"/>
        <v>2038</v>
      </c>
      <c r="AQ32" s="77">
        <f t="shared" si="0"/>
        <v>0</v>
      </c>
      <c r="AS32" s="136">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4">
        <f t="shared" si="14"/>
        <v>2039</v>
      </c>
      <c r="C33" s="695">
        <v>0</v>
      </c>
      <c r="D33" s="695">
        <f>'Area Summary'!$F$44</f>
        <v>14.748636883992878</v>
      </c>
      <c r="E33" s="66">
        <f t="shared" si="15"/>
        <v>0.65700000000000003</v>
      </c>
      <c r="F33" s="66">
        <f t="shared" si="16"/>
        <v>0</v>
      </c>
      <c r="G33" s="67">
        <f t="shared" si="17"/>
        <v>27.436809135406399</v>
      </c>
      <c r="H33" s="68">
        <f t="shared" si="1"/>
        <v>1.4971506211718766</v>
      </c>
      <c r="I33" s="66">
        <f t="shared" si="2"/>
        <v>0</v>
      </c>
      <c r="J33" s="67">
        <f t="shared" si="3"/>
        <v>27.436809135406399</v>
      </c>
      <c r="K33" s="68">
        <f t="shared" si="3"/>
        <v>1.4971506211718766</v>
      </c>
      <c r="L33" s="66">
        <f t="shared" si="4"/>
        <v>0</v>
      </c>
      <c r="M33" s="70">
        <f t="shared" si="5"/>
        <v>0</v>
      </c>
      <c r="N33" s="70">
        <f t="shared" si="6"/>
        <v>0</v>
      </c>
      <c r="O33" s="66">
        <f t="shared" si="18"/>
        <v>0</v>
      </c>
      <c r="P33" s="67">
        <f t="shared" si="7"/>
        <v>0</v>
      </c>
      <c r="Q33" s="67">
        <f t="shared" si="19"/>
        <v>28.933959756578275</v>
      </c>
      <c r="R33" s="71">
        <f t="shared" si="20"/>
        <v>1096.746850357461</v>
      </c>
      <c r="S33" s="694">
        <f>IF(NOT(EXACT(A33, "MP Complete")), INDEX(MP_new!$A$4:$J$9, MATCH(Step4!A33 - 1, MP_new!$A$4:$A$9, 0), 7), S31)</f>
        <v>48544.957141362807</v>
      </c>
      <c r="T33" s="693">
        <f>IF(EXACT($Q$5, "Yes"), IF(NOT(EXACT(A33, "MP Complete")), INDEX(MP_new!$A$4:$J$9, MATCH(Step4!A33, MP_new!$A$4:$A$9, 0), 10), T31), 0)</f>
        <v>9000</v>
      </c>
      <c r="U33" s="82">
        <f>('NPV Summary'!$B$16-S33)+T33</f>
        <v>25864.882970329993</v>
      </c>
      <c r="V33" s="82">
        <f>LOOKUP(B33,Rates!$A$5:$B$168)</f>
        <v>2128.511931765202</v>
      </c>
      <c r="W33" s="70">
        <f t="shared" si="8"/>
        <v>55.053712016057965</v>
      </c>
      <c r="X33" s="71">
        <f t="shared" si="24"/>
        <v>725.26644019903483</v>
      </c>
      <c r="Y33" s="470">
        <f t="shared" si="25"/>
        <v>26.119752259479689</v>
      </c>
      <c r="Z33" s="470">
        <f t="shared" si="25"/>
        <v>-371.48041015842614</v>
      </c>
      <c r="AA33" s="466">
        <f>IF(SUM(AA$11:AA32)&gt;0,0,IF(SUM(X33-R33)&gt;0,B33,0))</f>
        <v>0</v>
      </c>
      <c r="AB33" s="471">
        <f>ABS(Z33)*1000000/SUM(U$12:U33)</f>
        <v>822.32553542652477</v>
      </c>
      <c r="AH33" s="52">
        <f t="shared" si="21"/>
        <v>2028</v>
      </c>
      <c r="AI33" s="53">
        <f>Rates!B26</f>
        <v>1442.509824</v>
      </c>
      <c r="AK33" s="52">
        <f t="shared" si="22"/>
        <v>2028</v>
      </c>
      <c r="AL33" s="165">
        <f>Rates!E26</f>
        <v>3.5999999999999997E-2</v>
      </c>
      <c r="AM33" s="53">
        <f>Rates!F26</f>
        <v>1442.509824</v>
      </c>
      <c r="AN33" s="54">
        <f>Rates!G26</f>
        <v>1133.400576</v>
      </c>
      <c r="AP33" s="48">
        <f t="shared" si="9"/>
        <v>2039</v>
      </c>
      <c r="AQ33" s="78">
        <f t="shared" si="0"/>
        <v>0</v>
      </c>
      <c r="AS33" s="133">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5">
        <f t="shared" si="14"/>
        <v>2040</v>
      </c>
      <c r="C34" s="695">
        <v>0</v>
      </c>
      <c r="D34" s="695">
        <f>'Area Summary'!$F$44</f>
        <v>14.748636883992878</v>
      </c>
      <c r="E34" s="64">
        <f t="shared" si="15"/>
        <v>0.65700000000000003</v>
      </c>
      <c r="F34" s="64">
        <f t="shared" si="16"/>
        <v>0</v>
      </c>
      <c r="G34" s="84">
        <f t="shared" si="17"/>
        <v>28.259913409468592</v>
      </c>
      <c r="H34" s="65">
        <f t="shared" si="1"/>
        <v>1.5570366460187515</v>
      </c>
      <c r="I34" s="64">
        <f t="shared" si="2"/>
        <v>0</v>
      </c>
      <c r="J34" s="84">
        <f t="shared" si="3"/>
        <v>28.259913409468592</v>
      </c>
      <c r="K34" s="65">
        <f t="shared" si="3"/>
        <v>1.5570366460187515</v>
      </c>
      <c r="L34" s="64">
        <f t="shared" si="4"/>
        <v>0</v>
      </c>
      <c r="M34" s="72">
        <f t="shared" si="5"/>
        <v>0</v>
      </c>
      <c r="N34" s="72">
        <f t="shared" si="6"/>
        <v>0</v>
      </c>
      <c r="O34" s="64">
        <f t="shared" si="18"/>
        <v>0</v>
      </c>
      <c r="P34" s="84">
        <f t="shared" si="7"/>
        <v>0</v>
      </c>
      <c r="Q34" s="84">
        <f t="shared" si="19"/>
        <v>29.816950055487343</v>
      </c>
      <c r="R34" s="73">
        <f t="shared" si="20"/>
        <v>1126.5638004129482</v>
      </c>
      <c r="S34" s="694">
        <f>IF(NOT(EXACT(A34, "MP Complete")), INDEX(MP_new!$A$4:$J$9, MATCH(Step4!A34 - 1, MP_new!$A$4:$A$9, 0), 7), S32)</f>
        <v>48544.957141362807</v>
      </c>
      <c r="T34" s="693">
        <f>IF(EXACT($Q$5, "Yes"), IF(NOT(EXACT(A34, "MP Complete")), INDEX(MP_new!$A$4:$J$9, MATCH(Step4!A34, MP_new!$A$4:$A$9, 0), 10), T32), 0)</f>
        <v>9000</v>
      </c>
      <c r="U34" s="6">
        <f>('NPV Summary'!$B$16-S34)+T34</f>
        <v>25864.882970329993</v>
      </c>
      <c r="V34" s="6">
        <f>LOOKUP(B34,Rates!$A$5:$B$168)</f>
        <v>2205.1383613087492</v>
      </c>
      <c r="W34" s="72">
        <f t="shared" si="8"/>
        <v>57.035645648636049</v>
      </c>
      <c r="X34" s="73">
        <f t="shared" si="24"/>
        <v>782.30208584767092</v>
      </c>
      <c r="Y34" s="20">
        <f t="shared" si="25"/>
        <v>27.218695593148706</v>
      </c>
      <c r="Z34" s="20">
        <f t="shared" si="25"/>
        <v>-344.26171456527732</v>
      </c>
      <c r="AA34" s="465">
        <f>IF(SUM(AA$11:AA33)&gt;0,0,IF(SUM(X34-R34)&gt;0,B34,0))</f>
        <v>0</v>
      </c>
      <c r="AB34" s="171">
        <f>ABS(Z34)*1000000/SUM(U$12:U34)</f>
        <v>720.80297629890072</v>
      </c>
      <c r="AH34" s="55">
        <f t="shared" si="21"/>
        <v>2029</v>
      </c>
      <c r="AI34" s="8">
        <f>Rates!B27</f>
        <v>1494.440177664</v>
      </c>
      <c r="AK34" s="55">
        <f t="shared" si="22"/>
        <v>2029</v>
      </c>
      <c r="AL34" s="164">
        <f>Rates!E27</f>
        <v>3.5999999999999997E-2</v>
      </c>
      <c r="AM34" s="8">
        <f>Rates!F27</f>
        <v>1494.440177664</v>
      </c>
      <c r="AN34" s="15">
        <f>Rates!G27</f>
        <v>1174.2029967359999</v>
      </c>
      <c r="AP34" s="16">
        <f t="shared" si="9"/>
        <v>2040</v>
      </c>
      <c r="AQ34" s="77">
        <f t="shared" si="0"/>
        <v>0</v>
      </c>
      <c r="AS34" s="136">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4">
        <f t="shared" si="14"/>
        <v>2041</v>
      </c>
      <c r="C35" s="695">
        <v>0</v>
      </c>
      <c r="D35" s="695">
        <f>'Area Summary'!$F$44</f>
        <v>14.748636883992878</v>
      </c>
      <c r="E35" s="66">
        <f t="shared" si="15"/>
        <v>0.65700000000000003</v>
      </c>
      <c r="F35" s="66">
        <f t="shared" si="16"/>
        <v>0</v>
      </c>
      <c r="G35" s="67">
        <f t="shared" si="17"/>
        <v>29.107710811752654</v>
      </c>
      <c r="H35" s="68">
        <f t="shared" si="1"/>
        <v>1.6193181118595015</v>
      </c>
      <c r="I35" s="66">
        <f t="shared" si="2"/>
        <v>0</v>
      </c>
      <c r="J35" s="67">
        <f t="shared" si="3"/>
        <v>29.107710811752654</v>
      </c>
      <c r="K35" s="68">
        <f t="shared" si="3"/>
        <v>1.6193181118595015</v>
      </c>
      <c r="L35" s="66">
        <f t="shared" si="4"/>
        <v>0</v>
      </c>
      <c r="M35" s="70">
        <f t="shared" si="5"/>
        <v>0</v>
      </c>
      <c r="N35" s="70">
        <f t="shared" si="6"/>
        <v>0</v>
      </c>
      <c r="O35" s="66">
        <f t="shared" si="18"/>
        <v>0</v>
      </c>
      <c r="P35" s="67">
        <f t="shared" si="7"/>
        <v>0</v>
      </c>
      <c r="Q35" s="67">
        <f t="shared" si="19"/>
        <v>30.727028923612156</v>
      </c>
      <c r="R35" s="71">
        <f t="shared" si="20"/>
        <v>1157.2908293365604</v>
      </c>
      <c r="S35" s="694">
        <f>IF(NOT(EXACT(A35, "MP Complete")), INDEX(MP_new!$A$4:$J$9, MATCH(Step4!A35 - 1, MP_new!$A$4:$A$9, 0), 7), S33)</f>
        <v>48544.957141362807</v>
      </c>
      <c r="T35" s="693">
        <f>IF(EXACT($Q$5, "Yes"), IF(NOT(EXACT(A35, "MP Complete")), INDEX(MP_new!$A$4:$J$9, MATCH(Step4!A35, MP_new!$A$4:$A$9, 0), 10), T33), 0)</f>
        <v>9000</v>
      </c>
      <c r="U35" s="82">
        <f>('NPV Summary'!$B$16-S35)+T35</f>
        <v>25864.882970329993</v>
      </c>
      <c r="V35" s="82">
        <f>LOOKUP(B35,Rates!$A$5:$B$168)</f>
        <v>2284.5233423158643</v>
      </c>
      <c r="W35" s="70">
        <f t="shared" si="8"/>
        <v>59.088928891986953</v>
      </c>
      <c r="X35" s="71">
        <f t="shared" si="24"/>
        <v>841.39101473965786</v>
      </c>
      <c r="Y35" s="470">
        <f t="shared" si="25"/>
        <v>28.361899968374797</v>
      </c>
      <c r="Z35" s="470">
        <f t="shared" si="25"/>
        <v>-315.8998145969025</v>
      </c>
      <c r="AA35" s="466">
        <f>IF(SUM(AA$11:AA34)&gt;0,0,IF(SUM(X35-R35)&gt;0,B35,0))</f>
        <v>0</v>
      </c>
      <c r="AB35" s="471">
        <f>ABS(Z35)*1000000/SUM(U$12:U35)</f>
        <v>627.44079467790596</v>
      </c>
      <c r="AH35" s="52">
        <f t="shared" si="21"/>
        <v>2030</v>
      </c>
      <c r="AI35" s="53">
        <f>Rates!B28</f>
        <v>1548.240024059904</v>
      </c>
      <c r="AK35" s="52">
        <f t="shared" si="22"/>
        <v>2030</v>
      </c>
      <c r="AL35" s="165">
        <f>Rates!E28</f>
        <v>3.5999999999999997E-2</v>
      </c>
      <c r="AM35" s="53">
        <f>Rates!F28</f>
        <v>1548.240024059904</v>
      </c>
      <c r="AN35" s="54">
        <f>Rates!G28</f>
        <v>1216.474304618496</v>
      </c>
      <c r="AP35" s="48">
        <f t="shared" si="9"/>
        <v>2041</v>
      </c>
      <c r="AQ35" s="78">
        <f t="shared" si="0"/>
        <v>0</v>
      </c>
      <c r="AS35" s="133">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5">
        <f t="shared" si="14"/>
        <v>2042</v>
      </c>
      <c r="C36" s="695">
        <v>0</v>
      </c>
      <c r="D36" s="695">
        <f>'Area Summary'!$F$44</f>
        <v>14.748636883992878</v>
      </c>
      <c r="E36" s="64">
        <f t="shared" si="15"/>
        <v>0.65700000000000003</v>
      </c>
      <c r="F36" s="64">
        <f t="shared" si="16"/>
        <v>0</v>
      </c>
      <c r="G36" s="84">
        <f t="shared" si="17"/>
        <v>29.980942136105227</v>
      </c>
      <c r="H36" s="65">
        <f t="shared" si="1"/>
        <v>1.6840908363338816</v>
      </c>
      <c r="I36" s="64">
        <f t="shared" si="2"/>
        <v>0</v>
      </c>
      <c r="J36" s="84">
        <f t="shared" si="3"/>
        <v>29.980942136105227</v>
      </c>
      <c r="K36" s="65">
        <f t="shared" si="3"/>
        <v>1.6840908363338816</v>
      </c>
      <c r="L36" s="64">
        <f t="shared" si="4"/>
        <v>0</v>
      </c>
      <c r="M36" s="72">
        <f t="shared" si="5"/>
        <v>0</v>
      </c>
      <c r="N36" s="72">
        <f t="shared" si="6"/>
        <v>0</v>
      </c>
      <c r="O36" s="64">
        <f t="shared" si="18"/>
        <v>0</v>
      </c>
      <c r="P36" s="84">
        <f t="shared" si="7"/>
        <v>0</v>
      </c>
      <c r="Q36" s="84">
        <f t="shared" si="19"/>
        <v>31.665032972439107</v>
      </c>
      <c r="R36" s="73">
        <f t="shared" si="20"/>
        <v>1188.9558623089995</v>
      </c>
      <c r="S36" s="694">
        <f>IF(NOT(EXACT(A36, "MP Complete")), INDEX(MP_new!$A$4:$J$9, MATCH(Step4!A36 - 1, MP_new!$A$4:$A$9, 0), 7), S34)</f>
        <v>48544.957141362807</v>
      </c>
      <c r="T36" s="693">
        <f>IF(EXACT($Q$5, "Yes"), IF(NOT(EXACT(A36, "MP Complete")), INDEX(MP_new!$A$4:$J$9, MATCH(Step4!A36, MP_new!$A$4:$A$9, 0), 10), T34), 0)</f>
        <v>9000</v>
      </c>
      <c r="U36" s="6">
        <f>('NPV Summary'!$B$16-S36)+T36</f>
        <v>25864.882970329993</v>
      </c>
      <c r="V36" s="6">
        <f>LOOKUP(B36,Rates!$A$5:$B$168)</f>
        <v>2366.7661826392355</v>
      </c>
      <c r="W36" s="72">
        <f t="shared" si="8"/>
        <v>61.216130332098487</v>
      </c>
      <c r="X36" s="73">
        <f t="shared" si="24"/>
        <v>902.60714507175635</v>
      </c>
      <c r="Y36" s="20">
        <f t="shared" si="25"/>
        <v>29.55109735965938</v>
      </c>
      <c r="Z36" s="20">
        <f t="shared" si="25"/>
        <v>-286.34871723724314</v>
      </c>
      <c r="AA36" s="465">
        <f>IF(SUM(AA$11:AA35)&gt;0,0,IF(SUM(X36-R36)&gt;0,B36,0))</f>
        <v>0</v>
      </c>
      <c r="AB36" s="171">
        <f>ABS(Z36)*1000000/SUM(U$12:U36)</f>
        <v>540.95588950356159</v>
      </c>
      <c r="AH36" s="55">
        <f t="shared" si="21"/>
        <v>2031</v>
      </c>
      <c r="AI36" s="8">
        <f>Rates!B29</f>
        <v>1603.9766649260607</v>
      </c>
      <c r="AK36" s="55">
        <f t="shared" si="22"/>
        <v>2031</v>
      </c>
      <c r="AL36" s="164">
        <f>Rates!E29</f>
        <v>3.5999999999999997E-2</v>
      </c>
      <c r="AM36" s="8">
        <f>Rates!F29</f>
        <v>1603.9766649260607</v>
      </c>
      <c r="AN36" s="15">
        <f>Rates!G29</f>
        <v>1260.267379584762</v>
      </c>
      <c r="AP36" s="16">
        <f t="shared" si="9"/>
        <v>2042</v>
      </c>
      <c r="AQ36" s="77">
        <f t="shared" si="0"/>
        <v>0</v>
      </c>
      <c r="AS36" s="136">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4">
        <f t="shared" si="14"/>
        <v>2043</v>
      </c>
      <c r="C37" s="695">
        <v>0</v>
      </c>
      <c r="D37" s="695">
        <f>'Area Summary'!$F$44</f>
        <v>14.748636883992878</v>
      </c>
      <c r="E37" s="66">
        <f t="shared" si="15"/>
        <v>0.65700000000000003</v>
      </c>
      <c r="F37" s="66">
        <f t="shared" si="16"/>
        <v>0</v>
      </c>
      <c r="G37" s="67">
        <f t="shared" si="17"/>
        <v>30.880370400188383</v>
      </c>
      <c r="H37" s="68">
        <f t="shared" si="1"/>
        <v>1.7514544697872372</v>
      </c>
      <c r="I37" s="66">
        <f t="shared" si="2"/>
        <v>0</v>
      </c>
      <c r="J37" s="67">
        <f t="shared" si="3"/>
        <v>30.880370400188383</v>
      </c>
      <c r="K37" s="68">
        <f t="shared" si="3"/>
        <v>1.7514544697872372</v>
      </c>
      <c r="L37" s="66">
        <f t="shared" si="4"/>
        <v>0</v>
      </c>
      <c r="M37" s="70">
        <f t="shared" si="5"/>
        <v>0</v>
      </c>
      <c r="N37" s="70">
        <f t="shared" si="6"/>
        <v>0</v>
      </c>
      <c r="O37" s="66">
        <f t="shared" si="18"/>
        <v>0</v>
      </c>
      <c r="P37" s="67">
        <f t="shared" si="7"/>
        <v>0</v>
      </c>
      <c r="Q37" s="67">
        <f t="shared" si="19"/>
        <v>32.631824869975617</v>
      </c>
      <c r="R37" s="71">
        <f t="shared" si="20"/>
        <v>1221.5876871789751</v>
      </c>
      <c r="S37" s="694">
        <f>IF(NOT(EXACT(A37, "MP Complete")), INDEX(MP_new!$A$4:$J$9, MATCH(Step4!A37 - 1, MP_new!$A$4:$A$9, 0), 7), S35)</f>
        <v>48544.957141362807</v>
      </c>
      <c r="T37" s="693">
        <f>IF(EXACT($Q$5, "Yes"), IF(NOT(EXACT(A37, "MP Complete")), INDEX(MP_new!$A$4:$J$9, MATCH(Step4!A37, MP_new!$A$4:$A$9, 0), 10), T35), 0)</f>
        <v>9000</v>
      </c>
      <c r="U37" s="82">
        <f>('NPV Summary'!$B$16-S37)+T37</f>
        <v>25864.882970329993</v>
      </c>
      <c r="V37" s="82">
        <f>LOOKUP(B37,Rates!$A$5:$B$168)</f>
        <v>2451.9697652142481</v>
      </c>
      <c r="W37" s="70">
        <f t="shared" si="8"/>
        <v>63.419911024054038</v>
      </c>
      <c r="X37" s="71">
        <f t="shared" si="24"/>
        <v>966.02705609581039</v>
      </c>
      <c r="Y37" s="470">
        <f t="shared" si="25"/>
        <v>30.788086154078421</v>
      </c>
      <c r="Z37" s="470">
        <f t="shared" si="25"/>
        <v>-255.56063108316471</v>
      </c>
      <c r="AA37" s="466">
        <f>IF(SUM(AA$11:AA36)&gt;0,0,IF(SUM(X37-R37)&gt;0,B37,0))</f>
        <v>0</v>
      </c>
      <c r="AB37" s="471">
        <f>ABS(Z37)*1000000/SUM(U$12:U37)</f>
        <v>460.30102044538364</v>
      </c>
      <c r="AH37" s="52">
        <f t="shared" si="21"/>
        <v>2032</v>
      </c>
      <c r="AI37" s="53">
        <f>Rates!B30</f>
        <v>1661.719824863399</v>
      </c>
      <c r="AK37" s="52">
        <f t="shared" si="22"/>
        <v>2032</v>
      </c>
      <c r="AL37" s="165">
        <f>Rates!E30</f>
        <v>3.5999999999999997E-2</v>
      </c>
      <c r="AM37" s="53">
        <f>Rates!F30</f>
        <v>1661.719824863399</v>
      </c>
      <c r="AN37" s="54">
        <f>Rates!G30</f>
        <v>1305.6370052498135</v>
      </c>
      <c r="AP37" s="48">
        <f t="shared" si="9"/>
        <v>2043</v>
      </c>
      <c r="AQ37" s="78">
        <f t="shared" si="0"/>
        <v>0</v>
      </c>
      <c r="AS37" s="133">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5">
        <f t="shared" si="14"/>
        <v>2044</v>
      </c>
      <c r="C38" s="695">
        <v>0</v>
      </c>
      <c r="D38" s="695">
        <f>'Area Summary'!$F$44</f>
        <v>14.748636883992878</v>
      </c>
      <c r="E38" s="64">
        <f t="shared" si="15"/>
        <v>0.65700000000000003</v>
      </c>
      <c r="F38" s="64">
        <f t="shared" si="16"/>
        <v>0</v>
      </c>
      <c r="G38" s="84">
        <f t="shared" si="17"/>
        <v>31.806781512194039</v>
      </c>
      <c r="H38" s="65">
        <f t="shared" si="1"/>
        <v>1.8215126485787265</v>
      </c>
      <c r="I38" s="64">
        <f t="shared" si="2"/>
        <v>0</v>
      </c>
      <c r="J38" s="84">
        <f t="shared" si="3"/>
        <v>31.806781512194039</v>
      </c>
      <c r="K38" s="65">
        <f t="shared" si="3"/>
        <v>1.8215126485787265</v>
      </c>
      <c r="L38" s="64">
        <f t="shared" si="4"/>
        <v>0</v>
      </c>
      <c r="M38" s="72">
        <f t="shared" si="5"/>
        <v>0</v>
      </c>
      <c r="N38" s="72">
        <f t="shared" si="6"/>
        <v>0</v>
      </c>
      <c r="O38" s="64">
        <f t="shared" si="18"/>
        <v>0</v>
      </c>
      <c r="P38" s="84">
        <f t="shared" si="7"/>
        <v>0</v>
      </c>
      <c r="Q38" s="84">
        <f t="shared" si="19"/>
        <v>33.628294160772768</v>
      </c>
      <c r="R38" s="73">
        <f t="shared" si="20"/>
        <v>1255.2159813397479</v>
      </c>
      <c r="S38" s="694">
        <f>IF(NOT(EXACT(A38, "MP Complete")), INDEX(MP_new!$A$4:$J$9, MATCH(Step4!A38 - 1, MP_new!$A$4:$A$9, 0), 7), S36)</f>
        <v>48544.957141362807</v>
      </c>
      <c r="T38" s="693">
        <f>IF(EXACT($Q$5, "Yes"), IF(NOT(EXACT(A38, "MP Complete")), INDEX(MP_new!$A$4:$J$9, MATCH(Step4!A38, MP_new!$A$4:$A$9, 0), 10), T36), 0)</f>
        <v>9000</v>
      </c>
      <c r="U38" s="6">
        <f>('NPV Summary'!$B$16-S38)+T38</f>
        <v>25864.882970329993</v>
      </c>
      <c r="V38" s="6">
        <f>LOOKUP(B38,Rates!$A$5:$B$168)</f>
        <v>2540.2406767619609</v>
      </c>
      <c r="W38" s="72">
        <f t="shared" si="8"/>
        <v>65.703027820919971</v>
      </c>
      <c r="X38" s="73">
        <f t="shared" si="24"/>
        <v>1031.7300839167303</v>
      </c>
      <c r="Y38" s="20">
        <f t="shared" si="25"/>
        <v>32.074733660147203</v>
      </c>
      <c r="Z38" s="20">
        <f t="shared" si="25"/>
        <v>-223.4858974230176</v>
      </c>
      <c r="AA38" s="465">
        <f>IF(SUM(AA$11:AA37)&gt;0,0,IF(SUM(X38-R38)&gt;0,B38,0))</f>
        <v>0</v>
      </c>
      <c r="AB38" s="171">
        <f>ABS(Z38)*1000000/SUM(U$12:U38)</f>
        <v>384.612195360832</v>
      </c>
      <c r="AH38" s="55">
        <f t="shared" si="21"/>
        <v>2033</v>
      </c>
      <c r="AI38" s="8">
        <f>Rates!B31</f>
        <v>1721.5417385584815</v>
      </c>
      <c r="AK38" s="55">
        <f t="shared" si="22"/>
        <v>2033</v>
      </c>
      <c r="AL38" s="164">
        <f>Rates!E31</f>
        <v>3.5999999999999997E-2</v>
      </c>
      <c r="AM38" s="8">
        <f>Rates!F31</f>
        <v>1721.5417385584815</v>
      </c>
      <c r="AN38" s="15">
        <f>Rates!G31</f>
        <v>1352.6399374388068</v>
      </c>
      <c r="AP38" s="16">
        <f t="shared" si="9"/>
        <v>2044</v>
      </c>
      <c r="AQ38" s="77">
        <f t="shared" si="0"/>
        <v>0</v>
      </c>
      <c r="AS38" s="136">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4">
        <f t="shared" si="14"/>
        <v>2045</v>
      </c>
      <c r="C39" s="695">
        <v>0</v>
      </c>
      <c r="D39" s="695">
        <f>'Area Summary'!$F$44</f>
        <v>14.748636883992878</v>
      </c>
      <c r="E39" s="66">
        <f t="shared" si="15"/>
        <v>0.65700000000000003</v>
      </c>
      <c r="F39" s="66">
        <f t="shared" si="16"/>
        <v>0</v>
      </c>
      <c r="G39" s="67">
        <f t="shared" si="17"/>
        <v>32.760984957559856</v>
      </c>
      <c r="H39" s="68">
        <f t="shared" si="1"/>
        <v>1.8943731545218756</v>
      </c>
      <c r="I39" s="66">
        <f t="shared" si="2"/>
        <v>0</v>
      </c>
      <c r="J39" s="67">
        <f t="shared" si="3"/>
        <v>32.760984957559856</v>
      </c>
      <c r="K39" s="68">
        <f t="shared" si="3"/>
        <v>1.8943731545218756</v>
      </c>
      <c r="L39" s="66">
        <f t="shared" si="4"/>
        <v>0</v>
      </c>
      <c r="M39" s="70">
        <f t="shared" si="5"/>
        <v>0</v>
      </c>
      <c r="N39" s="70">
        <f t="shared" si="6"/>
        <v>0</v>
      </c>
      <c r="O39" s="66">
        <f t="shared" si="18"/>
        <v>0</v>
      </c>
      <c r="P39" s="67">
        <f t="shared" si="7"/>
        <v>0</v>
      </c>
      <c r="Q39" s="67">
        <f t="shared" si="19"/>
        <v>34.655358112081728</v>
      </c>
      <c r="R39" s="71">
        <f t="shared" si="20"/>
        <v>1289.8713394518297</v>
      </c>
      <c r="S39" s="694">
        <f>IF(NOT(EXACT(A39, "MP Complete")), INDEX(MP_new!$A$4:$J$9, MATCH(Step4!A39 - 1, MP_new!$A$4:$A$9, 0), 7), S37)</f>
        <v>48544.957141362807</v>
      </c>
      <c r="T39" s="693">
        <f>IF(EXACT($Q$5, "Yes"), IF(NOT(EXACT(A39, "MP Complete")), INDEX(MP_new!$A$4:$J$9, MATCH(Step4!A39, MP_new!$A$4:$A$9, 0), 10), T37), 0)</f>
        <v>9000</v>
      </c>
      <c r="U39" s="82">
        <f>('NPV Summary'!$B$16-S39)+T39</f>
        <v>25864.882970329993</v>
      </c>
      <c r="V39" s="82">
        <f>LOOKUP(B39,Rates!$A$5:$B$168)</f>
        <v>2631.6893411253914</v>
      </c>
      <c r="W39" s="70">
        <f t="shared" si="8"/>
        <v>68.0683368224731</v>
      </c>
      <c r="X39" s="71">
        <f t="shared" si="24"/>
        <v>1099.7984207392035</v>
      </c>
      <c r="Y39" s="470">
        <f t="shared" si="25"/>
        <v>33.412978710391371</v>
      </c>
      <c r="Z39" s="470">
        <f t="shared" si="25"/>
        <v>-190.07291871262623</v>
      </c>
      <c r="AA39" s="466">
        <f>IF(SUM(AA$11:AA38)&gt;0,0,IF(SUM(X39-R39)&gt;0,B39,0))</f>
        <v>0</v>
      </c>
      <c r="AB39" s="471">
        <f>ABS(Z39)*1000000/SUM(U$12:U39)</f>
        <v>313.16950619097418</v>
      </c>
      <c r="AH39" s="52">
        <f t="shared" si="21"/>
        <v>2034</v>
      </c>
      <c r="AI39" s="53">
        <f>Rates!B32</f>
        <v>1783.5172411465869</v>
      </c>
      <c r="AK39" s="52">
        <f t="shared" si="22"/>
        <v>2034</v>
      </c>
      <c r="AL39" s="165">
        <f>Rates!E32</f>
        <v>3.5999999999999997E-2</v>
      </c>
      <c r="AM39" s="53">
        <f>Rates!F32</f>
        <v>1783.5172411465869</v>
      </c>
      <c r="AN39" s="54">
        <f>Rates!G32</f>
        <v>1401.334975186604</v>
      </c>
      <c r="AP39" s="48">
        <f t="shared" si="9"/>
        <v>2045</v>
      </c>
      <c r="AQ39" s="78">
        <f t="shared" si="0"/>
        <v>0</v>
      </c>
      <c r="AS39" s="133">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5">
        <f t="shared" si="14"/>
        <v>2046</v>
      </c>
      <c r="C40" s="695">
        <v>0</v>
      </c>
      <c r="D40" s="695">
        <f>'Area Summary'!$F$44</f>
        <v>14.748636883992878</v>
      </c>
      <c r="E40" s="64">
        <f t="shared" si="15"/>
        <v>0.65700000000000003</v>
      </c>
      <c r="F40" s="64">
        <f t="shared" si="16"/>
        <v>0</v>
      </c>
      <c r="G40" s="84">
        <f t="shared" si="17"/>
        <v>33.743814506286654</v>
      </c>
      <c r="H40" s="65">
        <f t="shared" si="1"/>
        <v>1.9701480807027512</v>
      </c>
      <c r="I40" s="64">
        <f t="shared" si="2"/>
        <v>0</v>
      </c>
      <c r="J40" s="84">
        <f t="shared" si="3"/>
        <v>33.743814506286654</v>
      </c>
      <c r="K40" s="65">
        <f t="shared" si="3"/>
        <v>1.9701480807027512</v>
      </c>
      <c r="L40" s="64">
        <f t="shared" si="4"/>
        <v>0</v>
      </c>
      <c r="M40" s="72">
        <f t="shared" si="5"/>
        <v>0</v>
      </c>
      <c r="N40" s="72">
        <f t="shared" si="6"/>
        <v>0</v>
      </c>
      <c r="O40" s="64">
        <f t="shared" si="18"/>
        <v>0</v>
      </c>
      <c r="P40" s="84">
        <f t="shared" si="7"/>
        <v>0</v>
      </c>
      <c r="Q40" s="84">
        <f t="shared" si="19"/>
        <v>35.713962586989403</v>
      </c>
      <c r="R40" s="73">
        <f t="shared" si="20"/>
        <v>1325.5853020388192</v>
      </c>
      <c r="S40" s="694">
        <f>IF(NOT(EXACT(A40, "MP Complete")), INDEX(MP_new!$A$4:$J$9, MATCH(Step4!A40 - 1, MP_new!$A$4:$A$9, 0), 7), S38)</f>
        <v>48544.957141362807</v>
      </c>
      <c r="T40" s="693">
        <f>IF(EXACT($Q$5, "Yes"), IF(NOT(EXACT(A40, "MP Complete")), INDEX(MP_new!$A$4:$J$9, MATCH(Step4!A40, MP_new!$A$4:$A$9, 0), 10), T38), 0)</f>
        <v>9000</v>
      </c>
      <c r="U40" s="6">
        <f>('NPV Summary'!$B$16-S40)+T40</f>
        <v>25864.882970329993</v>
      </c>
      <c r="V40" s="6">
        <f>LOOKUP(B40,Rates!$A$5:$B$168)</f>
        <v>2726.4301574059054</v>
      </c>
      <c r="W40" s="72">
        <f t="shared" si="8"/>
        <v>70.518796948082112</v>
      </c>
      <c r="X40" s="73">
        <f t="shared" si="24"/>
        <v>1170.3172176872856</v>
      </c>
      <c r="Y40" s="20">
        <f t="shared" si="25"/>
        <v>34.804834361092709</v>
      </c>
      <c r="Z40" s="20">
        <f t="shared" si="25"/>
        <v>-155.26808435153362</v>
      </c>
      <c r="AA40" s="465">
        <f>IF(SUM(AA$11:AA39)&gt;0,0,IF(SUM(X40-R40)&gt;0,B40,0))</f>
        <v>0</v>
      </c>
      <c r="AB40" s="171">
        <f>ABS(Z40)*1000000/SUM(U$12:U40)</f>
        <v>245.36756531458767</v>
      </c>
      <c r="AC40" s="9"/>
      <c r="AD40" s="9"/>
      <c r="AE40" s="9"/>
      <c r="AF40" s="9"/>
      <c r="AG40" s="9"/>
      <c r="AH40" s="55">
        <f t="shared" si="21"/>
        <v>2035</v>
      </c>
      <c r="AI40" s="8">
        <f>Rates!B33</f>
        <v>1847.7238618278641</v>
      </c>
      <c r="AJ40" s="9"/>
      <c r="AK40" s="55">
        <f t="shared" si="22"/>
        <v>2035</v>
      </c>
      <c r="AL40" s="164">
        <f>Rates!E33</f>
        <v>3.5999999999999997E-2</v>
      </c>
      <c r="AM40" s="8">
        <f>Rates!F33</f>
        <v>1847.7238618278641</v>
      </c>
      <c r="AN40" s="15">
        <f>Rates!G33</f>
        <v>1451.7830342933219</v>
      </c>
      <c r="AO40" s="9"/>
      <c r="AP40" s="16">
        <f t="shared" si="9"/>
        <v>2046</v>
      </c>
      <c r="AQ40" s="77">
        <f t="shared" si="0"/>
        <v>0</v>
      </c>
      <c r="AR40" s="9"/>
      <c r="AS40" s="136">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4">
        <f t="shared" si="14"/>
        <v>2047</v>
      </c>
      <c r="C41" s="695">
        <v>0</v>
      </c>
      <c r="D41" s="695">
        <f>'Area Summary'!$F$44</f>
        <v>14.748636883992878</v>
      </c>
      <c r="E41" s="66">
        <f t="shared" si="15"/>
        <v>0.65700000000000003</v>
      </c>
      <c r="F41" s="66">
        <f t="shared" si="16"/>
        <v>0</v>
      </c>
      <c r="G41" s="67">
        <f t="shared" si="17"/>
        <v>34.756128941475247</v>
      </c>
      <c r="H41" s="68">
        <f t="shared" si="1"/>
        <v>2.0489540039308611</v>
      </c>
      <c r="I41" s="66">
        <f t="shared" si="2"/>
        <v>0</v>
      </c>
      <c r="J41" s="67">
        <f t="shared" si="3"/>
        <v>34.756128941475247</v>
      </c>
      <c r="K41" s="68">
        <f t="shared" si="3"/>
        <v>2.0489540039308611</v>
      </c>
      <c r="L41" s="66">
        <f t="shared" si="4"/>
        <v>0</v>
      </c>
      <c r="M41" s="70">
        <f t="shared" si="5"/>
        <v>0</v>
      </c>
      <c r="N41" s="70">
        <f t="shared" si="6"/>
        <v>0</v>
      </c>
      <c r="O41" s="66">
        <f t="shared" si="18"/>
        <v>0</v>
      </c>
      <c r="P41" s="67">
        <f t="shared" si="7"/>
        <v>0</v>
      </c>
      <c r="Q41" s="67">
        <f t="shared" si="19"/>
        <v>36.805082945406106</v>
      </c>
      <c r="R41" s="71">
        <f t="shared" si="20"/>
        <v>1362.3903849842254</v>
      </c>
      <c r="S41" s="694">
        <f>IF(NOT(EXACT(A41, "MP Complete")), INDEX(MP_new!$A$4:$J$9, MATCH(Step4!A41 - 1, MP_new!$A$4:$A$9, 0), 7), S39)</f>
        <v>48544.957141362807</v>
      </c>
      <c r="T41" s="693">
        <f>IF(EXACT($Q$5, "Yes"), IF(NOT(EXACT(A41, "MP Complete")), INDEX(MP_new!$A$4:$J$9, MATCH(Step4!A41, MP_new!$A$4:$A$9, 0), 10), T39), 0)</f>
        <v>9000</v>
      </c>
      <c r="U41" s="82">
        <f>('NPV Summary'!$B$16-S41)+T41</f>
        <v>25864.882970329993</v>
      </c>
      <c r="V41" s="82">
        <f>LOOKUP(B41,Rates!$A$5:$B$168)</f>
        <v>2824.5816430725181</v>
      </c>
      <c r="W41" s="70">
        <f t="shared" si="8"/>
        <v>73.057473638213082</v>
      </c>
      <c r="X41" s="71">
        <f t="shared" si="24"/>
        <v>1243.3746913254986</v>
      </c>
      <c r="Y41" s="470">
        <f t="shared" si="25"/>
        <v>36.252390692806976</v>
      </c>
      <c r="Z41" s="470">
        <f t="shared" si="25"/>
        <v>-119.01569365872683</v>
      </c>
      <c r="AA41" s="466">
        <f>IF(SUM(AA$11:AA40)&gt;0,0,IF(SUM(X41-R41)&gt;0,B41,0))</f>
        <v>0</v>
      </c>
      <c r="AB41" s="471">
        <f>ABS(Z41)*1000000/SUM(U$12:U41)</f>
        <v>180.69290321983729</v>
      </c>
      <c r="AH41" s="52">
        <f t="shared" si="21"/>
        <v>2036</v>
      </c>
      <c r="AI41" s="53">
        <f>Rates!B34</f>
        <v>1914.2419208536674</v>
      </c>
      <c r="AK41" s="52">
        <f t="shared" si="22"/>
        <v>2036</v>
      </c>
      <c r="AL41" s="165">
        <f>Rates!E34</f>
        <v>3.5999999999999997E-2</v>
      </c>
      <c r="AM41" s="53">
        <f>Rates!F34</f>
        <v>1914.2419208536674</v>
      </c>
      <c r="AN41" s="54">
        <f>Rates!G34</f>
        <v>1504.0472235278814</v>
      </c>
      <c r="AP41" s="48">
        <f t="shared" si="9"/>
        <v>2047</v>
      </c>
      <c r="AQ41" s="78">
        <f t="shared" si="0"/>
        <v>0</v>
      </c>
      <c r="AS41" s="133">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5">
        <f t="shared" si="14"/>
        <v>2048</v>
      </c>
      <c r="C42" s="695">
        <v>0</v>
      </c>
      <c r="D42" s="695">
        <f>'Area Summary'!$F$44</f>
        <v>14.748636883992878</v>
      </c>
      <c r="E42" s="64">
        <f t="shared" si="15"/>
        <v>0.65700000000000003</v>
      </c>
      <c r="F42" s="64">
        <f t="shared" si="16"/>
        <v>0</v>
      </c>
      <c r="G42" s="84">
        <f t="shared" si="17"/>
        <v>35.798812809719507</v>
      </c>
      <c r="H42" s="65">
        <f t="shared" si="1"/>
        <v>2.1309121640880955</v>
      </c>
      <c r="I42" s="64">
        <f t="shared" si="2"/>
        <v>0</v>
      </c>
      <c r="J42" s="84">
        <f t="shared" si="3"/>
        <v>35.798812809719507</v>
      </c>
      <c r="K42" s="65">
        <f t="shared" si="3"/>
        <v>2.1309121640880955</v>
      </c>
      <c r="L42" s="64">
        <f t="shared" si="4"/>
        <v>0</v>
      </c>
      <c r="M42" s="72">
        <f t="shared" si="5"/>
        <v>0</v>
      </c>
      <c r="N42" s="72">
        <f t="shared" si="6"/>
        <v>0</v>
      </c>
      <c r="O42" s="64">
        <f t="shared" si="18"/>
        <v>0</v>
      </c>
      <c r="P42" s="84">
        <f t="shared" si="7"/>
        <v>0</v>
      </c>
      <c r="Q42" s="84">
        <f t="shared" si="19"/>
        <v>37.929724973807602</v>
      </c>
      <c r="R42" s="73">
        <f t="shared" si="20"/>
        <v>1400.3201099580331</v>
      </c>
      <c r="S42" s="694">
        <f>IF(NOT(EXACT(A42, "MP Complete")), INDEX(MP_new!$A$4:$J$9, MATCH(Step4!A42 - 1, MP_new!$A$4:$A$9, 0), 7), S40)</f>
        <v>48544.957141362807</v>
      </c>
      <c r="T42" s="693">
        <f>IF(EXACT($Q$5, "Yes"), IF(NOT(EXACT(A42, "MP Complete")), INDEX(MP_new!$A$4:$J$9, MATCH(Step4!A42, MP_new!$A$4:$A$9, 0), 10), T40), 0)</f>
        <v>9000</v>
      </c>
      <c r="U42" s="6">
        <f>('NPV Summary'!$B$16-S42)+T42</f>
        <v>25864.882970329993</v>
      </c>
      <c r="V42" s="6">
        <f>LOOKUP(B42,Rates!$A$5:$B$168)</f>
        <v>2926.2665822231288</v>
      </c>
      <c r="W42" s="72">
        <f t="shared" si="8"/>
        <v>75.687542689188746</v>
      </c>
      <c r="X42" s="73">
        <f t="shared" si="24"/>
        <v>1319.0622340146874</v>
      </c>
      <c r="Y42" s="20">
        <f t="shared" si="25"/>
        <v>37.757817715381144</v>
      </c>
      <c r="Z42" s="20">
        <f t="shared" si="25"/>
        <v>-81.257875943345653</v>
      </c>
      <c r="AA42" s="465">
        <f>IF(SUM(AA$11:AA41)&gt;0,0,IF(SUM(X42-R42)&gt;0,B42,0))</f>
        <v>0</v>
      </c>
      <c r="AB42" s="171">
        <f>ABS(Z42)*1000000/SUM(U$12:U42)</f>
        <v>118.70648610686231</v>
      </c>
      <c r="AH42" s="55">
        <f t="shared" si="21"/>
        <v>2037</v>
      </c>
      <c r="AI42" s="8">
        <f>Rates!B35</f>
        <v>1983.1546300043995</v>
      </c>
      <c r="AK42" s="55">
        <f t="shared" si="22"/>
        <v>2037</v>
      </c>
      <c r="AL42" s="164">
        <f>Rates!E35</f>
        <v>3.5999999999999997E-2</v>
      </c>
      <c r="AM42" s="8">
        <f>Rates!F35</f>
        <v>1983.1546300043995</v>
      </c>
      <c r="AN42" s="15">
        <f>Rates!G35</f>
        <v>1558.1929235748853</v>
      </c>
      <c r="AP42" s="16">
        <f t="shared" si="9"/>
        <v>2048</v>
      </c>
      <c r="AQ42" s="77">
        <f t="shared" si="0"/>
        <v>0</v>
      </c>
      <c r="AS42" s="136">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4">
        <f t="shared" si="14"/>
        <v>2049</v>
      </c>
      <c r="C43" s="695">
        <v>0</v>
      </c>
      <c r="D43" s="695">
        <f>'Area Summary'!$F$44</f>
        <v>14.748636883992878</v>
      </c>
      <c r="E43" s="66">
        <f t="shared" si="15"/>
        <v>0.65700000000000003</v>
      </c>
      <c r="F43" s="66">
        <f t="shared" si="16"/>
        <v>0</v>
      </c>
      <c r="G43" s="67">
        <f t="shared" si="17"/>
        <v>36.8727771940111</v>
      </c>
      <c r="H43" s="68">
        <f t="shared" si="1"/>
        <v>2.2161486506516193</v>
      </c>
      <c r="I43" s="66">
        <f t="shared" si="2"/>
        <v>0</v>
      </c>
      <c r="J43" s="67">
        <f t="shared" si="3"/>
        <v>36.8727771940111</v>
      </c>
      <c r="K43" s="68">
        <f t="shared" si="3"/>
        <v>2.2161486506516193</v>
      </c>
      <c r="L43" s="66">
        <f t="shared" si="4"/>
        <v>0</v>
      </c>
      <c r="M43" s="70">
        <f t="shared" si="5"/>
        <v>0</v>
      </c>
      <c r="N43" s="70">
        <f t="shared" si="6"/>
        <v>0</v>
      </c>
      <c r="O43" s="66">
        <f t="shared" si="18"/>
        <v>0</v>
      </c>
      <c r="P43" s="67">
        <f t="shared" si="7"/>
        <v>0</v>
      </c>
      <c r="Q43" s="67">
        <f t="shared" si="19"/>
        <v>39.088925844662718</v>
      </c>
      <c r="R43" s="71">
        <f t="shared" si="20"/>
        <v>1439.4090358026958</v>
      </c>
      <c r="S43" s="694">
        <f>IF(NOT(EXACT(A43, "MP Complete")), INDEX(MP_new!$A$4:$J$9, MATCH(Step4!A43 - 1, MP_new!$A$4:$A$9, 0), 7), S41)</f>
        <v>48544.957141362807</v>
      </c>
      <c r="T43" s="693">
        <f>IF(EXACT($Q$5, "Yes"), IF(NOT(EXACT(A43, "MP Complete")), INDEX(MP_new!$A$4:$J$9, MATCH(Step4!A43, MP_new!$A$4:$A$9, 0), 10), T41), 0)</f>
        <v>9000</v>
      </c>
      <c r="U43" s="82">
        <f>('NPV Summary'!$B$16-S43)+T43</f>
        <v>25864.882970329993</v>
      </c>
      <c r="V43" s="82">
        <f>LOOKUP(B43,Rates!$A$5:$B$168)</f>
        <v>3031.6121791831615</v>
      </c>
      <c r="W43" s="70">
        <f t="shared" si="8"/>
        <v>78.412294225999545</v>
      </c>
      <c r="X43" s="71">
        <f t="shared" si="24"/>
        <v>1397.4745282406871</v>
      </c>
      <c r="Y43" s="470">
        <f t="shared" si="25"/>
        <v>39.323368381336827</v>
      </c>
      <c r="Z43" s="470">
        <f t="shared" si="25"/>
        <v>-41.934507562008775</v>
      </c>
      <c r="AA43" s="466">
        <f>IF(SUM(AA$11:AA42)&gt;0,0,IF(SUM(X43-R43)&gt;0,B43,0))</f>
        <v>0</v>
      </c>
      <c r="AB43" s="471">
        <f>ABS(Z43)*1000000/SUM(U$12:U43)</f>
        <v>59.030048377686406</v>
      </c>
      <c r="AH43" s="52">
        <f t="shared" si="21"/>
        <v>2038</v>
      </c>
      <c r="AI43" s="53">
        <f>Rates!B36</f>
        <v>2054.5481966845578</v>
      </c>
      <c r="AK43" s="52">
        <f t="shared" si="22"/>
        <v>2038</v>
      </c>
      <c r="AL43" s="165">
        <f>Rates!E36</f>
        <v>3.5999999999999997E-2</v>
      </c>
      <c r="AM43" s="53">
        <f>Rates!F36</f>
        <v>2054.5481966845578</v>
      </c>
      <c r="AN43" s="54">
        <f>Rates!G36</f>
        <v>1614.2878688235812</v>
      </c>
      <c r="AP43" s="48">
        <f t="shared" si="9"/>
        <v>2049</v>
      </c>
      <c r="AQ43" s="78">
        <f t="shared" si="0"/>
        <v>0</v>
      </c>
      <c r="AS43" s="133">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5">
        <f t="shared" si="14"/>
        <v>2050</v>
      </c>
      <c r="C44" s="695">
        <v>0</v>
      </c>
      <c r="D44" s="695">
        <f>'Area Summary'!$F$44</f>
        <v>14.748636883992878</v>
      </c>
      <c r="E44" s="64">
        <f t="shared" si="15"/>
        <v>0.65700000000000003</v>
      </c>
      <c r="F44" s="64">
        <f t="shared" si="16"/>
        <v>0</v>
      </c>
      <c r="G44" s="84">
        <f t="shared" si="17"/>
        <v>37.978960509831424</v>
      </c>
      <c r="H44" s="65">
        <f t="shared" si="1"/>
        <v>2.3047945966776844</v>
      </c>
      <c r="I44" s="64">
        <f t="shared" si="2"/>
        <v>0</v>
      </c>
      <c r="J44" s="84">
        <f t="shared" si="3"/>
        <v>37.978960509831424</v>
      </c>
      <c r="K44" s="65">
        <f t="shared" si="3"/>
        <v>2.3047945966776844</v>
      </c>
      <c r="L44" s="64">
        <f t="shared" si="4"/>
        <v>0</v>
      </c>
      <c r="M44" s="72">
        <f t="shared" si="5"/>
        <v>0</v>
      </c>
      <c r="N44" s="72">
        <f t="shared" si="6"/>
        <v>0</v>
      </c>
      <c r="O44" s="64">
        <f t="shared" si="18"/>
        <v>0</v>
      </c>
      <c r="P44" s="84">
        <f t="shared" si="7"/>
        <v>0</v>
      </c>
      <c r="Q44" s="84">
        <f t="shared" si="19"/>
        <v>40.283755106509105</v>
      </c>
      <c r="R44" s="73">
        <f t="shared" si="20"/>
        <v>1479.6927909092049</v>
      </c>
      <c r="S44" s="694">
        <f>IF(NOT(EXACT(A44, "MP Complete")), INDEX(MP_new!$A$4:$J$9, MATCH(Step4!A44 - 1, MP_new!$A$4:$A$9, 0), 7), S42)</f>
        <v>48544.957141362807</v>
      </c>
      <c r="T44" s="693">
        <f>IF(EXACT($Q$5, "Yes"), IF(NOT(EXACT(A44, "MP Complete")), INDEX(MP_new!$A$4:$J$9, MATCH(Step4!A44, MP_new!$A$4:$A$9, 0), 10), T42), 0)</f>
        <v>9000</v>
      </c>
      <c r="U44" s="6">
        <f>('NPV Summary'!$B$16-S44)+T44</f>
        <v>25864.882970329993</v>
      </c>
      <c r="V44" s="6">
        <f>LOOKUP(B44,Rates!$A$5:$B$168)</f>
        <v>3140.7502176337553</v>
      </c>
      <c r="W44" s="72">
        <f t="shared" si="8"/>
        <v>81.23513681813553</v>
      </c>
      <c r="X44" s="73">
        <f t="shared" si="24"/>
        <v>1478.7096650588226</v>
      </c>
      <c r="Y44" s="20">
        <f t="shared" si="25"/>
        <v>40.951381711626425</v>
      </c>
      <c r="Z44" s="20">
        <f t="shared" si="25"/>
        <v>-0.98312585038229372</v>
      </c>
      <c r="AA44" s="468">
        <f>IF(SUM(AA$11:AA43)&gt;0,0,IF(SUM(X44-R44)&gt;0,B44,0))</f>
        <v>0</v>
      </c>
      <c r="AB44" s="171">
        <f>ABS(Z44)*1000000/SUM(U$12:U44)</f>
        <v>1.3353017361210151</v>
      </c>
      <c r="AH44" s="55">
        <f t="shared" si="21"/>
        <v>2039</v>
      </c>
      <c r="AI44" s="8">
        <f>Rates!B37</f>
        <v>2128.511931765202</v>
      </c>
      <c r="AK44" s="55">
        <f t="shared" si="22"/>
        <v>2039</v>
      </c>
      <c r="AL44" s="164">
        <f>Rates!E37</f>
        <v>3.5999999999999997E-2</v>
      </c>
      <c r="AM44" s="8">
        <f>Rates!F37</f>
        <v>2128.511931765202</v>
      </c>
      <c r="AN44" s="15">
        <f>Rates!G37</f>
        <v>1672.4022321012301</v>
      </c>
      <c r="AP44" s="16">
        <f t="shared" si="9"/>
        <v>2050</v>
      </c>
      <c r="AQ44" s="77">
        <f t="shared" si="0"/>
        <v>0</v>
      </c>
      <c r="AS44" s="136">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4">
        <f t="shared" si="14"/>
        <v>2051</v>
      </c>
      <c r="C45" s="695">
        <v>0</v>
      </c>
      <c r="D45" s="695">
        <f>'Area Summary'!$F$44</f>
        <v>14.748636883992878</v>
      </c>
      <c r="E45" s="66">
        <f t="shared" si="15"/>
        <v>0.65700000000000003</v>
      </c>
      <c r="F45" s="66">
        <f t="shared" si="16"/>
        <v>0</v>
      </c>
      <c r="G45" s="67">
        <f t="shared" si="17"/>
        <v>39.118329325126368</v>
      </c>
      <c r="H45" s="68">
        <f t="shared" si="1"/>
        <v>2.3969863805447917</v>
      </c>
      <c r="I45" s="66">
        <f t="shared" si="2"/>
        <v>0</v>
      </c>
      <c r="J45" s="67">
        <f t="shared" si="3"/>
        <v>39.118329325126368</v>
      </c>
      <c r="K45" s="68">
        <f t="shared" si="3"/>
        <v>2.3969863805447917</v>
      </c>
      <c r="L45" s="66">
        <f t="shared" si="4"/>
        <v>0</v>
      </c>
      <c r="M45" s="70">
        <f t="shared" si="5"/>
        <v>0</v>
      </c>
      <c r="N45" s="70">
        <f t="shared" si="6"/>
        <v>0</v>
      </c>
      <c r="O45" s="66">
        <f t="shared" si="18"/>
        <v>0</v>
      </c>
      <c r="P45" s="67">
        <f t="shared" si="7"/>
        <v>0</v>
      </c>
      <c r="Q45" s="67">
        <f t="shared" si="19"/>
        <v>41.515315705671156</v>
      </c>
      <c r="R45" s="71">
        <f t="shared" si="20"/>
        <v>1521.208106614876</v>
      </c>
      <c r="S45" s="694">
        <f>IF(NOT(EXACT(A45, "MP Complete")), INDEX(MP_new!$A$4:$J$9, MATCH(Step4!A45 - 1, MP_new!$A$4:$A$9, 0), 7), S43)</f>
        <v>48544.957141362807</v>
      </c>
      <c r="T45" s="693">
        <f>IF(EXACT($Q$5, "Yes"), IF(NOT(EXACT(A45, "MP Complete")), INDEX(MP_new!$A$4:$J$9, MATCH(Step4!A45, MP_new!$A$4:$A$9, 0), 10), T43), 0)</f>
        <v>9000</v>
      </c>
      <c r="U45" s="82">
        <f>('NPV Summary'!$B$16-S45)+T45</f>
        <v>25864.882970329993</v>
      </c>
      <c r="V45" s="82">
        <f>LOOKUP(B45,Rates!$A$5:$B$168)</f>
        <v>3253.8172254685705</v>
      </c>
      <c r="W45" s="70">
        <f t="shared" si="8"/>
        <v>84.159601743588411</v>
      </c>
      <c r="X45" s="71">
        <f t="shared" si="24"/>
        <v>1562.8692668024109</v>
      </c>
      <c r="Y45" s="470">
        <f t="shared" si="25"/>
        <v>42.644286037917254</v>
      </c>
      <c r="Z45" s="470">
        <f t="shared" si="25"/>
        <v>41.661160187534961</v>
      </c>
      <c r="AA45" s="466">
        <f>IF(SUM(AA$11:AA44)&gt;0,0,IF(SUM(X45-R45)&gt;0,B45,0))</f>
        <v>2051</v>
      </c>
      <c r="AB45" s="471">
        <f>ABS(Z45)*1000000/SUM(U$12:U45)</f>
        <v>54.664662639310698</v>
      </c>
      <c r="AH45" s="52">
        <f t="shared" si="21"/>
        <v>2040</v>
      </c>
      <c r="AI45" s="53">
        <f>Rates!B38</f>
        <v>2205.1383613087492</v>
      </c>
      <c r="AK45" s="52">
        <f t="shared" si="22"/>
        <v>2040</v>
      </c>
      <c r="AL45" s="165">
        <f>Rates!E38</f>
        <v>3.5999999999999997E-2</v>
      </c>
      <c r="AM45" s="53">
        <f>Rates!F38</f>
        <v>2205.1383613087492</v>
      </c>
      <c r="AN45" s="54">
        <f>Rates!G38</f>
        <v>1732.6087124568744</v>
      </c>
      <c r="AP45" s="48">
        <f t="shared" si="9"/>
        <v>2051</v>
      </c>
      <c r="AQ45" s="78">
        <f t="shared" si="0"/>
        <v>0</v>
      </c>
      <c r="AS45" s="133">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5">
        <f t="shared" si="14"/>
        <v>2052</v>
      </c>
      <c r="C46" s="695">
        <v>0</v>
      </c>
      <c r="D46" s="695">
        <f>'Area Summary'!$F$44</f>
        <v>14.748636883992878</v>
      </c>
      <c r="E46" s="64">
        <f t="shared" si="15"/>
        <v>0.65700000000000003</v>
      </c>
      <c r="F46" s="64">
        <f t="shared" si="16"/>
        <v>0</v>
      </c>
      <c r="G46" s="84">
        <f t="shared" si="17"/>
        <v>40.291879204880154</v>
      </c>
      <c r="H46" s="65">
        <f t="shared" si="1"/>
        <v>2.4928658357665836</v>
      </c>
      <c r="I46" s="64">
        <f t="shared" si="2"/>
        <v>0</v>
      </c>
      <c r="J46" s="84">
        <f t="shared" si="3"/>
        <v>40.291879204880154</v>
      </c>
      <c r="K46" s="65">
        <f t="shared" si="3"/>
        <v>2.4928658357665836</v>
      </c>
      <c r="L46" s="64">
        <f t="shared" si="4"/>
        <v>0</v>
      </c>
      <c r="M46" s="72">
        <f t="shared" si="5"/>
        <v>0</v>
      </c>
      <c r="N46" s="72">
        <f t="shared" si="6"/>
        <v>0</v>
      </c>
      <c r="O46" s="64">
        <f t="shared" si="18"/>
        <v>0</v>
      </c>
      <c r="P46" s="84">
        <f t="shared" si="7"/>
        <v>0</v>
      </c>
      <c r="Q46" s="84">
        <f t="shared" si="19"/>
        <v>42.78474504064674</v>
      </c>
      <c r="R46" s="73">
        <f t="shared" si="20"/>
        <v>1563.9928516555228</v>
      </c>
      <c r="S46" s="694">
        <f>IF(NOT(EXACT(A46, "MP Complete")), INDEX(MP_new!$A$4:$J$9, MATCH(Step4!A46 - 1, MP_new!$A$4:$A$9, 0), 7), S44)</f>
        <v>48544.957141362807</v>
      </c>
      <c r="T46" s="693">
        <f>IF(EXACT($Q$5, "Yes"), IF(NOT(EXACT(A46, "MP Complete")), INDEX(MP_new!$A$4:$J$9, MATCH(Step4!A46, MP_new!$A$4:$A$9, 0), 10), T44), 0)</f>
        <v>9000</v>
      </c>
      <c r="U46" s="6">
        <f>('NPV Summary'!$B$16-S46)+T46</f>
        <v>25864.882970329993</v>
      </c>
      <c r="V46" s="6">
        <f>LOOKUP(B46,Rates!$A$5:$B$168)</f>
        <v>3370.9546455854393</v>
      </c>
      <c r="W46" s="72">
        <f t="shared" si="8"/>
        <v>87.189347406357598</v>
      </c>
      <c r="X46" s="73">
        <f t="shared" si="24"/>
        <v>1650.0586142087686</v>
      </c>
      <c r="Y46" s="20">
        <f t="shared" si="25"/>
        <v>44.404602365710858</v>
      </c>
      <c r="Z46" s="20">
        <f t="shared" si="25"/>
        <v>86.065762553245804</v>
      </c>
      <c r="AA46" s="465">
        <f>IF(SUM(AA$11:AA45)&gt;0,0,IF(SUM(X46-R46)&gt;0,B46,0))</f>
        <v>0</v>
      </c>
      <c r="AB46" s="171">
        <f>ABS(Z46)*1000000/SUM(U$12:U46)</f>
        <v>109.22228290059623</v>
      </c>
      <c r="AH46" s="55">
        <f t="shared" si="21"/>
        <v>2041</v>
      </c>
      <c r="AI46" s="8">
        <f>Rates!B39</f>
        <v>2284.5233423158643</v>
      </c>
      <c r="AK46" s="55">
        <f t="shared" si="22"/>
        <v>2041</v>
      </c>
      <c r="AL46" s="164">
        <f>Rates!E39</f>
        <v>3.5999999999999997E-2</v>
      </c>
      <c r="AM46" s="8">
        <f>Rates!F39</f>
        <v>2284.5233423158643</v>
      </c>
      <c r="AN46" s="15">
        <f>Rates!G39</f>
        <v>1794.982626105322</v>
      </c>
      <c r="AP46" s="16">
        <f t="shared" si="9"/>
        <v>2052</v>
      </c>
      <c r="AQ46" s="77">
        <f t="shared" si="0"/>
        <v>0</v>
      </c>
      <c r="AS46" s="136">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4">
        <f t="shared" si="14"/>
        <v>2053</v>
      </c>
      <c r="C47" s="695">
        <v>0</v>
      </c>
      <c r="D47" s="695">
        <f>'Area Summary'!$F$44</f>
        <v>14.748636883992878</v>
      </c>
      <c r="E47" s="66">
        <f t="shared" si="15"/>
        <v>0.65700000000000003</v>
      </c>
      <c r="F47" s="66">
        <f t="shared" si="16"/>
        <v>0</v>
      </c>
      <c r="G47" s="67">
        <f t="shared" si="17"/>
        <v>41.500635581026565</v>
      </c>
      <c r="H47" s="68">
        <f t="shared" si="1"/>
        <v>2.5925804691972472</v>
      </c>
      <c r="I47" s="66">
        <f t="shared" si="2"/>
        <v>0</v>
      </c>
      <c r="J47" s="67">
        <f t="shared" si="3"/>
        <v>41.500635581026565</v>
      </c>
      <c r="K47" s="68">
        <f t="shared" si="3"/>
        <v>2.5925804691972472</v>
      </c>
      <c r="L47" s="66">
        <f t="shared" si="4"/>
        <v>0</v>
      </c>
      <c r="M47" s="70">
        <f t="shared" si="5"/>
        <v>0</v>
      </c>
      <c r="N47" s="70">
        <f t="shared" si="6"/>
        <v>0</v>
      </c>
      <c r="O47" s="66">
        <f t="shared" si="18"/>
        <v>0</v>
      </c>
      <c r="P47" s="67">
        <f t="shared" si="7"/>
        <v>0</v>
      </c>
      <c r="Q47" s="67">
        <f t="shared" si="19"/>
        <v>44.093216050223809</v>
      </c>
      <c r="R47" s="71">
        <f t="shared" si="20"/>
        <v>1608.0860677057467</v>
      </c>
      <c r="S47" s="694">
        <f>IF(NOT(EXACT(A47, "MP Complete")), INDEX(MP_new!$A$4:$J$9, MATCH(Step4!A47 - 1, MP_new!$A$4:$A$9, 0), 7), S45)</f>
        <v>48544.957141362807</v>
      </c>
      <c r="T47" s="693">
        <f>IF(EXACT($Q$5, "Yes"), IF(NOT(EXACT(A47, "MP Complete")), INDEX(MP_new!$A$4:$J$9, MATCH(Step4!A47, MP_new!$A$4:$A$9, 0), 10), T45), 0)</f>
        <v>9000</v>
      </c>
      <c r="U47" s="82">
        <f>('NPV Summary'!$B$16-S47)+T47</f>
        <v>25864.882970329993</v>
      </c>
      <c r="V47" s="82">
        <f>LOOKUP(B47,Rates!$A$5:$B$168)</f>
        <v>3492.3090128265153</v>
      </c>
      <c r="W47" s="70">
        <f t="shared" si="8"/>
        <v>90.328163912986483</v>
      </c>
      <c r="X47" s="71">
        <f t="shared" si="24"/>
        <v>1740.386778121755</v>
      </c>
      <c r="Y47" s="470">
        <f t="shared" si="25"/>
        <v>46.234947862762674</v>
      </c>
      <c r="Z47" s="470">
        <f t="shared" si="25"/>
        <v>132.30071041600831</v>
      </c>
      <c r="AA47" s="469">
        <f>IF(SUM(AA$11:AA46)&gt;0,0,IF(SUM(X47-R47)&gt;0,B47,0))</f>
        <v>0</v>
      </c>
      <c r="AB47" s="471">
        <f>ABS(Z47)*1000000/SUM(U$12:U47)</f>
        <v>162.56112221699854</v>
      </c>
      <c r="AC47">
        <f>R47*1000000/SUM(U$12:U47)</f>
        <v>1975.8947247205087</v>
      </c>
      <c r="AH47" s="52">
        <f t="shared" si="21"/>
        <v>2042</v>
      </c>
      <c r="AI47" s="53">
        <f>Rates!B40</f>
        <v>2366.7661826392355</v>
      </c>
      <c r="AK47" s="52">
        <f t="shared" si="22"/>
        <v>2042</v>
      </c>
      <c r="AL47" s="165">
        <f>Rates!E40</f>
        <v>3.5999999999999997E-2</v>
      </c>
      <c r="AM47" s="53">
        <f>Rates!F40</f>
        <v>2366.7661826392355</v>
      </c>
      <c r="AN47" s="54">
        <f>Rates!G40</f>
        <v>1859.6020006451135</v>
      </c>
      <c r="AP47" s="48">
        <f t="shared" si="9"/>
        <v>2053</v>
      </c>
      <c r="AQ47" s="78">
        <f t="shared" si="0"/>
        <v>0</v>
      </c>
      <c r="AS47" s="133">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5">
        <f t="shared" si="14"/>
        <v>2054</v>
      </c>
      <c r="C48" s="695">
        <v>0</v>
      </c>
      <c r="D48" s="695">
        <f>'Area Summary'!$F$44</f>
        <v>14.748636883992878</v>
      </c>
      <c r="E48" s="64">
        <f t="shared" si="15"/>
        <v>0.65700000000000003</v>
      </c>
      <c r="F48" s="64">
        <f t="shared" si="16"/>
        <v>0</v>
      </c>
      <c r="G48" s="84">
        <f t="shared" si="17"/>
        <v>42.745654648457361</v>
      </c>
      <c r="H48" s="65">
        <f t="shared" si="1"/>
        <v>2.6962836879651366</v>
      </c>
      <c r="I48" s="64">
        <f t="shared" si="2"/>
        <v>0</v>
      </c>
      <c r="J48" s="84">
        <f t="shared" si="3"/>
        <v>42.745654648457361</v>
      </c>
      <c r="K48" s="65">
        <f t="shared" si="3"/>
        <v>2.6962836879651366</v>
      </c>
      <c r="L48" s="64">
        <f t="shared" si="4"/>
        <v>0</v>
      </c>
      <c r="M48" s="72">
        <f t="shared" si="5"/>
        <v>0</v>
      </c>
      <c r="N48" s="72">
        <f t="shared" si="6"/>
        <v>0</v>
      </c>
      <c r="O48" s="64">
        <f t="shared" si="18"/>
        <v>0</v>
      </c>
      <c r="P48" s="84">
        <f t="shared" si="7"/>
        <v>0</v>
      </c>
      <c r="Q48" s="84">
        <f t="shared" si="19"/>
        <v>45.441938336422496</v>
      </c>
      <c r="R48" s="73">
        <f t="shared" si="20"/>
        <v>1653.5280060421692</v>
      </c>
      <c r="S48" s="694">
        <f>IF(NOT(EXACT(A48, "MP Complete")), INDEX(MP_new!$A$4:$J$9, MATCH(Step4!A48 - 1, MP_new!$A$4:$A$9, 0), 7), S46)</f>
        <v>48544.957141362807</v>
      </c>
      <c r="T48" s="693">
        <f>IF(EXACT($Q$5, "Yes"), IF(NOT(EXACT(A48, "MP Complete")), INDEX(MP_new!$A$4:$J$9, MATCH(Step4!A48, MP_new!$A$4:$A$9, 0), 10), T46), 0)</f>
        <v>9000</v>
      </c>
      <c r="U48" s="6">
        <f>('NPV Summary'!$B$16-S48)+T48</f>
        <v>25864.882970329993</v>
      </c>
      <c r="V48" s="6">
        <f>LOOKUP(B48,Rates!$A$5:$B$168)</f>
        <v>3618.03213728827</v>
      </c>
      <c r="W48" s="72">
        <f t="shared" si="8"/>
        <v>93.579977813854001</v>
      </c>
      <c r="X48" s="73">
        <f t="shared" si="24"/>
        <v>1833.9667559356089</v>
      </c>
      <c r="Y48" s="20">
        <f t="shared" si="25"/>
        <v>48.138039477431505</v>
      </c>
      <c r="Z48" s="20">
        <f t="shared" si="25"/>
        <v>180.43874989343976</v>
      </c>
      <c r="AA48" s="468">
        <f>IF(SUM(AA$11:AA47)&gt;0,0,IF(SUM(X48-R48)&gt;0,B48,0))</f>
        <v>0</v>
      </c>
      <c r="AB48" s="171">
        <f>ABS(Z48)*1000000/SUM(U$12:U48)</f>
        <v>214.88043462394822</v>
      </c>
      <c r="AH48" s="55">
        <f t="shared" si="21"/>
        <v>2043</v>
      </c>
      <c r="AI48" s="8">
        <f>Rates!B41</f>
        <v>2451.9697652142481</v>
      </c>
      <c r="AK48" s="55">
        <f t="shared" si="22"/>
        <v>2043</v>
      </c>
      <c r="AL48" s="164">
        <f>Rates!E41</f>
        <v>3.5999999999999997E-2</v>
      </c>
      <c r="AM48" s="8">
        <f>Rates!F41</f>
        <v>2451.9697652142481</v>
      </c>
      <c r="AN48" s="15">
        <f>Rates!G41</f>
        <v>1926.5476726683378</v>
      </c>
      <c r="AP48" s="16">
        <f t="shared" si="9"/>
        <v>2054</v>
      </c>
      <c r="AQ48" s="77">
        <f t="shared" si="0"/>
        <v>0</v>
      </c>
      <c r="AS48" s="136">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4">
        <f t="shared" si="14"/>
        <v>2055</v>
      </c>
      <c r="C49" s="695">
        <v>0</v>
      </c>
      <c r="D49" s="695">
        <f>'Area Summary'!$F$44</f>
        <v>14.748636883992878</v>
      </c>
      <c r="E49" s="66">
        <f t="shared" si="15"/>
        <v>0.65700000000000003</v>
      </c>
      <c r="F49" s="66">
        <f t="shared" si="16"/>
        <v>0</v>
      </c>
      <c r="G49" s="67">
        <f t="shared" si="17"/>
        <v>44.028024287911073</v>
      </c>
      <c r="H49" s="68">
        <f t="shared" si="1"/>
        <v>2.8041350354837431</v>
      </c>
      <c r="I49" s="66">
        <f t="shared" si="2"/>
        <v>0</v>
      </c>
      <c r="J49" s="67">
        <f t="shared" si="3"/>
        <v>44.028024287911073</v>
      </c>
      <c r="K49" s="68">
        <f t="shared" si="3"/>
        <v>2.8041350354837431</v>
      </c>
      <c r="L49" s="66">
        <f t="shared" si="4"/>
        <v>0</v>
      </c>
      <c r="M49" s="70">
        <f t="shared" si="5"/>
        <v>0</v>
      </c>
      <c r="N49" s="70">
        <f t="shared" si="6"/>
        <v>0</v>
      </c>
      <c r="O49" s="66">
        <f t="shared" si="18"/>
        <v>0</v>
      </c>
      <c r="P49" s="67">
        <f t="shared" si="7"/>
        <v>0</v>
      </c>
      <c r="Q49" s="67">
        <f t="shared" si="19"/>
        <v>46.832159323394819</v>
      </c>
      <c r="R49" s="71">
        <f t="shared" si="20"/>
        <v>1700.3601653655639</v>
      </c>
      <c r="S49" s="694">
        <f>IF(NOT(EXACT(A49, "MP Complete")), INDEX(MP_new!$A$4:$J$9, MATCH(Step4!A49 - 1, MP_new!$A$4:$A$9, 0), 7), S47)</f>
        <v>48544.957141362807</v>
      </c>
      <c r="T49" s="693">
        <f>IF(EXACT($Q$5, "Yes"), IF(NOT(EXACT(A49, "MP Complete")), INDEX(MP_new!$A$4:$J$9, MATCH(Step4!A49, MP_new!$A$4:$A$9, 0), 10), T47), 0)</f>
        <v>9000</v>
      </c>
      <c r="U49" s="82">
        <f>('NPV Summary'!$B$16-S49)+T49</f>
        <v>25864.882970329993</v>
      </c>
      <c r="V49" s="82">
        <f>LOOKUP(B49,Rates!$A$5:$B$168)</f>
        <v>3748.2812942306477</v>
      </c>
      <c r="W49" s="70">
        <f t="shared" si="8"/>
        <v>96.948857015152754</v>
      </c>
      <c r="X49" s="71">
        <f t="shared" si="24"/>
        <v>1930.9156129507617</v>
      </c>
      <c r="Y49" s="470">
        <f t="shared" si="25"/>
        <v>50.116697691757935</v>
      </c>
      <c r="Z49" s="470">
        <f t="shared" si="25"/>
        <v>230.55544758519773</v>
      </c>
      <c r="AA49" s="466">
        <f>IF(SUM(AA$11:AA48)&gt;0,0,IF(SUM(X49-R49)&gt;0,B49,0))</f>
        <v>0</v>
      </c>
      <c r="AB49" s="471">
        <f>ABS(Z49)*1000000/SUM(U$12:U49)</f>
        <v>266.3589166014022</v>
      </c>
      <c r="AH49" s="52">
        <f t="shared" si="21"/>
        <v>2044</v>
      </c>
      <c r="AI49" s="53">
        <f>Rates!B42</f>
        <v>2540.2406767619609</v>
      </c>
      <c r="AK49" s="52">
        <f t="shared" si="22"/>
        <v>2044</v>
      </c>
      <c r="AL49" s="165">
        <f>Rates!E42</f>
        <v>3.5999999999999997E-2</v>
      </c>
      <c r="AM49" s="53">
        <f>Rates!F42</f>
        <v>2540.2406767619609</v>
      </c>
      <c r="AN49" s="54">
        <f>Rates!G42</f>
        <v>1995.9033888843981</v>
      </c>
      <c r="AP49" s="48">
        <f t="shared" si="9"/>
        <v>2055</v>
      </c>
      <c r="AQ49" s="78">
        <f t="shared" si="0"/>
        <v>0</v>
      </c>
      <c r="AS49" s="133">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5">
        <f>B49+1</f>
        <v>2056</v>
      </c>
      <c r="C50" s="695">
        <v>0</v>
      </c>
      <c r="D50" s="695">
        <f>'Area Summary'!$F$44</f>
        <v>14.748636883992878</v>
      </c>
      <c r="E50" s="64">
        <f t="shared" si="15"/>
        <v>0.65700000000000003</v>
      </c>
      <c r="F50" s="64">
        <f t="shared" si="16"/>
        <v>0</v>
      </c>
      <c r="G50" s="84">
        <f t="shared" si="17"/>
        <v>45.348865016548409</v>
      </c>
      <c r="H50" s="65">
        <f t="shared" si="1"/>
        <v>2.916300436903092</v>
      </c>
      <c r="I50" s="64">
        <f t="shared" si="2"/>
        <v>0</v>
      </c>
      <c r="J50" s="84">
        <f t="shared" si="3"/>
        <v>45.348865016548409</v>
      </c>
      <c r="K50" s="65">
        <f t="shared" si="3"/>
        <v>2.916300436903092</v>
      </c>
      <c r="L50" s="64">
        <f t="shared" si="4"/>
        <v>0</v>
      </c>
      <c r="M50" s="72">
        <f t="shared" si="5"/>
        <v>0</v>
      </c>
      <c r="N50" s="72">
        <f t="shared" si="6"/>
        <v>0</v>
      </c>
      <c r="O50" s="64">
        <f>IF($L$5="Yes", IF( U50&gt;U49, (U50-U49)*$M$5/1000000,0),0)</f>
        <v>0</v>
      </c>
      <c r="P50" s="84">
        <f t="shared" si="7"/>
        <v>0</v>
      </c>
      <c r="Q50" s="84">
        <f t="shared" si="19"/>
        <v>48.265165453451502</v>
      </c>
      <c r="R50" s="73">
        <f>R49+Q50</f>
        <v>1748.6253308190155</v>
      </c>
      <c r="S50" s="694">
        <f>IF(NOT(EXACT(A50, "MP Complete")), INDEX(MP_new!$A$4:$J$9, MATCH(Step4!A50 - 1, MP_new!$A$4:$A$9, 0), 7), S48)</f>
        <v>48544.957141362807</v>
      </c>
      <c r="T50" s="693">
        <f>IF(EXACT($Q$5, "Yes"), IF(NOT(EXACT(A50, "MP Complete")), INDEX(MP_new!$A$4:$J$9, MATCH(Step4!A50, MP_new!$A$4:$A$9, 0), 10), T48), 0)</f>
        <v>9000</v>
      </c>
      <c r="U50" s="6">
        <f>('NPV Summary'!$B$16-S50)+T50</f>
        <v>25864.882970329993</v>
      </c>
      <c r="V50" s="6">
        <f>LOOKUP(B50,Rates!$A$5:$B$168)</f>
        <v>3883.2194208229512</v>
      </c>
      <c r="W50" s="72">
        <f t="shared" si="8"/>
        <v>100.43901586769825</v>
      </c>
      <c r="X50" s="73">
        <f>X49+W50</f>
        <v>2031.35462881846</v>
      </c>
      <c r="Y50" s="20">
        <f t="shared" si="25"/>
        <v>52.173850414246743</v>
      </c>
      <c r="Z50" s="20">
        <f t="shared" si="25"/>
        <v>282.7292979994445</v>
      </c>
      <c r="AA50" s="465">
        <f>IF(SUM(AA$11:AA49)&gt;0,0,IF(SUM(X50-R50)&gt;0,B50,0))</f>
        <v>0</v>
      </c>
      <c r="AB50" s="171">
        <f>ABS(Z50)*1000000/SUM(U$12:U50)</f>
        <v>317.15780991796271</v>
      </c>
      <c r="AH50" s="55">
        <f>AH49+1</f>
        <v>2045</v>
      </c>
      <c r="AI50" s="8">
        <f>Rates!B43</f>
        <v>2631.6893411253914</v>
      </c>
      <c r="AK50" s="55">
        <f>AK49+1</f>
        <v>2045</v>
      </c>
      <c r="AL50" s="164">
        <f>Rates!E43</f>
        <v>3.5999999999999997E-2</v>
      </c>
      <c r="AM50" s="8">
        <f>Rates!F43</f>
        <v>2631.6893411253914</v>
      </c>
      <c r="AN50" s="15">
        <f>Rates!G43</f>
        <v>2067.7559108842365</v>
      </c>
      <c r="AP50" s="16">
        <f t="shared" si="9"/>
        <v>2056</v>
      </c>
      <c r="AQ50" s="77">
        <f t="shared" si="0"/>
        <v>0</v>
      </c>
      <c r="AS50" s="136">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4">
        <f t="shared" si="14"/>
        <v>2057</v>
      </c>
      <c r="C51" s="695">
        <v>0</v>
      </c>
      <c r="D51" s="695">
        <f>'Area Summary'!$F$44</f>
        <v>14.748636883992878</v>
      </c>
      <c r="E51" s="66">
        <f t="shared" si="15"/>
        <v>0.65700000000000003</v>
      </c>
      <c r="F51" s="66">
        <f t="shared" si="16"/>
        <v>0</v>
      </c>
      <c r="G51" s="67">
        <f t="shared" si="17"/>
        <v>46.709330967044863</v>
      </c>
      <c r="H51" s="68">
        <f t="shared" si="1"/>
        <v>3.0329524543792159</v>
      </c>
      <c r="I51" s="66">
        <f t="shared" si="2"/>
        <v>0</v>
      </c>
      <c r="J51" s="67">
        <f t="shared" si="3"/>
        <v>46.709330967044863</v>
      </c>
      <c r="K51" s="68">
        <f t="shared" si="3"/>
        <v>3.0329524543792159</v>
      </c>
      <c r="L51" s="66">
        <f t="shared" si="4"/>
        <v>0</v>
      </c>
      <c r="M51" s="70">
        <f t="shared" si="5"/>
        <v>0</v>
      </c>
      <c r="N51" s="70">
        <f t="shared" si="6"/>
        <v>0</v>
      </c>
      <c r="O51" s="66">
        <f t="shared" si="18"/>
        <v>0</v>
      </c>
      <c r="P51" s="67">
        <f t="shared" si="7"/>
        <v>0</v>
      </c>
      <c r="Q51" s="67">
        <f t="shared" si="19"/>
        <v>49.742283421424077</v>
      </c>
      <c r="R51" s="71">
        <f t="shared" si="20"/>
        <v>1798.3676142404397</v>
      </c>
      <c r="S51" s="694">
        <f>IF(NOT(EXACT(A51, "MP Complete")), INDEX(MP_new!$A$4:$J$9, MATCH(Step4!A51 - 1, MP_new!$A$4:$A$9, 0), 7), S49)</f>
        <v>48544.957141362807</v>
      </c>
      <c r="T51" s="693">
        <f>IF(EXACT($Q$5, "Yes"), IF(NOT(EXACT(A51, "MP Complete")), INDEX(MP_new!$A$4:$J$9, MATCH(Step4!A51, MP_new!$A$4:$A$9, 0), 10), T49), 0)</f>
        <v>9000</v>
      </c>
      <c r="U51" s="82">
        <f>('NPV Summary'!$B$16-S51)+T51</f>
        <v>25864.882970329993</v>
      </c>
      <c r="V51" s="82">
        <f>LOOKUP(B51,Rates!$A$5:$B$168)</f>
        <v>4023.0153199725773</v>
      </c>
      <c r="W51" s="70">
        <f t="shared" si="8"/>
        <v>104.05482043893538</v>
      </c>
      <c r="X51" s="74">
        <f t="shared" si="24"/>
        <v>2135.4094492573954</v>
      </c>
      <c r="Y51" s="470">
        <f t="shared" si="25"/>
        <v>54.312537017511303</v>
      </c>
      <c r="Z51" s="470">
        <f t="shared" si="25"/>
        <v>337.0418350169557</v>
      </c>
      <c r="AA51" s="466">
        <f>IF(SUM(AA$11:AA50)&gt;0,0,IF(SUM(X51-R51)&gt;0,B51,0))</f>
        <v>0</v>
      </c>
      <c r="AB51" s="471">
        <f>ABS(Z51)*1000000/SUM(U$12:U51)</f>
        <v>367.42348394245266</v>
      </c>
      <c r="AH51" s="52">
        <f t="shared" si="21"/>
        <v>2046</v>
      </c>
      <c r="AI51" s="53">
        <f>Rates!B44</f>
        <v>2726.4301574059054</v>
      </c>
      <c r="AK51" s="52">
        <f t="shared" si="22"/>
        <v>2046</v>
      </c>
      <c r="AL51" s="165">
        <f>Rates!E44</f>
        <v>3.5999999999999997E-2</v>
      </c>
      <c r="AM51" s="53">
        <f>Rates!F44</f>
        <v>2726.4301574059054</v>
      </c>
      <c r="AN51" s="54">
        <f>Rates!G44</f>
        <v>2142.1951236760692</v>
      </c>
      <c r="AP51" s="48">
        <f t="shared" si="9"/>
        <v>2057</v>
      </c>
      <c r="AQ51" s="78">
        <f t="shared" si="0"/>
        <v>0</v>
      </c>
      <c r="AS51" s="133">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5">
        <f t="shared" si="14"/>
        <v>2058</v>
      </c>
      <c r="C52" s="695">
        <v>0</v>
      </c>
      <c r="D52" s="695">
        <f>'Area Summary'!$F$44</f>
        <v>14.748636883992878</v>
      </c>
      <c r="E52" s="64">
        <f t="shared" si="15"/>
        <v>0.65700000000000003</v>
      </c>
      <c r="F52" s="64">
        <f t="shared" si="16"/>
        <v>0</v>
      </c>
      <c r="G52" s="84">
        <f t="shared" si="17"/>
        <v>48.110610896056201</v>
      </c>
      <c r="H52" s="65">
        <f t="shared" si="1"/>
        <v>3.1542705525543853</v>
      </c>
      <c r="I52" s="64">
        <f t="shared" si="2"/>
        <v>0</v>
      </c>
      <c r="J52" s="84">
        <f t="shared" si="3"/>
        <v>48.110610896056201</v>
      </c>
      <c r="K52" s="65">
        <f t="shared" si="3"/>
        <v>3.1542705525543853</v>
      </c>
      <c r="L52" s="64">
        <f t="shared" si="4"/>
        <v>0</v>
      </c>
      <c r="M52" s="72">
        <f t="shared" si="5"/>
        <v>0</v>
      </c>
      <c r="N52" s="72">
        <f t="shared" si="6"/>
        <v>0</v>
      </c>
      <c r="O52" s="64">
        <f t="shared" si="18"/>
        <v>0</v>
      </c>
      <c r="P52" s="84">
        <f t="shared" si="7"/>
        <v>0</v>
      </c>
      <c r="Q52" s="84">
        <f t="shared" si="19"/>
        <v>51.264881448610588</v>
      </c>
      <c r="R52" s="73">
        <f t="shared" si="20"/>
        <v>1849.6324956890503</v>
      </c>
      <c r="S52" s="694">
        <f>IF(NOT(EXACT(A52, "MP Complete")), INDEX(MP_new!$A$4:$J$9, MATCH(Step4!A52 - 1, MP_new!$A$4:$A$9, 0), 7), S50)</f>
        <v>48544.957141362807</v>
      </c>
      <c r="T52" s="693">
        <f>IF(EXACT($Q$5, "Yes"), IF(NOT(EXACT(A52, "MP Complete")), INDEX(MP_new!$A$4:$J$9, MATCH(Step4!A52, MP_new!$A$4:$A$9, 0), 10), T50), 0)</f>
        <v>9000</v>
      </c>
      <c r="U52" s="6">
        <f>('NPV Summary'!$B$16-S52)+T52</f>
        <v>25864.882970329993</v>
      </c>
      <c r="V52" s="6">
        <f>LOOKUP(B52,Rates!$A$5:$B$168)</f>
        <v>4167.8438714915901</v>
      </c>
      <c r="W52" s="72">
        <f t="shared" si="8"/>
        <v>107.80079397473705</v>
      </c>
      <c r="X52" s="73">
        <f t="shared" si="24"/>
        <v>2243.2102432321326</v>
      </c>
      <c r="Y52" s="20">
        <f t="shared" si="25"/>
        <v>56.535912526126459</v>
      </c>
      <c r="Z52" s="20">
        <f t="shared" si="25"/>
        <v>393.5777475430823</v>
      </c>
      <c r="AA52" s="465">
        <f>IF(SUM(AA$11:AA51)&gt;0,0,IF(SUM(X52-R52)&gt;0,B52,0))</f>
        <v>0</v>
      </c>
      <c r="AB52" s="171">
        <f>ABS(Z52)*1000000/SUM(U$12:U52)</f>
        <v>417.28959750474735</v>
      </c>
      <c r="AH52" s="55">
        <f t="shared" si="21"/>
        <v>2047</v>
      </c>
      <c r="AI52" s="8">
        <f>Rates!B45</f>
        <v>2824.5816430725181</v>
      </c>
      <c r="AK52" s="55">
        <f t="shared" si="22"/>
        <v>2047</v>
      </c>
      <c r="AL52" s="164">
        <f>Rates!E45</f>
        <v>3.5999999999999997E-2</v>
      </c>
      <c r="AM52" s="8">
        <f>Rates!F45</f>
        <v>2824.5816430725181</v>
      </c>
      <c r="AN52" s="15">
        <f>Rates!G45</f>
        <v>2219.3141481284079</v>
      </c>
      <c r="AP52" s="16">
        <f t="shared" si="9"/>
        <v>2058</v>
      </c>
      <c r="AQ52" s="77">
        <f t="shared" si="0"/>
        <v>0</v>
      </c>
      <c r="AS52" s="136">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4">
        <f t="shared" si="14"/>
        <v>2059</v>
      </c>
      <c r="C53" s="695">
        <v>0</v>
      </c>
      <c r="D53" s="695">
        <f>'Area Summary'!$F$44</f>
        <v>14.748636883992878</v>
      </c>
      <c r="E53" s="66">
        <f t="shared" si="15"/>
        <v>0.65700000000000003</v>
      </c>
      <c r="F53" s="66">
        <f t="shared" si="16"/>
        <v>0</v>
      </c>
      <c r="G53" s="67">
        <f t="shared" si="17"/>
        <v>49.553929222937889</v>
      </c>
      <c r="H53" s="68">
        <f t="shared" si="1"/>
        <v>3.2804413746565606</v>
      </c>
      <c r="I53" s="66">
        <f t="shared" si="2"/>
        <v>0</v>
      </c>
      <c r="J53" s="67">
        <f t="shared" si="3"/>
        <v>49.553929222937889</v>
      </c>
      <c r="K53" s="68">
        <f t="shared" si="3"/>
        <v>3.2804413746565606</v>
      </c>
      <c r="L53" s="66">
        <f t="shared" si="4"/>
        <v>0</v>
      </c>
      <c r="M53" s="70">
        <f t="shared" si="5"/>
        <v>0</v>
      </c>
      <c r="N53" s="70">
        <f t="shared" si="6"/>
        <v>0</v>
      </c>
      <c r="O53" s="66">
        <f t="shared" si="18"/>
        <v>0</v>
      </c>
      <c r="P53" s="67">
        <f t="shared" si="7"/>
        <v>0</v>
      </c>
      <c r="Q53" s="67">
        <f t="shared" si="19"/>
        <v>52.83437059759445</v>
      </c>
      <c r="R53" s="71">
        <f t="shared" si="20"/>
        <v>1902.4668662866447</v>
      </c>
      <c r="S53" s="694">
        <f>IF(NOT(EXACT(A53, "MP Complete")), INDEX(MP_new!$A$4:$J$9, MATCH(Step4!A53 - 1, MP_new!$A$4:$A$9, 0), 7), S51)</f>
        <v>48544.957141362807</v>
      </c>
      <c r="T53" s="693">
        <f>IF(EXACT($Q$5, "Yes"), IF(NOT(EXACT(A53, "MP Complete")), INDEX(MP_new!$A$4:$J$9, MATCH(Step4!A53, MP_new!$A$4:$A$9, 0), 10), T51), 0)</f>
        <v>9000</v>
      </c>
      <c r="U53" s="82">
        <f>('NPV Summary'!$B$16-S53)+T53</f>
        <v>25864.882970329993</v>
      </c>
      <c r="V53" s="82">
        <f>LOOKUP(B53,Rates!$A$5:$B$168)</f>
        <v>4317.8862508652874</v>
      </c>
      <c r="W53" s="70">
        <f t="shared" si="8"/>
        <v>111.68162255782759</v>
      </c>
      <c r="X53" s="71">
        <f t="shared" si="24"/>
        <v>2354.8918657899603</v>
      </c>
      <c r="Y53" s="470">
        <f t="shared" si="25"/>
        <v>58.847251960233145</v>
      </c>
      <c r="Z53" s="470">
        <f t="shared" si="25"/>
        <v>452.42499950331558</v>
      </c>
      <c r="AA53" s="474">
        <f>IF(SUM(AA$11:AA52)&gt;0,0,IF(SUM(X53-R53)&gt;0,B53,0))</f>
        <v>0</v>
      </c>
      <c r="AB53" s="471">
        <f>ABS(Z53)*1000000/SUM(U$12:U53)</f>
        <v>466.87891902294723</v>
      </c>
      <c r="AH53" s="52">
        <f t="shared" si="21"/>
        <v>2048</v>
      </c>
      <c r="AI53" s="53">
        <f>Rates!B46</f>
        <v>2926.2665822231288</v>
      </c>
      <c r="AK53" s="52">
        <f t="shared" si="22"/>
        <v>2048</v>
      </c>
      <c r="AL53" s="165">
        <f>Rates!E46</f>
        <v>3.5999999999999997E-2</v>
      </c>
      <c r="AM53" s="53">
        <f>Rates!F46</f>
        <v>2926.2665822231288</v>
      </c>
      <c r="AN53" s="54">
        <f>Rates!G46</f>
        <v>2299.2094574610305</v>
      </c>
      <c r="AP53" s="48">
        <f t="shared" si="9"/>
        <v>2059</v>
      </c>
      <c r="AQ53" s="78">
        <f t="shared" si="0"/>
        <v>0</v>
      </c>
      <c r="AS53" s="133">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5">
        <f>B53+1</f>
        <v>2060</v>
      </c>
      <c r="C54" s="695">
        <v>0</v>
      </c>
      <c r="D54" s="695">
        <f>'Area Summary'!$F$44</f>
        <v>14.748636883992878</v>
      </c>
      <c r="E54" s="64">
        <f t="shared" si="15"/>
        <v>0.65700000000000003</v>
      </c>
      <c r="F54" s="64">
        <f t="shared" si="16"/>
        <v>0</v>
      </c>
      <c r="G54" s="84">
        <f t="shared" si="17"/>
        <v>51.040547099626032</v>
      </c>
      <c r="H54" s="65">
        <f t="shared" si="1"/>
        <v>3.4116590296428231</v>
      </c>
      <c r="I54" s="64">
        <f t="shared" si="2"/>
        <v>0</v>
      </c>
      <c r="J54" s="84">
        <f t="shared" si="3"/>
        <v>51.040547099626032</v>
      </c>
      <c r="K54" s="65">
        <f t="shared" si="3"/>
        <v>3.4116590296428231</v>
      </c>
      <c r="L54" s="64">
        <f t="shared" si="4"/>
        <v>0</v>
      </c>
      <c r="M54" s="72">
        <f t="shared" si="5"/>
        <v>0</v>
      </c>
      <c r="N54" s="72">
        <f t="shared" si="6"/>
        <v>0</v>
      </c>
      <c r="O54" s="64">
        <f>IF($L$5="Yes", IF( U54&gt;U53, (U54-U53)*$M$5/1000000,0),0)</f>
        <v>0</v>
      </c>
      <c r="P54" s="84">
        <f t="shared" si="7"/>
        <v>0</v>
      </c>
      <c r="Q54" s="84">
        <f t="shared" si="19"/>
        <v>54.452206129268852</v>
      </c>
      <c r="R54" s="73">
        <f>R53+Q54</f>
        <v>1956.9190724159137</v>
      </c>
      <c r="S54" s="694">
        <f>IF(NOT(EXACT(A54, "MP Complete")), INDEX(MP_new!$A$4:$J$9, MATCH(Step4!A54 - 1, MP_new!$A$4:$A$9, 0), 7), S52)</f>
        <v>48544.957141362807</v>
      </c>
      <c r="T54" s="693">
        <f>IF(EXACT($Q$5, "Yes"), IF(NOT(EXACT(A54, "MP Complete")), INDEX(MP_new!$A$4:$J$9, MATCH(Step4!A54, MP_new!$A$4:$A$9, 0), 10), T52), 0)</f>
        <v>9000</v>
      </c>
      <c r="U54" s="6">
        <f>('NPV Summary'!$B$16-S54)+T54</f>
        <v>25864.882970329993</v>
      </c>
      <c r="V54" s="6">
        <f>LOOKUP(B54,Rates!$A$5:$B$168)</f>
        <v>4473.3301558964376</v>
      </c>
      <c r="W54" s="72">
        <f t="shared" si="8"/>
        <v>115.70216096990939</v>
      </c>
      <c r="X54" s="73">
        <f>X53+W54</f>
        <v>2470.5940267598698</v>
      </c>
      <c r="Y54" s="20">
        <f>W54-Q54</f>
        <v>61.249954840640534</v>
      </c>
      <c r="Z54" s="20">
        <f>X54-R54</f>
        <v>513.67495434395619</v>
      </c>
      <c r="AA54" s="467">
        <f>IF(SUM(AA$11:AA53)&gt;0,0,IF(SUM(X54-R54)&gt;0,B54,0))</f>
        <v>0</v>
      </c>
      <c r="AB54" s="171">
        <f>ABS(Z54)*1000000/SUM(U$12:U54)</f>
        <v>516.304867248302</v>
      </c>
      <c r="AH54" s="55">
        <f>AH53+1</f>
        <v>2049</v>
      </c>
      <c r="AI54" s="8">
        <f>Rates!B47</f>
        <v>3031.6121791831615</v>
      </c>
      <c r="AK54" s="55">
        <f>AK53+1</f>
        <v>2049</v>
      </c>
      <c r="AL54" s="164">
        <f>Rates!E47</f>
        <v>3.5999999999999997E-2</v>
      </c>
      <c r="AM54" s="8">
        <f>Rates!F47</f>
        <v>3031.6121791831615</v>
      </c>
      <c r="AN54" s="15">
        <f>Rates!G47</f>
        <v>2381.9809979296278</v>
      </c>
      <c r="AP54" s="16">
        <f t="shared" si="9"/>
        <v>2060</v>
      </c>
      <c r="AQ54" s="77">
        <f t="shared" si="0"/>
        <v>0</v>
      </c>
      <c r="AS54" s="136">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53" t="s">
        <v>118</v>
      </c>
      <c r="Q55" s="166">
        <f>NPV($E$5,Q12:Q54)*(1+$E$5)^($D$5-($C$5-1))</f>
        <v>1014.7206642963197</v>
      </c>
      <c r="V55" s="153" t="s">
        <v>119</v>
      </c>
      <c r="W55" s="167">
        <f>NPV($E$5,W12:W54)*(1+$E$5)^($D$5-($C$5-1))</f>
        <v>922.31836795913887</v>
      </c>
      <c r="X55" s="61" t="s">
        <v>30</v>
      </c>
      <c r="Y55" s="62">
        <f>IFERROR(IRR(Y12:Y54), 0)</f>
        <v>2.8634901848430871E-2</v>
      </c>
      <c r="AA55" s="475" t="s">
        <v>535</v>
      </c>
      <c r="AB55" s="476">
        <f>R54*1000000/SUM(U$12:U54)</f>
        <v>1966.9381061994079</v>
      </c>
      <c r="AH55" s="55">
        <f t="shared" ref="AH55:AH62" si="36">AH54+1</f>
        <v>2050</v>
      </c>
      <c r="AI55" s="8">
        <f>Rates!B48</f>
        <v>3140.7502176337553</v>
      </c>
      <c r="AK55" s="55">
        <f t="shared" ref="AK55:AK62" si="37">AK54+1</f>
        <v>2050</v>
      </c>
      <c r="AL55" s="164">
        <f>Rates!E48</f>
        <v>3.5999999999999997E-2</v>
      </c>
      <c r="AM55" s="8">
        <f>Rates!F48</f>
        <v>3140.7502176337553</v>
      </c>
      <c r="AN55" s="15">
        <f>Rates!G48</f>
        <v>2467.7323138550946</v>
      </c>
    </row>
    <row r="56" spans="1:61" x14ac:dyDescent="0.25">
      <c r="A56" s="622" t="s">
        <v>120</v>
      </c>
      <c r="B56" s="622"/>
      <c r="C56" s="622"/>
      <c r="D56" s="622"/>
      <c r="E56" s="622"/>
      <c r="F56" s="622"/>
      <c r="G56" s="622"/>
      <c r="H56" s="622"/>
      <c r="I56" s="622"/>
      <c r="J56" s="622"/>
      <c r="K56" s="622"/>
      <c r="AH56" s="55">
        <f t="shared" si="36"/>
        <v>2051</v>
      </c>
      <c r="AI56" s="8">
        <f>Rates!B49</f>
        <v>3253.8172254685705</v>
      </c>
      <c r="AK56" s="55">
        <f t="shared" si="37"/>
        <v>2051</v>
      </c>
      <c r="AL56" s="164">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64">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64">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64">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64">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64">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64">
        <f>Rates!E55</f>
        <v>3.5999999999999997E-2</v>
      </c>
      <c r="AM62" s="8">
        <f>Rates!F55</f>
        <v>4023.0153199725773</v>
      </c>
      <c r="AN62" s="15">
        <f>Rates!G55</f>
        <v>3160.9406085498831</v>
      </c>
    </row>
    <row r="63" spans="1:61" x14ac:dyDescent="0.25">
      <c r="AH63" s="55">
        <f>AH62+1</f>
        <v>2058</v>
      </c>
      <c r="AI63" s="8">
        <f>Rates!B56</f>
        <v>4167.8438714915901</v>
      </c>
      <c r="AK63" s="55">
        <f>AK62+1</f>
        <v>2058</v>
      </c>
      <c r="AL63" s="164">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64">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64">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zoomScale="85" zoomScaleNormal="85" workbookViewId="0">
      <selection activeCell="C1" sqref="C1"/>
    </sheetView>
    <sheetView tabSelected="1" topLeftCell="A4" workbookViewId="1">
      <selection activeCell="C12" sqref="C12:C26"/>
    </sheetView>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58"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42" t="s">
        <v>545</v>
      </c>
      <c r="Y1" s="458"/>
      <c r="Z1"/>
      <c r="AA1"/>
      <c r="BW1" s="9"/>
      <c r="BX1" s="9"/>
    </row>
    <row r="2" spans="1:76" ht="15.75" customHeight="1" thickBot="1" x14ac:dyDescent="0.3">
      <c r="B2" s="578" t="s">
        <v>1</v>
      </c>
      <c r="C2" s="604"/>
      <c r="D2" s="604"/>
      <c r="E2" s="604"/>
      <c r="F2" s="604"/>
      <c r="G2" s="604"/>
      <c r="H2" s="604"/>
      <c r="I2" s="604"/>
      <c r="J2" s="604"/>
      <c r="K2" s="604"/>
      <c r="L2" s="604"/>
      <c r="M2" s="604"/>
      <c r="N2" s="604"/>
      <c r="O2" s="604"/>
      <c r="P2" s="604"/>
      <c r="Q2" s="604"/>
      <c r="R2" s="604"/>
      <c r="Y2" s="458"/>
      <c r="Z2"/>
      <c r="AA2"/>
      <c r="BW2" s="9"/>
      <c r="BX2" s="9"/>
    </row>
    <row r="3" spans="1:76" s="56" customFormat="1" ht="24" customHeight="1" x14ac:dyDescent="0.25">
      <c r="B3" s="125"/>
      <c r="C3" s="126"/>
      <c r="D3" s="595" t="s">
        <v>2</v>
      </c>
      <c r="E3" s="596"/>
      <c r="F3" s="580" t="s">
        <v>3</v>
      </c>
      <c r="G3" s="580"/>
      <c r="H3" s="587"/>
      <c r="I3" s="590" t="s">
        <v>4</v>
      </c>
      <c r="J3" s="591"/>
      <c r="K3" s="592"/>
      <c r="L3" s="587" t="s">
        <v>5</v>
      </c>
      <c r="M3" s="588"/>
      <c r="N3" s="589"/>
      <c r="O3" s="593" t="s">
        <v>6</v>
      </c>
      <c r="P3" s="594"/>
      <c r="Q3" s="579" t="s">
        <v>7</v>
      </c>
      <c r="R3" s="675"/>
      <c r="Y3" s="459"/>
    </row>
    <row r="4" spans="1:76" s="56" customFormat="1" ht="51.75" customHeight="1" thickBot="1" x14ac:dyDescent="0.3">
      <c r="B4" s="108" t="s">
        <v>8</v>
      </c>
      <c r="C4" s="109" t="s">
        <v>9</v>
      </c>
      <c r="D4" s="99" t="s">
        <v>10</v>
      </c>
      <c r="E4" s="113" t="s">
        <v>11</v>
      </c>
      <c r="F4" s="110" t="s">
        <v>12</v>
      </c>
      <c r="G4" s="98" t="s">
        <v>13</v>
      </c>
      <c r="H4" s="98" t="s">
        <v>14</v>
      </c>
      <c r="I4" s="108" t="s">
        <v>15</v>
      </c>
      <c r="J4" s="97" t="s">
        <v>16</v>
      </c>
      <c r="K4" s="109" t="s">
        <v>17</v>
      </c>
      <c r="L4" s="101" t="s">
        <v>18</v>
      </c>
      <c r="M4" s="93" t="s">
        <v>19</v>
      </c>
      <c r="N4" s="100" t="s">
        <v>20</v>
      </c>
      <c r="O4" s="108" t="s">
        <v>21</v>
      </c>
      <c r="P4" s="109" t="s">
        <v>22</v>
      </c>
      <c r="Q4" s="122" t="s">
        <v>23</v>
      </c>
      <c r="R4" s="123" t="s">
        <v>24</v>
      </c>
      <c r="Y4" s="459"/>
    </row>
    <row r="5" spans="1:76" s="56" customFormat="1" ht="15.75" customHeight="1" thickBot="1" x14ac:dyDescent="0.3">
      <c r="B5" s="129">
        <f>'NPV Summary'!B5</f>
        <v>2018</v>
      </c>
      <c r="C5" s="129">
        <f>'NPV Summary'!C5</f>
        <v>2018</v>
      </c>
      <c r="D5" s="129">
        <f>'NPV Summary'!D5</f>
        <v>2018</v>
      </c>
      <c r="E5" s="129">
        <f>'NPV Summary'!E5</f>
        <v>0.04</v>
      </c>
      <c r="F5" s="129">
        <f>'NPV Summary'!F5</f>
        <v>2.1999999999999999E-2</v>
      </c>
      <c r="G5" s="129">
        <f>'NPV Summary'!G5</f>
        <v>0.03</v>
      </c>
      <c r="H5" s="129">
        <f>'NPV Summary'!H5</f>
        <v>0.04</v>
      </c>
      <c r="I5" s="129">
        <f>'NPV Summary'!I5</f>
        <v>0</v>
      </c>
      <c r="J5" s="129">
        <f>'NPV Summary'!J5</f>
        <v>30</v>
      </c>
      <c r="K5" s="129">
        <f>'NPV Summary'!K5</f>
        <v>0.05</v>
      </c>
      <c r="L5" s="129" t="str">
        <f>'NPV Summary'!L5</f>
        <v>No</v>
      </c>
      <c r="M5" s="129">
        <f>'NPV Summary'!M5</f>
        <v>475</v>
      </c>
      <c r="N5" s="129">
        <f>'NPV Summary'!N5</f>
        <v>15</v>
      </c>
      <c r="O5" s="129" t="str">
        <f>'NPV Summary'!O5</f>
        <v>Treated</v>
      </c>
      <c r="P5" s="129">
        <f>'NPV Summary'!P5</f>
        <v>3.5999999999999997E-2</v>
      </c>
      <c r="Q5" s="129" t="str">
        <f>'NPV Summary'!Q5</f>
        <v>Yes</v>
      </c>
      <c r="R5" s="129">
        <f>'NPV Summary'!R5</f>
        <v>73</v>
      </c>
      <c r="Y5" s="459"/>
    </row>
    <row r="6" spans="1:76" s="56" customFormat="1" ht="15" customHeight="1" thickBot="1" x14ac:dyDescent="0.3">
      <c r="A6" s="103"/>
      <c r="B6" s="130" t="s">
        <v>67</v>
      </c>
      <c r="C6" s="57"/>
      <c r="D6" s="158"/>
      <c r="E6" s="158"/>
      <c r="F6" s="158"/>
      <c r="G6" s="158"/>
      <c r="H6" s="158"/>
      <c r="I6" s="57"/>
      <c r="J6" s="57"/>
      <c r="K6" s="103"/>
      <c r="L6" s="103"/>
      <c r="M6" s="91"/>
      <c r="N6" s="58"/>
      <c r="O6" s="158"/>
      <c r="P6" s="57"/>
      <c r="Q6" s="159"/>
      <c r="R6" s="159"/>
      <c r="S6" s="159"/>
      <c r="T6" s="159"/>
      <c r="V6" s="159"/>
      <c r="W6" s="92"/>
      <c r="AA6" s="459"/>
    </row>
    <row r="7" spans="1:76" s="56" customFormat="1" ht="15" customHeight="1" thickBot="1" x14ac:dyDescent="0.3">
      <c r="A7" s="103"/>
      <c r="B7" s="118"/>
      <c r="C7" s="118"/>
      <c r="D7" s="163"/>
      <c r="E7" s="163"/>
      <c r="F7" s="163"/>
      <c r="G7" s="163"/>
      <c r="H7" s="163"/>
      <c r="I7" s="118"/>
      <c r="J7" s="118"/>
      <c r="K7" s="118"/>
      <c r="L7" s="118"/>
      <c r="M7" s="119"/>
      <c r="N7" s="119"/>
      <c r="O7" s="163"/>
      <c r="P7" s="118"/>
      <c r="Q7" s="159"/>
      <c r="R7" s="159"/>
      <c r="S7" s="159"/>
      <c r="T7" s="159"/>
      <c r="U7" s="103"/>
      <c r="V7" s="159"/>
      <c r="W7" s="92"/>
      <c r="X7" s="86"/>
      <c r="Z7" s="162"/>
      <c r="AA7" s="460"/>
      <c r="AH7" s="623" t="s">
        <v>68</v>
      </c>
      <c r="AI7" s="624"/>
      <c r="AJ7" s="624"/>
      <c r="AK7" s="624"/>
      <c r="AL7" s="624"/>
      <c r="AM7" s="624"/>
      <c r="AN7" s="625"/>
    </row>
    <row r="8" spans="1:76" ht="13.5" customHeight="1" thickBot="1" x14ac:dyDescent="0.3">
      <c r="A8" s="629" t="s">
        <v>69</v>
      </c>
      <c r="B8" s="620"/>
      <c r="C8" s="620"/>
      <c r="D8" s="620"/>
      <c r="E8" s="620"/>
      <c r="F8" s="620"/>
      <c r="G8" s="620"/>
      <c r="H8" s="620"/>
      <c r="I8" s="620"/>
      <c r="J8" s="620"/>
      <c r="K8" s="620"/>
      <c r="L8" s="620"/>
      <c r="M8" s="620"/>
      <c r="N8" s="620"/>
      <c r="O8" s="620"/>
      <c r="P8" s="620"/>
      <c r="Q8" s="620"/>
      <c r="R8" s="620"/>
      <c r="S8" s="620"/>
      <c r="T8" s="620"/>
      <c r="U8" s="620"/>
      <c r="V8" s="620"/>
      <c r="W8" s="620"/>
      <c r="X8" s="620"/>
      <c r="Y8" s="620"/>
      <c r="Z8" s="621"/>
      <c r="AA8" s="461"/>
      <c r="AH8" s="626"/>
      <c r="AI8" s="627"/>
      <c r="AJ8" s="627"/>
      <c r="AK8" s="627"/>
      <c r="AL8" s="627"/>
      <c r="AM8" s="627"/>
      <c r="AN8" s="628"/>
    </row>
    <row r="9" spans="1:76" ht="38.25" customHeight="1" thickBot="1" x14ac:dyDescent="0.3">
      <c r="A9" s="630"/>
      <c r="B9" s="631"/>
      <c r="C9" s="632" t="str">
        <f>"Projected Annual Cost
"&amp;B5&amp;" Dollar Year" &amp;"
($Million)"</f>
        <v>Projected Annual Cost
2018 Dollar Year
($Million)</v>
      </c>
      <c r="D9" s="633"/>
      <c r="E9" s="634"/>
      <c r="F9" s="633" t="s">
        <v>70</v>
      </c>
      <c r="G9" s="633"/>
      <c r="H9" s="634"/>
      <c r="I9" s="635" t="str">
        <f>"Projected Annual Cost with Financing
($Million; NPV=$"&amp;ROUND(Q55,3)&amp;")"</f>
        <v>Projected Annual Cost with Financing
($Million; NPV=$1195.253)</v>
      </c>
      <c r="J9" s="636"/>
      <c r="K9" s="636"/>
      <c r="L9" s="636"/>
      <c r="M9" s="636"/>
      <c r="N9" s="636"/>
      <c r="O9" s="636"/>
      <c r="P9" s="636"/>
      <c r="Q9" s="636"/>
      <c r="R9" s="637"/>
      <c r="S9" s="632" t="str">
        <f>"Avoided MWD Purchase 
 ($Million; NPV=$"&amp;ROUND(W55,3)&amp;")"</f>
        <v>Avoided MWD Purchase 
 ($Million; NPV=$922.318)</v>
      </c>
      <c r="T9" s="633"/>
      <c r="U9" s="633"/>
      <c r="V9" s="633"/>
      <c r="W9" s="633"/>
      <c r="X9" s="634"/>
      <c r="Y9" s="632" t="s">
        <v>71</v>
      </c>
      <c r="Z9" s="634"/>
      <c r="AA9" s="462"/>
      <c r="AH9" s="638" t="s">
        <v>72</v>
      </c>
      <c r="AI9" s="639"/>
      <c r="AJ9" s="41"/>
      <c r="AK9" s="640" t="s">
        <v>73</v>
      </c>
      <c r="AL9" s="641"/>
      <c r="AM9" s="641"/>
      <c r="AN9" s="642"/>
      <c r="AP9" s="617" t="s">
        <v>74</v>
      </c>
      <c r="AQ9" s="618"/>
      <c r="AS9" s="619" t="s">
        <v>75</v>
      </c>
      <c r="AT9" s="620"/>
      <c r="AU9" s="620"/>
      <c r="AV9" s="620"/>
      <c r="AW9" s="620"/>
      <c r="AX9" s="620"/>
      <c r="AY9" s="620"/>
      <c r="AZ9" s="620"/>
      <c r="BA9" s="620"/>
      <c r="BB9" s="621"/>
      <c r="BD9" s="617" t="s">
        <v>76</v>
      </c>
      <c r="BE9" s="618"/>
      <c r="BF9" s="9"/>
      <c r="BG9" s="619" t="s">
        <v>77</v>
      </c>
      <c r="BH9" s="620"/>
      <c r="BI9" s="620"/>
    </row>
    <row r="10" spans="1:76" ht="51.75" customHeight="1" thickBot="1" x14ac:dyDescent="0.3">
      <c r="A10" s="34" t="s">
        <v>29</v>
      </c>
      <c r="B10" s="69" t="s">
        <v>78</v>
      </c>
      <c r="C10" s="117" t="s">
        <v>79</v>
      </c>
      <c r="D10" s="13" t="s">
        <v>80</v>
      </c>
      <c r="E10" s="14" t="s">
        <v>81</v>
      </c>
      <c r="F10" s="117" t="s">
        <v>82</v>
      </c>
      <c r="G10" s="13" t="s">
        <v>83</v>
      </c>
      <c r="H10" s="14" t="s">
        <v>84</v>
      </c>
      <c r="I10" s="18" t="s">
        <v>85</v>
      </c>
      <c r="J10" s="19" t="s">
        <v>86</v>
      </c>
      <c r="K10" s="19" t="s">
        <v>87</v>
      </c>
      <c r="L10" s="117" t="s">
        <v>88</v>
      </c>
      <c r="M10" s="13" t="s">
        <v>89</v>
      </c>
      <c r="N10" s="19" t="s">
        <v>90</v>
      </c>
      <c r="O10" s="38" t="s">
        <v>91</v>
      </c>
      <c r="P10" s="13" t="s">
        <v>92</v>
      </c>
      <c r="Q10" s="18" t="s">
        <v>93</v>
      </c>
      <c r="R10" s="152" t="s">
        <v>94</v>
      </c>
      <c r="S10" s="151" t="s">
        <v>95</v>
      </c>
      <c r="T10" s="14" t="s">
        <v>96</v>
      </c>
      <c r="U10" s="117" t="s">
        <v>97</v>
      </c>
      <c r="V10" s="13" t="s">
        <v>98</v>
      </c>
      <c r="W10" s="13" t="s">
        <v>99</v>
      </c>
      <c r="X10" s="14" t="s">
        <v>100</v>
      </c>
      <c r="Y10" s="117" t="s">
        <v>101</v>
      </c>
      <c r="Z10" s="14" t="s">
        <v>102</v>
      </c>
      <c r="AA10" s="463" t="s">
        <v>534</v>
      </c>
      <c r="AB10" s="14" t="s">
        <v>372</v>
      </c>
      <c r="AH10" s="21" t="s">
        <v>103</v>
      </c>
      <c r="AI10" s="23" t="str">
        <f>IF(O5= "Treated","Tier 1 Treated     ($/Acre-Ft)", IF(O5 = "Untreated", "Tier 1 Untreated         ($/Acre-Ft)",0))</f>
        <v>Tier 1 Treated     ($/Acre-Ft)</v>
      </c>
      <c r="AK10" s="21" t="s">
        <v>103</v>
      </c>
      <c r="AL10" s="22" t="s">
        <v>104</v>
      </c>
      <c r="AM10" s="22" t="s">
        <v>105</v>
      </c>
      <c r="AN10" s="23" t="s">
        <v>106</v>
      </c>
      <c r="AP10" s="75" t="s">
        <v>103</v>
      </c>
      <c r="AQ10" s="76" t="str">
        <f t="shared" ref="AQ10:AQ54" si="0">IF($J$5=5,AT10,IF($J$5=10,AU10,IF($J$5=15,AV10,IF($J$5=18,AW10,IF($J$5=20,AX10,IF($J$5=25,AY10,IF($J$5=30,AZ10,IF($J$5=35,BA10,IF($J$5=40,BB10)))))))))</f>
        <v>30 Year 
Borrowing
Term</v>
      </c>
      <c r="AS10" s="75" t="s">
        <v>103</v>
      </c>
      <c r="AT10" s="76" t="s">
        <v>107</v>
      </c>
      <c r="AU10" s="76" t="s">
        <v>108</v>
      </c>
      <c r="AV10" s="76" t="s">
        <v>109</v>
      </c>
      <c r="AW10" s="76" t="s">
        <v>110</v>
      </c>
      <c r="AX10" s="76" t="s">
        <v>111</v>
      </c>
      <c r="AY10" s="76" t="s">
        <v>112</v>
      </c>
      <c r="AZ10" s="76" t="s">
        <v>113</v>
      </c>
      <c r="BA10" s="76" t="s">
        <v>114</v>
      </c>
      <c r="BB10" s="76" t="s">
        <v>115</v>
      </c>
      <c r="BD10" s="75" t="s">
        <v>103</v>
      </c>
      <c r="BE10" s="76" t="str">
        <f>IF(N5=15,BH10,IF(N5=25,BI10,0))</f>
        <v>15 Year Term</v>
      </c>
      <c r="BF10" s="60"/>
      <c r="BG10" s="75" t="s">
        <v>103</v>
      </c>
      <c r="BH10" s="76" t="s">
        <v>116</v>
      </c>
      <c r="BI10" s="76" t="s">
        <v>117</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27"/>
      <c r="T11" s="127"/>
      <c r="U11" s="1"/>
      <c r="V11" s="2"/>
      <c r="W11" s="3"/>
      <c r="X11" s="10"/>
      <c r="Y11" s="12"/>
      <c r="Z11" s="4"/>
      <c r="AA11" s="464"/>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5">
        <f>$C$5</f>
        <v>2018</v>
      </c>
      <c r="C12" s="695">
        <f>'10 YEAR PROJECTION'!$H$54/1000000</f>
        <v>1.5</v>
      </c>
      <c r="D12" s="69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694">
        <f>IF(NOT(EXACT(A12, "MP Complete")), INDEX(MP_new!$A$4:$J$9, MATCH(Step5!A12, MP_new!$A$4:$A$9, 0), 7), S10)</f>
        <v>65409.8401116928</v>
      </c>
      <c r="T12" s="693">
        <f>IF(EXACT($Q$5, "Yes"), IF(NOT(EXACT(A12, "MP Complete")), INDEX(MP_new!$A$4:$J$9, MATCH(Step5!A12, MP_new!$A$4:$A$9, 0), 10), T10), 0)</f>
        <v>0</v>
      </c>
      <c r="U12" s="6">
        <f>('NPV Summary'!$B$16-S12)+T12</f>
        <v>0</v>
      </c>
      <c r="V12" s="6">
        <f>LOOKUP(B12,AH12:AI62)</f>
        <v>1015</v>
      </c>
      <c r="W12" s="72">
        <f t="shared" ref="W12:W54" si="8">(U12*V12)/1000000</f>
        <v>0</v>
      </c>
      <c r="X12" s="73">
        <f>W12</f>
        <v>0</v>
      </c>
      <c r="Y12" s="20">
        <f>W12-Q12</f>
        <v>-1.5</v>
      </c>
      <c r="Z12" s="20">
        <f>X12-R12</f>
        <v>-1.5</v>
      </c>
      <c r="AA12" s="468">
        <f>IF(SUM(AA$11:AA11)&gt;0,0,IF(SUM(X12-R12)&gt;0,B12,0))</f>
        <v>0</v>
      </c>
      <c r="AB12" s="171"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36">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4">
        <f t="shared" ref="B13:B53" si="14">B12+1</f>
        <v>2019</v>
      </c>
      <c r="C13" s="695">
        <f>'10 YEAR PROJECTION'!$I$54/1000000</f>
        <v>3.84896875</v>
      </c>
      <c r="D13" s="695"/>
      <c r="E13" s="66">
        <f t="shared" ref="E13:E54" si="15">IF( $Q$5="Yes", ($R$5)*T13, 0)/1000000</f>
        <v>0.36499999999999999</v>
      </c>
      <c r="F13" s="66">
        <f t="shared" ref="F13:F54" si="16">IF(B13&gt;$B$5,(C13)*(1+$F$5)^(B13-$B$5),C13)</f>
        <v>3.9336460625000003</v>
      </c>
      <c r="G13" s="67">
        <f t="shared" ref="G13:G54" si="17">IF(B13&gt;$B$5, (D13)*(1+$G$5)^(B13-$B$5),D13)</f>
        <v>0</v>
      </c>
      <c r="H13" s="68">
        <f t="shared" si="1"/>
        <v>0.37959999999999999</v>
      </c>
      <c r="I13" s="66">
        <f t="shared" si="2"/>
        <v>3.9336460625000003</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4.3132460625000002</v>
      </c>
      <c r="R13" s="71">
        <f t="shared" ref="R13:R53" si="21">R12+Q13</f>
        <v>5.8132460625000002</v>
      </c>
      <c r="S13" s="694">
        <f>IF(NOT(EXACT(A13, "MP Complete")), INDEX(MP_new!$A$4:$J$9, MATCH(Step5!A13 - 1, MP_new!$A$4:$A$9, 0), 7), S11)</f>
        <v>65409.8401116928</v>
      </c>
      <c r="T13" s="693">
        <f>IF(EXACT($Q$5, "Yes"), IF(NOT(EXACT(A13, "MP Complete")), INDEX(MP_new!$A$4:$J$9, MATCH(Step5!A13, MP_new!$A$4:$A$9, 0), 10), T11), 0)</f>
        <v>5000</v>
      </c>
      <c r="U13" s="82">
        <f>('NPV Summary'!$B$16-S13)+T13</f>
        <v>5000</v>
      </c>
      <c r="V13" s="82">
        <f>LOOKUP(B13,Rates!$A$5:$B$168)</f>
        <v>1053</v>
      </c>
      <c r="W13" s="70">
        <f t="shared" si="8"/>
        <v>5.2649999999999997</v>
      </c>
      <c r="X13" s="71">
        <f>X12+W13</f>
        <v>5.2649999999999997</v>
      </c>
      <c r="Y13" s="470">
        <f>W13-Q13</f>
        <v>0.95175393749999948</v>
      </c>
      <c r="Z13" s="470">
        <f>X13-R13</f>
        <v>-0.54824606250000052</v>
      </c>
      <c r="AA13" s="466">
        <f>IF(SUM(AA$11:AA12)&gt;0,0,IF(SUM(X13-R13)&gt;0,B13,0))</f>
        <v>0</v>
      </c>
      <c r="AB13" s="471">
        <f>ABS(Z13)*1000000/SUM(U$12:U13)</f>
        <v>109.64921250000009</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33">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5">
        <f t="shared" si="14"/>
        <v>2020</v>
      </c>
      <c r="C14" s="695">
        <f>'10 YEAR PROJECTION'!$J$54/1000000</f>
        <v>46.371124999999999</v>
      </c>
      <c r="D14" s="695">
        <f>'Area Summary'!$C$44</f>
        <v>4.3366557156605179</v>
      </c>
      <c r="E14" s="64">
        <f t="shared" si="15"/>
        <v>0.36499999999999999</v>
      </c>
      <c r="F14" s="64">
        <f t="shared" si="16"/>
        <v>48.433898124499997</v>
      </c>
      <c r="G14" s="84">
        <f t="shared" si="17"/>
        <v>4.6007580487442432</v>
      </c>
      <c r="H14" s="65">
        <f t="shared" si="1"/>
        <v>0.39478400000000002</v>
      </c>
      <c r="I14" s="64">
        <f t="shared" si="2"/>
        <v>48.433898124499997</v>
      </c>
      <c r="J14" s="84">
        <f t="shared" si="3"/>
        <v>4.6007580487442432</v>
      </c>
      <c r="K14" s="65">
        <f t="shared" si="18"/>
        <v>0.39478400000000002</v>
      </c>
      <c r="L14" s="64">
        <f t="shared" si="4"/>
        <v>0</v>
      </c>
      <c r="M14" s="72">
        <f t="shared" si="5"/>
        <v>0</v>
      </c>
      <c r="N14" s="72">
        <f t="shared" si="6"/>
        <v>0</v>
      </c>
      <c r="O14" s="64">
        <f t="shared" si="19"/>
        <v>0</v>
      </c>
      <c r="P14" s="84">
        <f t="shared" si="7"/>
        <v>0</v>
      </c>
      <c r="Q14" s="84">
        <f t="shared" si="20"/>
        <v>53.429440173244245</v>
      </c>
      <c r="R14" s="73">
        <f t="shared" si="21"/>
        <v>59.242686235744245</v>
      </c>
      <c r="S14" s="694">
        <f>IF(NOT(EXACT(A14, "MP Complete")), INDEX(MP_new!$A$4:$J$9, MATCH(Step5!A14 - 1, MP_new!$A$4:$A$9, 0), 7), S12)</f>
        <v>65409.8401116928</v>
      </c>
      <c r="T14" s="693">
        <f>IF(EXACT($Q$5, "Yes"), IF(NOT(EXACT(A14, "MP Complete")), INDEX(MP_new!$A$4:$J$9, MATCH(Step5!A14, MP_new!$A$4:$A$9, 0), 10), T12), 0)</f>
        <v>5000</v>
      </c>
      <c r="U14" s="6">
        <f>('NPV Summary'!$B$16-S14)+T14</f>
        <v>5000</v>
      </c>
      <c r="V14" s="6">
        <f>LOOKUP(B14,Rates!$A$5:$B$168)</f>
        <v>1092</v>
      </c>
      <c r="W14" s="72">
        <f t="shared" si="8"/>
        <v>5.46</v>
      </c>
      <c r="X14" s="73">
        <f t="shared" ref="X14:X53" si="25">X13+W14</f>
        <v>10.725</v>
      </c>
      <c r="Y14" s="20">
        <f t="shared" ref="Y14:Y53" si="26">W14-Q14</f>
        <v>-47.969440173244244</v>
      </c>
      <c r="Z14" s="20">
        <f t="shared" ref="Z14:Z53" si="27">X14-R14</f>
        <v>-48.517686235744243</v>
      </c>
      <c r="AA14" s="465">
        <f>IF(SUM(AA$11:AA13)&gt;0,0,IF(SUM(X14-R14)&gt;0,B14,0))</f>
        <v>0</v>
      </c>
      <c r="AB14" s="171">
        <f>ABS(Z14)*1000000/SUM(U$12:U14)</f>
        <v>4851.768623574425</v>
      </c>
      <c r="AH14" s="28">
        <f t="shared" si="22"/>
        <v>2009</v>
      </c>
      <c r="AI14" s="30">
        <f>Rates!B7</f>
        <v>579</v>
      </c>
      <c r="AK14" s="29">
        <f t="shared" si="23"/>
        <v>2009</v>
      </c>
      <c r="AL14" s="8" t="str">
        <f>Rates!E7</f>
        <v>-</v>
      </c>
      <c r="AM14" s="30">
        <f>Rates!F7</f>
        <v>579</v>
      </c>
      <c r="AN14" s="31">
        <f>Rates!G7</f>
        <v>412</v>
      </c>
      <c r="AP14" s="16">
        <f t="shared" si="9"/>
        <v>2020</v>
      </c>
      <c r="AQ14" s="77">
        <f t="shared" si="0"/>
        <v>0</v>
      </c>
      <c r="AS14" s="136">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4">
        <f t="shared" si="14"/>
        <v>2021</v>
      </c>
      <c r="C15" s="695">
        <f>'10 YEAR PROJECTION'!$K$54/1000000</f>
        <v>85.595343749999998</v>
      </c>
      <c r="D15" s="695">
        <f>'Area Summary'!$C$44</f>
        <v>4.3366557156605179</v>
      </c>
      <c r="E15" s="66">
        <f t="shared" si="15"/>
        <v>0.36499999999999999</v>
      </c>
      <c r="F15" s="66">
        <f t="shared" si="16"/>
        <v>91.369832295845242</v>
      </c>
      <c r="G15" s="67">
        <f t="shared" si="17"/>
        <v>4.7387807902065706</v>
      </c>
      <c r="H15" s="68">
        <f t="shared" si="1"/>
        <v>0.41057536</v>
      </c>
      <c r="I15" s="66">
        <f t="shared" si="2"/>
        <v>91.369832295845242</v>
      </c>
      <c r="J15" s="67">
        <f t="shared" si="3"/>
        <v>4.7387807902065706</v>
      </c>
      <c r="K15" s="68">
        <f t="shared" si="18"/>
        <v>0.41057536</v>
      </c>
      <c r="L15" s="66">
        <f t="shared" si="4"/>
        <v>0</v>
      </c>
      <c r="M15" s="70">
        <f t="shared" si="5"/>
        <v>0</v>
      </c>
      <c r="N15" s="70">
        <f t="shared" si="6"/>
        <v>0</v>
      </c>
      <c r="O15" s="66">
        <f t="shared" si="19"/>
        <v>0</v>
      </c>
      <c r="P15" s="67">
        <f t="shared" si="7"/>
        <v>0</v>
      </c>
      <c r="Q15" s="67">
        <f t="shared" si="20"/>
        <v>96.519188446051814</v>
      </c>
      <c r="R15" s="71">
        <f t="shared" si="21"/>
        <v>155.76187468179606</v>
      </c>
      <c r="S15" s="694">
        <f>IF(NOT(EXACT(A15, "MP Complete")), INDEX(MP_new!$A$4:$J$9, MATCH(Step5!A15 - 1, MP_new!$A$4:$A$9, 0), 7), S13)</f>
        <v>65409.8401116928</v>
      </c>
      <c r="T15" s="693">
        <f>IF(EXACT($Q$5, "Yes"), IF(NOT(EXACT(A15, "MP Complete")), INDEX(MP_new!$A$4:$J$9, MATCH(Step5!A15, MP_new!$A$4:$A$9, 0), 10), T13), 0)</f>
        <v>5000</v>
      </c>
      <c r="U15" s="82">
        <f>('NPV Summary'!$B$16-S15)+T15</f>
        <v>5000</v>
      </c>
      <c r="V15" s="82">
        <f>LOOKUP(B15,Rates!$A$5:$B$168)</f>
        <v>1123</v>
      </c>
      <c r="W15" s="70">
        <f t="shared" si="8"/>
        <v>5.6150000000000002</v>
      </c>
      <c r="X15" s="71">
        <f t="shared" si="25"/>
        <v>16.34</v>
      </c>
      <c r="Y15" s="470">
        <f t="shared" si="26"/>
        <v>-90.904188446051819</v>
      </c>
      <c r="Z15" s="470">
        <f t="shared" si="27"/>
        <v>-139.42187468179606</v>
      </c>
      <c r="AA15" s="466">
        <f>IF(SUM(AA$11:AA14)&gt;0,0,IF(SUM(X15-R15)&gt;0,B15,0))</f>
        <v>0</v>
      </c>
      <c r="AB15" s="471">
        <f>ABS(Z15)*1000000/SUM(U$12:U15)</f>
        <v>9294.7916454530696</v>
      </c>
      <c r="AH15" s="43">
        <f t="shared" si="22"/>
        <v>2010</v>
      </c>
      <c r="AI15" s="46">
        <f>Rates!B8</f>
        <v>701</v>
      </c>
      <c r="AK15" s="44">
        <f t="shared" si="23"/>
        <v>2010</v>
      </c>
      <c r="AL15" s="53" t="str">
        <f>Rates!E8</f>
        <v>-</v>
      </c>
      <c r="AM15" s="46">
        <f>Rates!F8</f>
        <v>701</v>
      </c>
      <c r="AN15" s="47">
        <f>Rates!G8</f>
        <v>484</v>
      </c>
      <c r="AP15" s="48">
        <f t="shared" si="9"/>
        <v>2021</v>
      </c>
      <c r="AQ15" s="78">
        <f t="shared" si="0"/>
        <v>0</v>
      </c>
      <c r="AS15" s="133">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5">
        <f t="shared" si="14"/>
        <v>2022</v>
      </c>
      <c r="C16" s="695">
        <f>'10 YEAR PROJECTION'!L$54/1000000</f>
        <v>48.660440625</v>
      </c>
      <c r="D16" s="695">
        <f>'Area Summary'!$C$44</f>
        <v>4.3366557156605179</v>
      </c>
      <c r="E16" s="64">
        <f t="shared" si="15"/>
        <v>0.65700000000000003</v>
      </c>
      <c r="F16" s="64">
        <f t="shared" si="16"/>
        <v>53.085953264062283</v>
      </c>
      <c r="G16" s="84">
        <f t="shared" si="17"/>
        <v>4.8809442139127679</v>
      </c>
      <c r="H16" s="65">
        <f t="shared" si="1"/>
        <v>0.76859707392000021</v>
      </c>
      <c r="I16" s="64">
        <f t="shared" si="2"/>
        <v>53.085953264062283</v>
      </c>
      <c r="J16" s="84">
        <f t="shared" si="3"/>
        <v>4.8809442139127679</v>
      </c>
      <c r="K16" s="65">
        <f t="shared" si="18"/>
        <v>0.76859707392000021</v>
      </c>
      <c r="L16" s="64">
        <f t="shared" si="4"/>
        <v>0</v>
      </c>
      <c r="M16" s="72">
        <f t="shared" si="5"/>
        <v>0</v>
      </c>
      <c r="N16" s="72">
        <f t="shared" si="6"/>
        <v>0</v>
      </c>
      <c r="O16" s="64">
        <f t="shared" si="19"/>
        <v>0</v>
      </c>
      <c r="P16" s="84">
        <f t="shared" si="7"/>
        <v>0</v>
      </c>
      <c r="Q16" s="84">
        <f t="shared" si="20"/>
        <v>58.735494551895052</v>
      </c>
      <c r="R16" s="73">
        <f t="shared" si="21"/>
        <v>214.4973692336911</v>
      </c>
      <c r="S16" s="694">
        <f>IF(NOT(EXACT(A16, "MP Complete")), INDEX(MP_new!$A$4:$J$9, MATCH(Step5!A16 - 1, MP_new!$A$4:$A$9, 0), 7), S14)</f>
        <v>54321.653018812802</v>
      </c>
      <c r="T16" s="693">
        <f>IF(EXACT($Q$5, "Yes"), IF(NOT(EXACT(A16, "MP Complete")), INDEX(MP_new!$A$4:$J$9, MATCH(Step5!A16, MP_new!$A$4:$A$9, 0), 10), T14), 0)</f>
        <v>9000</v>
      </c>
      <c r="U16" s="6">
        <f>('NPV Summary'!$B$16-S16)+T16</f>
        <v>20088.187092879998</v>
      </c>
      <c r="V16" s="6">
        <f>LOOKUP(B16,Rates!$A$5:$B$168)</f>
        <v>1164</v>
      </c>
      <c r="W16" s="72">
        <f t="shared" si="8"/>
        <v>23.382649776112316</v>
      </c>
      <c r="X16" s="73">
        <f t="shared" si="25"/>
        <v>39.72264977611232</v>
      </c>
      <c r="Y16" s="20">
        <f t="shared" si="26"/>
        <v>-35.352844775782735</v>
      </c>
      <c r="Z16" s="20">
        <f t="shared" si="27"/>
        <v>-174.77471945757878</v>
      </c>
      <c r="AA16" s="465">
        <f>IF(SUM(AA$11:AA15)&gt;0,0,IF(SUM(X16-R16)&gt;0,B16,0))</f>
        <v>0</v>
      </c>
      <c r="AB16" s="171">
        <f>ABS(Z16)*1000000/SUM(U$12:U16)</f>
        <v>4981.0130969417796</v>
      </c>
      <c r="AH16" s="28">
        <f t="shared" si="22"/>
        <v>2011</v>
      </c>
      <c r="AI16" s="30">
        <f>Rates!B9</f>
        <v>744</v>
      </c>
      <c r="AK16" s="29">
        <f t="shared" si="23"/>
        <v>2011</v>
      </c>
      <c r="AL16" s="87" t="str">
        <f>Rates!E9</f>
        <v>-</v>
      </c>
      <c r="AM16" s="30">
        <f>Rates!F9</f>
        <v>744</v>
      </c>
      <c r="AN16" s="31">
        <f>Rates!G9</f>
        <v>527</v>
      </c>
      <c r="AP16" s="16">
        <f t="shared" si="9"/>
        <v>2022</v>
      </c>
      <c r="AQ16" s="77">
        <f t="shared" si="0"/>
        <v>0</v>
      </c>
      <c r="AS16" s="136">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4">
        <f t="shared" si="14"/>
        <v>2023</v>
      </c>
      <c r="C17" s="695">
        <f>'10 YEAR PROJECTION'!M$54/1000000</f>
        <v>44.700837499999992</v>
      </c>
      <c r="D17" s="695">
        <f>'Area Summary'!$C$44</f>
        <v>4.3366557156605179</v>
      </c>
      <c r="E17" s="66">
        <f t="shared" si="15"/>
        <v>0.65700000000000003</v>
      </c>
      <c r="F17" s="66">
        <f t="shared" si="16"/>
        <v>49.839094011245606</v>
      </c>
      <c r="G17" s="67">
        <f t="shared" si="17"/>
        <v>5.0273725403301501</v>
      </c>
      <c r="H17" s="68">
        <f t="shared" si="1"/>
        <v>0.79934095687680029</v>
      </c>
      <c r="I17" s="66">
        <f t="shared" si="2"/>
        <v>49.839094011245606</v>
      </c>
      <c r="J17" s="67">
        <f t="shared" si="3"/>
        <v>5.0273725403301501</v>
      </c>
      <c r="K17" s="68">
        <f t="shared" si="18"/>
        <v>0.79934095687680029</v>
      </c>
      <c r="L17" s="66">
        <f t="shared" si="4"/>
        <v>0</v>
      </c>
      <c r="M17" s="70">
        <f t="shared" si="5"/>
        <v>0</v>
      </c>
      <c r="N17" s="70">
        <f t="shared" si="6"/>
        <v>0</v>
      </c>
      <c r="O17" s="66">
        <f t="shared" si="19"/>
        <v>0</v>
      </c>
      <c r="P17" s="67">
        <f t="shared" si="7"/>
        <v>0</v>
      </c>
      <c r="Q17" s="67">
        <f t="shared" si="20"/>
        <v>55.665807508452552</v>
      </c>
      <c r="R17" s="71">
        <f t="shared" si="21"/>
        <v>270.16317674214366</v>
      </c>
      <c r="S17" s="694">
        <f>IF(NOT(EXACT(A17, "MP Complete")), INDEX(MP_new!$A$4:$J$9, MATCH(Step5!A17 - 1, MP_new!$A$4:$A$9, 0), 7), S15)</f>
        <v>54321.653018812802</v>
      </c>
      <c r="T17" s="693">
        <f>IF(EXACT($Q$5, "Yes"), IF(NOT(EXACT(A17, "MP Complete")), INDEX(MP_new!$A$4:$J$9, MATCH(Step5!A17, MP_new!$A$4:$A$9, 0), 10), T15), 0)</f>
        <v>9000</v>
      </c>
      <c r="U17" s="82">
        <f>('NPV Summary'!$B$16-S17)+T17</f>
        <v>20088.187092879998</v>
      </c>
      <c r="V17" s="82">
        <f>LOOKUP(B17,Rates!$A$5:$B$168)</f>
        <v>1205</v>
      </c>
      <c r="W17" s="70">
        <f t="shared" si="8"/>
        <v>24.206265446920398</v>
      </c>
      <c r="X17" s="71">
        <f t="shared" si="25"/>
        <v>63.928915223032718</v>
      </c>
      <c r="Y17" s="470">
        <f t="shared" si="26"/>
        <v>-31.459542061532154</v>
      </c>
      <c r="Z17" s="470">
        <f t="shared" si="27"/>
        <v>-206.23426151911093</v>
      </c>
      <c r="AA17" s="466">
        <f>IF(SUM(AA$11:AA16)&gt;0,0,IF(SUM(X17-R17)&gt;0,B17,0))</f>
        <v>0</v>
      </c>
      <c r="AB17" s="471">
        <f>ABS(Z17)*1000000/SUM(U$12:U17)</f>
        <v>3737.7276880280433</v>
      </c>
      <c r="AH17" s="43">
        <f t="shared" si="22"/>
        <v>2012</v>
      </c>
      <c r="AI17" s="46">
        <f>Rates!B10</f>
        <v>794</v>
      </c>
      <c r="AK17" s="44">
        <f t="shared" si="23"/>
        <v>2012</v>
      </c>
      <c r="AL17" s="89" t="str">
        <f>Rates!E10</f>
        <v>-</v>
      </c>
      <c r="AM17" s="46">
        <f>Rates!F10</f>
        <v>794</v>
      </c>
      <c r="AN17" s="47">
        <f>Rates!G10</f>
        <v>560</v>
      </c>
      <c r="AP17" s="48">
        <f t="shared" si="9"/>
        <v>2023</v>
      </c>
      <c r="AQ17" s="78">
        <f t="shared" si="0"/>
        <v>0</v>
      </c>
      <c r="AS17" s="133">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5">
        <f t="shared" si="14"/>
        <v>2024</v>
      </c>
      <c r="C18" s="695">
        <f>'10 YEAR PROJECTION'!N$54/1000000</f>
        <v>82.433728124999988</v>
      </c>
      <c r="D18" s="695">
        <f>'Area Summary'!$C$44</f>
        <v>4.3366557156605179</v>
      </c>
      <c r="E18" s="64">
        <f t="shared" si="15"/>
        <v>0.65700000000000003</v>
      </c>
      <c r="F18" s="64">
        <f t="shared" si="16"/>
        <v>93.931296407705133</v>
      </c>
      <c r="G18" s="84">
        <f t="shared" si="17"/>
        <v>5.1781937165400551</v>
      </c>
      <c r="H18" s="65">
        <f t="shared" si="1"/>
        <v>0.83131459515187223</v>
      </c>
      <c r="I18" s="64">
        <f t="shared" si="2"/>
        <v>93.931296407705133</v>
      </c>
      <c r="J18" s="84">
        <f t="shared" si="3"/>
        <v>5.1781937165400551</v>
      </c>
      <c r="K18" s="65">
        <f t="shared" si="18"/>
        <v>0.83131459515187223</v>
      </c>
      <c r="L18" s="64">
        <f t="shared" si="4"/>
        <v>0</v>
      </c>
      <c r="M18" s="72">
        <f t="shared" si="5"/>
        <v>0</v>
      </c>
      <c r="N18" s="72">
        <f t="shared" si="6"/>
        <v>0</v>
      </c>
      <c r="O18" s="64">
        <f t="shared" si="19"/>
        <v>0</v>
      </c>
      <c r="P18" s="84">
        <f t="shared" si="7"/>
        <v>0</v>
      </c>
      <c r="Q18" s="84">
        <f t="shared" si="20"/>
        <v>99.94080471939705</v>
      </c>
      <c r="R18" s="73">
        <f t="shared" si="21"/>
        <v>370.10398146154068</v>
      </c>
      <c r="S18" s="694">
        <f>IF(NOT(EXACT(A18, "MP Complete")), INDEX(MP_new!$A$4:$J$9, MATCH(Step5!A18 - 1, MP_new!$A$4:$A$9, 0), 7), S16)</f>
        <v>54321.653018812802</v>
      </c>
      <c r="T18" s="693">
        <f>IF(EXACT($Q$5, "Yes"), IF(NOT(EXACT(A18, "MP Complete")), INDEX(MP_new!$A$4:$J$9, MATCH(Step5!A18, MP_new!$A$4:$A$9, 0), 10), T16), 0)</f>
        <v>9000</v>
      </c>
      <c r="U18" s="6">
        <f>('NPV Summary'!$B$16-S18)+T18</f>
        <v>20088.187092879998</v>
      </c>
      <c r="V18" s="6">
        <f>LOOKUP(B18,Rates!$A$5:$B$168)</f>
        <v>1249</v>
      </c>
      <c r="W18" s="72">
        <f t="shared" si="8"/>
        <v>25.090145679007115</v>
      </c>
      <c r="X18" s="73">
        <f t="shared" si="25"/>
        <v>89.019060902039826</v>
      </c>
      <c r="Y18" s="20">
        <f t="shared" si="26"/>
        <v>-74.850659040389928</v>
      </c>
      <c r="Z18" s="20">
        <f t="shared" si="27"/>
        <v>-281.08492055950086</v>
      </c>
      <c r="AA18" s="465">
        <f>IF(SUM(AA$11:AA17)&gt;0,0,IF(SUM(X18-R18)&gt;0,B18,0))</f>
        <v>0</v>
      </c>
      <c r="AB18" s="171">
        <f>ABS(Z18)*1000000/SUM(U$12:U18)</f>
        <v>3734.6251115300456</v>
      </c>
      <c r="AH18" s="28">
        <f t="shared" si="22"/>
        <v>2013</v>
      </c>
      <c r="AI18" s="30">
        <f>Rates!B11</f>
        <v>847</v>
      </c>
      <c r="AK18" s="29">
        <f t="shared" si="23"/>
        <v>2013</v>
      </c>
      <c r="AL18" s="8" t="str">
        <f>Rates!E11</f>
        <v>-</v>
      </c>
      <c r="AM18" s="30">
        <f>Rates!F11</f>
        <v>847</v>
      </c>
      <c r="AN18" s="31">
        <f>Rates!G11</f>
        <v>593</v>
      </c>
      <c r="AP18" s="16">
        <f t="shared" si="9"/>
        <v>2024</v>
      </c>
      <c r="AQ18" s="77">
        <f t="shared" si="0"/>
        <v>0</v>
      </c>
      <c r="AS18" s="136">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4">
        <f t="shared" si="14"/>
        <v>2025</v>
      </c>
      <c r="C19" s="695">
        <f>'10 YEAR PROJECTION'!O$54/1000000</f>
        <v>46.911009374999992</v>
      </c>
      <c r="D19" s="695">
        <f>'Area Summary'!$D$44</f>
        <v>9.616785314343435</v>
      </c>
      <c r="E19" s="66">
        <f t="shared" si="15"/>
        <v>0.65700000000000003</v>
      </c>
      <c r="F19" s="66">
        <f t="shared" si="16"/>
        <v>54.629980848852824</v>
      </c>
      <c r="G19" s="67">
        <f t="shared" si="17"/>
        <v>11.827432927512683</v>
      </c>
      <c r="H19" s="68">
        <f t="shared" si="1"/>
        <v>0.8645671789579471</v>
      </c>
      <c r="I19" s="66">
        <f t="shared" si="2"/>
        <v>54.629980848852824</v>
      </c>
      <c r="J19" s="67">
        <f t="shared" si="3"/>
        <v>11.827432927512683</v>
      </c>
      <c r="K19" s="68">
        <f t="shared" si="18"/>
        <v>0.8645671789579471</v>
      </c>
      <c r="L19" s="66">
        <f t="shared" si="4"/>
        <v>0</v>
      </c>
      <c r="M19" s="70">
        <f t="shared" si="5"/>
        <v>0</v>
      </c>
      <c r="N19" s="70">
        <f t="shared" si="6"/>
        <v>0</v>
      </c>
      <c r="O19" s="66">
        <f t="shared" si="19"/>
        <v>0</v>
      </c>
      <c r="P19" s="67">
        <f t="shared" si="7"/>
        <v>0</v>
      </c>
      <c r="Q19" s="67">
        <f t="shared" si="20"/>
        <v>67.321980955323454</v>
      </c>
      <c r="R19" s="71">
        <f t="shared" si="21"/>
        <v>437.42596241686414</v>
      </c>
      <c r="S19" s="694">
        <f>IF(NOT(EXACT(A19, "MP Complete")), INDEX(MP_new!$A$4:$J$9, MATCH(Step5!A19 - 1, MP_new!$A$4:$A$9, 0), 7), S17)</f>
        <v>51216.431518812809</v>
      </c>
      <c r="T19" s="693">
        <f>IF(EXACT($Q$5, "Yes"), IF(NOT(EXACT(A19, "MP Complete")), INDEX(MP_new!$A$4:$J$9, MATCH(Step5!A19, MP_new!$A$4:$A$9, 0), 10), T17), 0)</f>
        <v>9000</v>
      </c>
      <c r="U19" s="82">
        <f>('NPV Summary'!$B$16-S19)+T19</f>
        <v>23193.40859287999</v>
      </c>
      <c r="V19" s="82">
        <f>LOOKUP(B19,Rates!$A$5:$B$168)</f>
        <v>1296</v>
      </c>
      <c r="W19" s="70">
        <f t="shared" si="8"/>
        <v>30.058657536372468</v>
      </c>
      <c r="X19" s="71">
        <f t="shared" si="25"/>
        <v>119.07771843841229</v>
      </c>
      <c r="Y19" s="470">
        <f t="shared" si="26"/>
        <v>-37.263323418950989</v>
      </c>
      <c r="Z19" s="470">
        <f t="shared" si="27"/>
        <v>-318.34824397845182</v>
      </c>
      <c r="AA19" s="466">
        <f>IF(SUM(AA$11:AA18)&gt;0,0,IF(SUM(X19-R19)&gt;0,B19,0))</f>
        <v>0</v>
      </c>
      <c r="AB19" s="471">
        <f>ABS(Z19)*1000000/SUM(U$12:U19)</f>
        <v>3233.3415404956204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33">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5">
        <f t="shared" si="14"/>
        <v>2026</v>
      </c>
      <c r="C20" s="695">
        <f>'10 YEAR PROJECTION'!P$54/1000000</f>
        <v>42.48481249999999</v>
      </c>
      <c r="D20" s="695">
        <f>'Area Summary'!$D$44</f>
        <v>9.616785314343435</v>
      </c>
      <c r="E20" s="64">
        <f t="shared" si="15"/>
        <v>0.65700000000000003</v>
      </c>
      <c r="F20" s="64">
        <f t="shared" si="16"/>
        <v>50.563935922417564</v>
      </c>
      <c r="G20" s="84">
        <f t="shared" si="17"/>
        <v>12.182255915338063</v>
      </c>
      <c r="H20" s="65">
        <f t="shared" si="1"/>
        <v>0.89914986611626513</v>
      </c>
      <c r="I20" s="64">
        <f t="shared" si="2"/>
        <v>50.563935922417564</v>
      </c>
      <c r="J20" s="84">
        <f t="shared" si="3"/>
        <v>12.182255915338063</v>
      </c>
      <c r="K20" s="65">
        <f t="shared" si="18"/>
        <v>0.89914986611626513</v>
      </c>
      <c r="L20" s="64">
        <f t="shared" si="4"/>
        <v>0</v>
      </c>
      <c r="M20" s="72">
        <f t="shared" si="5"/>
        <v>0</v>
      </c>
      <c r="N20" s="72">
        <f t="shared" si="6"/>
        <v>0</v>
      </c>
      <c r="O20" s="64">
        <f t="shared" si="19"/>
        <v>0</v>
      </c>
      <c r="P20" s="84">
        <f t="shared" si="7"/>
        <v>0</v>
      </c>
      <c r="Q20" s="84">
        <f t="shared" si="20"/>
        <v>63.645341703871892</v>
      </c>
      <c r="R20" s="73">
        <f t="shared" si="21"/>
        <v>501.07130412073604</v>
      </c>
      <c r="S20" s="694">
        <f>IF(NOT(EXACT(A20, "MP Complete")), INDEX(MP_new!$A$4:$J$9, MATCH(Step5!A20 - 1, MP_new!$A$4:$A$9, 0), 7), S18)</f>
        <v>51216.431518812809</v>
      </c>
      <c r="T20" s="693">
        <f>IF(EXACT($Q$5, "Yes"), IF(NOT(EXACT(A20, "MP Complete")), INDEX(MP_new!$A$4:$J$9, MATCH(Step5!A20, MP_new!$A$4:$A$9, 0), 10), T18), 0)</f>
        <v>9000</v>
      </c>
      <c r="U20" s="6">
        <f>('NPV Summary'!$B$16-S20)+T20</f>
        <v>23193.40859287999</v>
      </c>
      <c r="V20" s="6">
        <f>LOOKUP(B20,Rates!$A$5:$B$168)</f>
        <v>1344</v>
      </c>
      <c r="W20" s="72">
        <f t="shared" si="8"/>
        <v>31.171941148830708</v>
      </c>
      <c r="X20" s="73">
        <f t="shared" si="25"/>
        <v>150.249659587243</v>
      </c>
      <c r="Y20" s="20">
        <f t="shared" si="26"/>
        <v>-32.473400555041181</v>
      </c>
      <c r="Z20" s="20">
        <f t="shared" si="27"/>
        <v>-350.82164453349304</v>
      </c>
      <c r="AA20" s="465">
        <f>IF(SUM(AA$11:AA19)&gt;0,0,IF(SUM(X20-R20)&gt;0,B20,0))</f>
        <v>0</v>
      </c>
      <c r="AB20" s="171">
        <f>ABS(Z20)*1000000/SUM(U$12:U20)</f>
        <v>2883.8279431100518</v>
      </c>
      <c r="AH20" s="55">
        <f t="shared" si="22"/>
        <v>2015</v>
      </c>
      <c r="AI20" s="87">
        <f>Rates!B13</f>
        <v>923</v>
      </c>
      <c r="AK20" s="55">
        <f t="shared" si="23"/>
        <v>2015</v>
      </c>
      <c r="AL20" s="87" t="str">
        <f>Rates!E13</f>
        <v>-</v>
      </c>
      <c r="AM20" s="87">
        <f>Rates!F13</f>
        <v>923</v>
      </c>
      <c r="AN20" s="88">
        <f>Rates!G13</f>
        <v>582</v>
      </c>
      <c r="AP20" s="16">
        <f t="shared" si="9"/>
        <v>2026</v>
      </c>
      <c r="AQ20" s="77">
        <f t="shared" si="0"/>
        <v>0</v>
      </c>
      <c r="AS20" s="136">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4">
        <f t="shared" si="14"/>
        <v>2027</v>
      </c>
      <c r="C21" s="695">
        <f>'10 YEAR PROJECTION'!Q$54/1000000</f>
        <v>78.239109374999984</v>
      </c>
      <c r="D21" s="695">
        <f>'Area Summary'!$D$44</f>
        <v>9.616785314343435</v>
      </c>
      <c r="E21" s="66">
        <f t="shared" si="15"/>
        <v>0.65700000000000003</v>
      </c>
      <c r="F21" s="66">
        <f t="shared" si="16"/>
        <v>95.166031719027558</v>
      </c>
      <c r="G21" s="67">
        <f t="shared" si="17"/>
        <v>12.547723592798205</v>
      </c>
      <c r="H21" s="68">
        <f t="shared" si="1"/>
        <v>0.9351158607609158</v>
      </c>
      <c r="I21" s="66">
        <f t="shared" si="2"/>
        <v>95.166031719027558</v>
      </c>
      <c r="J21" s="67">
        <f t="shared" si="3"/>
        <v>12.547723592798205</v>
      </c>
      <c r="K21" s="68">
        <f t="shared" si="18"/>
        <v>0.9351158607609158</v>
      </c>
      <c r="L21" s="66">
        <f t="shared" si="4"/>
        <v>0</v>
      </c>
      <c r="M21" s="70">
        <f t="shared" si="5"/>
        <v>0</v>
      </c>
      <c r="N21" s="70">
        <f t="shared" si="6"/>
        <v>0</v>
      </c>
      <c r="O21" s="66">
        <f t="shared" si="19"/>
        <v>0</v>
      </c>
      <c r="P21" s="67">
        <f t="shared" si="7"/>
        <v>0</v>
      </c>
      <c r="Q21" s="67">
        <f t="shared" si="20"/>
        <v>108.64887117258668</v>
      </c>
      <c r="R21" s="71">
        <f t="shared" si="21"/>
        <v>609.72017529332277</v>
      </c>
      <c r="S21" s="694">
        <f>IF(NOT(EXACT(A21, "MP Complete")), INDEX(MP_new!$A$4:$J$9, MATCH(Step5!A21 - 1, MP_new!$A$4:$A$9, 0), 7), S19)</f>
        <v>51216.431518812809</v>
      </c>
      <c r="T21" s="693">
        <f>IF(EXACT($Q$5, "Yes"), IF(NOT(EXACT(A21, "MP Complete")), INDEX(MP_new!$A$4:$J$9, MATCH(Step5!A21, MP_new!$A$4:$A$9, 0), 10), T19), 0)</f>
        <v>9000</v>
      </c>
      <c r="U21" s="82">
        <f>('NPV Summary'!$B$16-S21)+T21</f>
        <v>23193.40859287999</v>
      </c>
      <c r="V21" s="82">
        <f>LOOKUP(B21,Rates!$A$5:$B$168)</f>
        <v>1392.384</v>
      </c>
      <c r="W21" s="70">
        <f t="shared" si="8"/>
        <v>32.294131030188609</v>
      </c>
      <c r="X21" s="71">
        <f t="shared" si="25"/>
        <v>182.54379061743163</v>
      </c>
      <c r="Y21" s="470">
        <f t="shared" si="26"/>
        <v>-76.354740142398072</v>
      </c>
      <c r="Z21" s="470">
        <f t="shared" si="27"/>
        <v>-427.17638467589114</v>
      </c>
      <c r="AA21" s="466">
        <f>IF(SUM(AA$11:AA20)&gt;0,0,IF(SUM(X21-R21)&gt;0,B21,0))</f>
        <v>0</v>
      </c>
      <c r="AB21" s="471">
        <f>ABS(Z21)*1000000/SUM(U$12:U21)</f>
        <v>2949.2009574839658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34">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5">
        <f t="shared" si="14"/>
        <v>2028</v>
      </c>
      <c r="C22" s="695">
        <f>'10 YEAR PROJECTION'!R$54/1000000</f>
        <v>44.618596874999994</v>
      </c>
      <c r="D22" s="695">
        <f>'Area Summary'!$D$44</f>
        <v>9.616785314343435</v>
      </c>
      <c r="E22" s="64">
        <f t="shared" si="15"/>
        <v>0.65700000000000003</v>
      </c>
      <c r="F22" s="64">
        <f t="shared" si="16"/>
        <v>55.465747065004585</v>
      </c>
      <c r="G22" s="84">
        <f t="shared" si="17"/>
        <v>12.924155300582152</v>
      </c>
      <c r="H22" s="65">
        <f t="shared" si="1"/>
        <v>0.97252049519135242</v>
      </c>
      <c r="I22" s="64">
        <f t="shared" si="2"/>
        <v>55.465747065004585</v>
      </c>
      <c r="J22" s="84">
        <f t="shared" si="3"/>
        <v>12.924155300582152</v>
      </c>
      <c r="K22" s="65">
        <f t="shared" si="18"/>
        <v>0.97252049519135242</v>
      </c>
      <c r="L22" s="64">
        <f t="shared" si="4"/>
        <v>0</v>
      </c>
      <c r="M22" s="72">
        <f t="shared" si="5"/>
        <v>0</v>
      </c>
      <c r="N22" s="72">
        <f t="shared" si="6"/>
        <v>0</v>
      </c>
      <c r="O22" s="64">
        <f t="shared" si="19"/>
        <v>0</v>
      </c>
      <c r="P22" s="84">
        <f t="shared" si="7"/>
        <v>0</v>
      </c>
      <c r="Q22" s="84">
        <f t="shared" si="20"/>
        <v>69.362422860778082</v>
      </c>
      <c r="R22" s="73">
        <f t="shared" si="21"/>
        <v>679.08259815410088</v>
      </c>
      <c r="S22" s="694">
        <f>IF(NOT(EXACT(A22, "MP Complete")), INDEX(MP_new!$A$4:$J$9, MATCH(Step5!A22 - 1, MP_new!$A$4:$A$9, 0), 7), S20)</f>
        <v>49704.839141362812</v>
      </c>
      <c r="T22" s="693">
        <f>IF(EXACT($Q$5, "Yes"), IF(NOT(EXACT(A22, "MP Complete")), INDEX(MP_new!$A$4:$J$9, MATCH(Step5!A22, MP_new!$A$4:$A$9, 0), 10), T20), 0)</f>
        <v>9000</v>
      </c>
      <c r="U22" s="6">
        <f>('NPV Summary'!$B$16-S22)+T22</f>
        <v>24705.000970329987</v>
      </c>
      <c r="V22" s="6">
        <f>LOOKUP(B22,Rates!$A$5:$B$168)</f>
        <v>1442.509824</v>
      </c>
      <c r="W22" s="72">
        <f t="shared" si="8"/>
        <v>35.637206601630538</v>
      </c>
      <c r="X22" s="73">
        <f t="shared" si="25"/>
        <v>218.18099721906216</v>
      </c>
      <c r="Y22" s="20">
        <f t="shared" si="26"/>
        <v>-33.725216259147544</v>
      </c>
      <c r="Z22" s="20">
        <f t="shared" si="27"/>
        <v>-460.90160093503869</v>
      </c>
      <c r="AA22" s="465">
        <f>IF(SUM(AA$11:AA21)&gt;0,0,IF(SUM(X22-R22)&gt;0,B22,0))</f>
        <v>0</v>
      </c>
      <c r="AB22" s="171">
        <f>ABS(Z22)*1000000/SUM(U$12:U22)</f>
        <v>2718.3850024040389</v>
      </c>
      <c r="AH22" s="55">
        <f t="shared" si="22"/>
        <v>2017</v>
      </c>
      <c r="AI22" s="8">
        <f>Rates!B15</f>
        <v>979</v>
      </c>
      <c r="AK22" s="55">
        <f t="shared" si="23"/>
        <v>2017</v>
      </c>
      <c r="AL22" s="8" t="str">
        <f>Rates!E15</f>
        <v>-</v>
      </c>
      <c r="AM22" s="114">
        <f>Rates!F15</f>
        <v>979</v>
      </c>
      <c r="AN22" s="115">
        <f>Rates!G15</f>
        <v>666</v>
      </c>
      <c r="AP22" s="16">
        <f t="shared" si="9"/>
        <v>2028</v>
      </c>
      <c r="AQ22" s="77">
        <f t="shared" si="0"/>
        <v>0</v>
      </c>
      <c r="AS22" s="135">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4">
        <f t="shared" si="14"/>
        <v>2029</v>
      </c>
      <c r="C23" s="695">
        <f>'10 YEAR PROJECTION'!S$54/1000000</f>
        <v>41.845962499999999</v>
      </c>
      <c r="D23" s="695">
        <f>'Area Summary'!$E$44</f>
        <v>11.234676200331869</v>
      </c>
      <c r="E23" s="66">
        <f t="shared" si="15"/>
        <v>0.65700000000000003</v>
      </c>
      <c r="F23" s="66">
        <f t="shared" si="16"/>
        <v>53.163481696653733</v>
      </c>
      <c r="G23" s="67">
        <f t="shared" si="17"/>
        <v>15.551419323121188</v>
      </c>
      <c r="H23" s="68">
        <f t="shared" si="1"/>
        <v>1.0114213149990066</v>
      </c>
      <c r="I23" s="66">
        <f t="shared" si="2"/>
        <v>53.163481696653733</v>
      </c>
      <c r="J23" s="67">
        <f t="shared" si="3"/>
        <v>15.551419323121188</v>
      </c>
      <c r="K23" s="68">
        <f t="shared" si="18"/>
        <v>1.0114213149990066</v>
      </c>
      <c r="L23" s="66">
        <f t="shared" si="4"/>
        <v>0</v>
      </c>
      <c r="M23" s="70">
        <f t="shared" si="5"/>
        <v>0</v>
      </c>
      <c r="N23" s="70">
        <f t="shared" si="6"/>
        <v>0</v>
      </c>
      <c r="O23" s="66">
        <f t="shared" si="19"/>
        <v>0</v>
      </c>
      <c r="P23" s="67">
        <f t="shared" si="7"/>
        <v>0</v>
      </c>
      <c r="Q23" s="67">
        <f t="shared" si="20"/>
        <v>69.726322334773926</v>
      </c>
      <c r="R23" s="71">
        <f t="shared" si="21"/>
        <v>748.80892048887483</v>
      </c>
      <c r="S23" s="694">
        <f>IF(NOT(EXACT(A23, "MP Complete")), INDEX(MP_new!$A$4:$J$9, MATCH(Step5!A23 - 1, MP_new!$A$4:$A$9, 0), 7), S21)</f>
        <v>49704.839141362812</v>
      </c>
      <c r="T23" s="693">
        <f>IF(EXACT($Q$5, "Yes"), IF(NOT(EXACT(A23, "MP Complete")), INDEX(MP_new!$A$4:$J$9, MATCH(Step5!A23, MP_new!$A$4:$A$9, 0), 10), T21), 0)</f>
        <v>9000</v>
      </c>
      <c r="U23" s="82">
        <f>('NPV Summary'!$B$16-S23)+T23</f>
        <v>24705.000970329987</v>
      </c>
      <c r="V23" s="82">
        <f>LOOKUP(B23,Rates!$A$5:$B$168)</f>
        <v>1494.440177664</v>
      </c>
      <c r="W23" s="70">
        <f t="shared" si="8"/>
        <v>36.920146039289236</v>
      </c>
      <c r="X23" s="71">
        <f t="shared" si="25"/>
        <v>255.10114325835139</v>
      </c>
      <c r="Y23" s="470">
        <f t="shared" si="26"/>
        <v>-32.80617629548469</v>
      </c>
      <c r="Z23" s="470">
        <f t="shared" si="27"/>
        <v>-493.70777723052345</v>
      </c>
      <c r="AA23" s="466">
        <f>IF(SUM(AA$11:AA22)&gt;0,0,IF(SUM(X23-R23)&gt;0,B23,0))</f>
        <v>0</v>
      </c>
      <c r="AB23" s="471">
        <f>ABS(Z23)*1000000/SUM(U$12:U23)</f>
        <v>2541.5475200241231</v>
      </c>
      <c r="AH23" s="52">
        <f t="shared" si="22"/>
        <v>2018</v>
      </c>
      <c r="AI23" s="53">
        <f>Rates!B16</f>
        <v>1015</v>
      </c>
      <c r="AK23" s="52">
        <f t="shared" si="23"/>
        <v>2018</v>
      </c>
      <c r="AL23" s="53" t="str">
        <f>Rates!E16</f>
        <v>-</v>
      </c>
      <c r="AM23" s="472">
        <f>Rates!F16</f>
        <v>1015</v>
      </c>
      <c r="AN23" s="473">
        <f>Rates!G16</f>
        <v>695</v>
      </c>
      <c r="AP23" s="48">
        <f t="shared" si="9"/>
        <v>2029</v>
      </c>
      <c r="AQ23" s="78">
        <f t="shared" si="0"/>
        <v>0</v>
      </c>
      <c r="AS23" s="133">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5">
        <f t="shared" si="14"/>
        <v>2030</v>
      </c>
      <c r="C24" s="695">
        <f>'10 YEAR PROJECTION'!T$54/1000000</f>
        <v>76.444646875000004</v>
      </c>
      <c r="D24" s="695">
        <f>'Area Summary'!$E$44</f>
        <v>11.234676200331869</v>
      </c>
      <c r="E24" s="64">
        <f t="shared" si="15"/>
        <v>0.65700000000000003</v>
      </c>
      <c r="F24" s="64">
        <f t="shared" si="16"/>
        <v>99.256242076282447</v>
      </c>
      <c r="G24" s="84">
        <f t="shared" si="17"/>
        <v>16.017961902814822</v>
      </c>
      <c r="H24" s="65">
        <f t="shared" si="1"/>
        <v>1.051878167598967</v>
      </c>
      <c r="I24" s="64">
        <f t="shared" si="2"/>
        <v>99.256242076282447</v>
      </c>
      <c r="J24" s="84">
        <f t="shared" si="3"/>
        <v>16.017961902814822</v>
      </c>
      <c r="K24" s="65">
        <f t="shared" si="18"/>
        <v>1.051878167598967</v>
      </c>
      <c r="L24" s="64">
        <f t="shared" si="4"/>
        <v>0</v>
      </c>
      <c r="M24" s="72">
        <f t="shared" si="5"/>
        <v>0</v>
      </c>
      <c r="N24" s="72">
        <f t="shared" si="6"/>
        <v>0</v>
      </c>
      <c r="O24" s="64">
        <f t="shared" si="19"/>
        <v>0</v>
      </c>
      <c r="P24" s="84">
        <f t="shared" si="7"/>
        <v>0</v>
      </c>
      <c r="Q24" s="84">
        <f t="shared" si="20"/>
        <v>116.32608214669624</v>
      </c>
      <c r="R24" s="73">
        <f t="shared" si="21"/>
        <v>865.13500263557103</v>
      </c>
      <c r="S24" s="694">
        <f>IF(NOT(EXACT(A24, "MP Complete")), INDEX(MP_new!$A$4:$J$9, MATCH(Step5!A24 - 1, MP_new!$A$4:$A$9, 0), 7), S22)</f>
        <v>49704.839141362812</v>
      </c>
      <c r="T24" s="693">
        <f>IF(EXACT($Q$5, "Yes"), IF(NOT(EXACT(A24, "MP Complete")), INDEX(MP_new!$A$4:$J$9, MATCH(Step5!A24, MP_new!$A$4:$A$9, 0), 10), T22), 0)</f>
        <v>9000</v>
      </c>
      <c r="U24" s="6">
        <f>('NPV Summary'!$B$16-S24)+T24</f>
        <v>24705.000970329987</v>
      </c>
      <c r="V24" s="6">
        <f>LOOKUP(B24,Rates!$A$5:$B$168)</f>
        <v>1548.240024059904</v>
      </c>
      <c r="W24" s="72">
        <f t="shared" si="8"/>
        <v>38.249271296703654</v>
      </c>
      <c r="X24" s="73">
        <f t="shared" si="25"/>
        <v>293.35041455505507</v>
      </c>
      <c r="Y24" s="20">
        <f t="shared" si="26"/>
        <v>-78.076810849992583</v>
      </c>
      <c r="Z24" s="20">
        <f t="shared" si="27"/>
        <v>-571.78458808051596</v>
      </c>
      <c r="AA24" s="465">
        <f>IF(SUM(AA$11:AA23)&gt;0,0,IF(SUM(X24-R24)&gt;0,B24,0))</f>
        <v>0</v>
      </c>
      <c r="AB24" s="171">
        <f>ABS(Z24)*1000000/SUM(U$12:U24)</f>
        <v>2611.3679966690461</v>
      </c>
      <c r="AH24" s="55">
        <f t="shared" si="22"/>
        <v>2019</v>
      </c>
      <c r="AI24" s="8">
        <f>Rates!B17</f>
        <v>1053</v>
      </c>
      <c r="AK24" s="55">
        <f t="shared" si="23"/>
        <v>2019</v>
      </c>
      <c r="AL24" s="8" t="str">
        <f>Rates!E17</f>
        <v>-</v>
      </c>
      <c r="AM24" s="114">
        <f>Rates!F17</f>
        <v>1053</v>
      </c>
      <c r="AN24" s="115">
        <f>Rates!G17</f>
        <v>738</v>
      </c>
      <c r="AP24" s="16">
        <f t="shared" si="9"/>
        <v>2030</v>
      </c>
      <c r="AQ24" s="77">
        <f t="shared" si="0"/>
        <v>0</v>
      </c>
      <c r="AS24" s="136">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4">
        <f t="shared" si="14"/>
        <v>2031</v>
      </c>
      <c r="C25" s="695">
        <f>'10 YEAR PROJECTION'!U$54/1000000</f>
        <v>82.560062500000001</v>
      </c>
      <c r="D25" s="695">
        <f>'Area Summary'!$F$44</f>
        <v>14.748636883992878</v>
      </c>
      <c r="E25" s="66">
        <f t="shared" si="15"/>
        <v>0.65700000000000003</v>
      </c>
      <c r="F25" s="66">
        <f t="shared" si="16"/>
        <v>109.55486258066824</v>
      </c>
      <c r="G25" s="67">
        <f t="shared" si="17"/>
        <v>21.658870491598766</v>
      </c>
      <c r="H25" s="68">
        <f t="shared" si="1"/>
        <v>1.0939532943029258</v>
      </c>
      <c r="I25" s="66">
        <f t="shared" si="2"/>
        <v>109.55486258066824</v>
      </c>
      <c r="J25" s="67">
        <f t="shared" si="3"/>
        <v>21.658870491598766</v>
      </c>
      <c r="K25" s="68">
        <f t="shared" si="18"/>
        <v>1.0939532943029258</v>
      </c>
      <c r="L25" s="66">
        <f t="shared" si="4"/>
        <v>0</v>
      </c>
      <c r="M25" s="70">
        <f t="shared" si="5"/>
        <v>0</v>
      </c>
      <c r="N25" s="70">
        <f t="shared" si="6"/>
        <v>0</v>
      </c>
      <c r="O25" s="66">
        <f t="shared" si="19"/>
        <v>0</v>
      </c>
      <c r="P25" s="67">
        <f t="shared" si="7"/>
        <v>0</v>
      </c>
      <c r="Q25" s="67">
        <f t="shared" si="20"/>
        <v>132.30768636656995</v>
      </c>
      <c r="R25" s="71">
        <f t="shared" si="21"/>
        <v>997.44268900214092</v>
      </c>
      <c r="S25" s="694">
        <f>IF(NOT(EXACT(A25, "MP Complete")), INDEX(MP_new!$A$4:$J$9, MATCH(Step5!A25 - 1, MP_new!$A$4:$A$9, 0), 7), S23)</f>
        <v>48544.957141362807</v>
      </c>
      <c r="T25" s="693">
        <f>IF(EXACT($Q$5, "Yes"), IF(NOT(EXACT(A25, "MP Complete")), INDEX(MP_new!$A$4:$J$9, MATCH(Step5!A25, MP_new!$A$4:$A$9, 0), 10), T23), 0)</f>
        <v>9000</v>
      </c>
      <c r="U25" s="82">
        <f>('NPV Summary'!$B$16-S25)+T25</f>
        <v>25864.882970329993</v>
      </c>
      <c r="V25" s="82">
        <f>LOOKUP(B25,Rates!$A$5:$B$168)</f>
        <v>1603.9766649260607</v>
      </c>
      <c r="W25" s="70">
        <f t="shared" si="8"/>
        <v>41.486668725452766</v>
      </c>
      <c r="X25" s="71">
        <f t="shared" si="25"/>
        <v>334.83708328050784</v>
      </c>
      <c r="Y25" s="470">
        <f t="shared" si="26"/>
        <v>-90.82101764111718</v>
      </c>
      <c r="Z25" s="470">
        <f t="shared" si="27"/>
        <v>-662.60560572163308</v>
      </c>
      <c r="AA25" s="466">
        <f>IF(SUM(AA$11:AA24)&gt;0,0,IF(SUM(X25-R25)&gt;0,B25,0))</f>
        <v>0</v>
      </c>
      <c r="AB25" s="471">
        <f>ABS(Z25)*1000000/SUM(U$12:U25)</f>
        <v>2706.4494675657525</v>
      </c>
      <c r="AH25" s="52">
        <f t="shared" si="22"/>
        <v>2020</v>
      </c>
      <c r="AI25" s="53">
        <f>Rates!B18</f>
        <v>1092</v>
      </c>
      <c r="AK25" s="52">
        <f t="shared" si="23"/>
        <v>2020</v>
      </c>
      <c r="AL25" s="53" t="str">
        <f>Rates!E18</f>
        <v>-</v>
      </c>
      <c r="AM25" s="472">
        <f>Rates!F18</f>
        <v>1092</v>
      </c>
      <c r="AN25" s="473">
        <f>Rates!G18</f>
        <v>783</v>
      </c>
      <c r="AP25" s="48">
        <f t="shared" si="9"/>
        <v>2031</v>
      </c>
      <c r="AQ25" s="78">
        <f t="shared" si="0"/>
        <v>0</v>
      </c>
      <c r="AS25" s="133">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5">
        <f t="shared" si="14"/>
        <v>2032</v>
      </c>
      <c r="C26" s="695">
        <f>'10 YEAR PROJECTION'!W$54/1000000</f>
        <v>42.214100000000002</v>
      </c>
      <c r="D26" s="695">
        <f>'Area Summary'!$F$44</f>
        <v>14.748636883992878</v>
      </c>
      <c r="E26" s="64">
        <f t="shared" si="15"/>
        <v>0.65700000000000003</v>
      </c>
      <c r="F26" s="64">
        <f t="shared" si="16"/>
        <v>57.249286152185888</v>
      </c>
      <c r="G26" s="84">
        <f t="shared" si="17"/>
        <v>22.308636606346731</v>
      </c>
      <c r="H26" s="65">
        <f t="shared" si="1"/>
        <v>1.1377114260750427</v>
      </c>
      <c r="I26" s="64">
        <f t="shared" si="2"/>
        <v>57.249286152185888</v>
      </c>
      <c r="J26" s="84">
        <f t="shared" si="3"/>
        <v>22.308636606346731</v>
      </c>
      <c r="K26" s="65">
        <f t="shared" si="18"/>
        <v>1.1377114260750427</v>
      </c>
      <c r="L26" s="64">
        <f t="shared" si="4"/>
        <v>0</v>
      </c>
      <c r="M26" s="72">
        <f t="shared" si="5"/>
        <v>0</v>
      </c>
      <c r="N26" s="72">
        <f t="shared" si="6"/>
        <v>0</v>
      </c>
      <c r="O26" s="64">
        <f t="shared" si="19"/>
        <v>0</v>
      </c>
      <c r="P26" s="84">
        <f t="shared" si="7"/>
        <v>0</v>
      </c>
      <c r="Q26" s="84">
        <f t="shared" si="20"/>
        <v>80.695634184607655</v>
      </c>
      <c r="R26" s="73">
        <f t="shared" si="21"/>
        <v>1078.1383231867485</v>
      </c>
      <c r="S26" s="694">
        <f>IF(NOT(EXACT(A26, "MP Complete")), INDEX(MP_new!$A$4:$J$9, MATCH(Step5!A26 - 1, MP_new!$A$4:$A$9, 0), 7), S24)</f>
        <v>48544.957141362807</v>
      </c>
      <c r="T26" s="693">
        <f>IF(EXACT($Q$5, "Yes"), IF(NOT(EXACT(A26, "MP Complete")), INDEX(MP_new!$A$4:$J$9, MATCH(Step5!A26, MP_new!$A$4:$A$9, 0), 10), T24), 0)</f>
        <v>9000</v>
      </c>
      <c r="U26" s="6">
        <f>('NPV Summary'!$B$16-S26)+T26</f>
        <v>25864.882970329993</v>
      </c>
      <c r="V26" s="6">
        <f>LOOKUP(B26,Rates!$A$5:$B$168)</f>
        <v>1661.719824863399</v>
      </c>
      <c r="W26" s="72">
        <f t="shared" si="8"/>
        <v>42.980188799569071</v>
      </c>
      <c r="X26" s="73">
        <f t="shared" si="25"/>
        <v>377.81727208007692</v>
      </c>
      <c r="Y26" s="20">
        <f t="shared" si="26"/>
        <v>-37.715445385038585</v>
      </c>
      <c r="Z26" s="20">
        <f t="shared" si="27"/>
        <v>-700.32105110667158</v>
      </c>
      <c r="AA26" s="465">
        <f>IF(SUM(AA$11:AA25)&gt;0,0,IF(SUM(X26-R26)&gt;0,B26,0))</f>
        <v>0</v>
      </c>
      <c r="AB26" s="171">
        <f>ABS(Z26)*1000000/SUM(U$12:U26)</f>
        <v>2587.1742585527973</v>
      </c>
      <c r="AH26" s="55">
        <f t="shared" si="22"/>
        <v>2021</v>
      </c>
      <c r="AI26" s="8">
        <f>Rates!B19</f>
        <v>1123</v>
      </c>
      <c r="AK26" s="55">
        <f t="shared" si="23"/>
        <v>2021</v>
      </c>
      <c r="AL26" s="8" t="str">
        <f>Rates!E19</f>
        <v>-</v>
      </c>
      <c r="AM26" s="114">
        <f>Rates!F19</f>
        <v>1123</v>
      </c>
      <c r="AN26" s="115">
        <f>Rates!G19</f>
        <v>835</v>
      </c>
      <c r="AP26" s="16">
        <f t="shared" si="9"/>
        <v>2032</v>
      </c>
      <c r="AQ26" s="77">
        <f t="shared" si="0"/>
        <v>0</v>
      </c>
      <c r="AS26" s="136">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4">
        <f t="shared" si="14"/>
        <v>2033</v>
      </c>
      <c r="C27" s="695">
        <f>'10 YEAR PROJECTION'!X$55/1000000</f>
        <v>0</v>
      </c>
      <c r="D27" s="695">
        <f>'Area Summary'!$F$44</f>
        <v>14.748636883992878</v>
      </c>
      <c r="E27" s="66">
        <f t="shared" si="15"/>
        <v>0.65700000000000003</v>
      </c>
      <c r="F27" s="66">
        <f t="shared" si="16"/>
        <v>0</v>
      </c>
      <c r="G27" s="67">
        <f t="shared" si="17"/>
        <v>22.977895704537133</v>
      </c>
      <c r="H27" s="68">
        <f t="shared" si="1"/>
        <v>1.1832198831180443</v>
      </c>
      <c r="I27" s="66">
        <f t="shared" si="2"/>
        <v>0</v>
      </c>
      <c r="J27" s="67">
        <f t="shared" si="3"/>
        <v>22.977895704537133</v>
      </c>
      <c r="K27" s="68">
        <f t="shared" si="18"/>
        <v>1.1832198831180443</v>
      </c>
      <c r="L27" s="66">
        <f t="shared" si="4"/>
        <v>0</v>
      </c>
      <c r="M27" s="70">
        <f t="shared" si="5"/>
        <v>0</v>
      </c>
      <c r="N27" s="70">
        <f t="shared" si="6"/>
        <v>0</v>
      </c>
      <c r="O27" s="66">
        <f t="shared" si="19"/>
        <v>0</v>
      </c>
      <c r="P27" s="67">
        <f t="shared" si="7"/>
        <v>0</v>
      </c>
      <c r="Q27" s="67">
        <f t="shared" si="20"/>
        <v>24.161115587655178</v>
      </c>
      <c r="R27" s="71">
        <f t="shared" si="21"/>
        <v>1102.2994387744036</v>
      </c>
      <c r="S27" s="694">
        <f>IF(NOT(EXACT(A27, "MP Complete")), INDEX(MP_new!$A$4:$J$9, MATCH(Step5!A27 - 1, MP_new!$A$4:$A$9, 0), 7), S25)</f>
        <v>48544.957141362807</v>
      </c>
      <c r="T27" s="693">
        <f>IF(EXACT($Q$5, "Yes"), IF(NOT(EXACT(A27, "MP Complete")), INDEX(MP_new!$A$4:$J$9, MATCH(Step5!A27, MP_new!$A$4:$A$9, 0), 10), T25), 0)</f>
        <v>9000</v>
      </c>
      <c r="U27" s="82">
        <f>('NPV Summary'!$B$16-S27)+T27</f>
        <v>25864.882970329993</v>
      </c>
      <c r="V27" s="82">
        <f>LOOKUP(B27,Rates!$A$5:$B$168)</f>
        <v>1721.5417385584815</v>
      </c>
      <c r="W27" s="70">
        <f t="shared" si="8"/>
        <v>44.527475596353554</v>
      </c>
      <c r="X27" s="71">
        <f t="shared" si="25"/>
        <v>422.34474767643047</v>
      </c>
      <c r="Y27" s="470">
        <f t="shared" si="26"/>
        <v>20.366360008698376</v>
      </c>
      <c r="Z27" s="470">
        <f t="shared" si="27"/>
        <v>-679.95469109797318</v>
      </c>
      <c r="AA27" s="466">
        <f>IF(SUM(AA$11:AA26)&gt;0,0,IF(SUM(X27-R27)&gt;0,B27,0))</f>
        <v>0</v>
      </c>
      <c r="AB27" s="471">
        <f>ABS(Z27)*1000000/SUM(U$12:U27)</f>
        <v>2292.849480411292</v>
      </c>
      <c r="AH27" s="52">
        <f t="shared" si="22"/>
        <v>2022</v>
      </c>
      <c r="AI27" s="53">
        <f>Rates!B20</f>
        <v>1164</v>
      </c>
      <c r="AK27" s="52">
        <f t="shared" si="23"/>
        <v>2022</v>
      </c>
      <c r="AL27" s="53" t="str">
        <f>Rates!E20</f>
        <v>-</v>
      </c>
      <c r="AM27" s="472">
        <f>Rates!F20</f>
        <v>1164</v>
      </c>
      <c r="AN27" s="473">
        <f>Rates!G20</f>
        <v>876</v>
      </c>
      <c r="AP27" s="48">
        <f t="shared" si="9"/>
        <v>2033</v>
      </c>
      <c r="AQ27" s="78">
        <f t="shared" si="0"/>
        <v>0</v>
      </c>
      <c r="AS27" s="133">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5">
        <f t="shared" si="14"/>
        <v>2034</v>
      </c>
      <c r="C28" s="695">
        <v>0</v>
      </c>
      <c r="D28" s="695">
        <f>'Area Summary'!$G$44</f>
        <v>18.74066169157436</v>
      </c>
      <c r="E28" s="64">
        <f t="shared" si="15"/>
        <v>0.65700000000000003</v>
      </c>
      <c r="F28" s="64">
        <f t="shared" si="16"/>
        <v>0</v>
      </c>
      <c r="G28" s="84">
        <f t="shared" si="17"/>
        <v>30.073260489441342</v>
      </c>
      <c r="H28" s="65">
        <f t="shared" si="1"/>
        <v>1.2305486784427664</v>
      </c>
      <c r="I28" s="64">
        <f t="shared" si="2"/>
        <v>0</v>
      </c>
      <c r="J28" s="84">
        <f t="shared" si="3"/>
        <v>30.073260489441342</v>
      </c>
      <c r="K28" s="65">
        <f t="shared" si="18"/>
        <v>1.2305486784427664</v>
      </c>
      <c r="L28" s="64">
        <f t="shared" si="4"/>
        <v>0</v>
      </c>
      <c r="M28" s="72">
        <f t="shared" si="5"/>
        <v>0</v>
      </c>
      <c r="N28" s="72">
        <f t="shared" si="6"/>
        <v>0</v>
      </c>
      <c r="O28" s="64">
        <f t="shared" si="19"/>
        <v>0</v>
      </c>
      <c r="P28" s="84">
        <f t="shared" si="7"/>
        <v>0</v>
      </c>
      <c r="Q28" s="84">
        <f t="shared" si="20"/>
        <v>31.303809167884108</v>
      </c>
      <c r="R28" s="73">
        <f t="shared" si="21"/>
        <v>1133.6032479422877</v>
      </c>
      <c r="S28" s="694">
        <f>IF(NOT(EXACT(A28, "MP Complete")), INDEX(MP_new!$A$4:$J$9, MATCH(Step5!A28 - 1, MP_new!$A$4:$A$9, 0), 7), S26)</f>
        <v>48544.957141362807</v>
      </c>
      <c r="T28" s="693">
        <f>IF(EXACT($Q$5, "Yes"), IF(NOT(EXACT(A28, "MP Complete")), INDEX(MP_new!$A$4:$J$9, MATCH(Step5!A28, MP_new!$A$4:$A$9, 0), 10), T26), 0)</f>
        <v>9000</v>
      </c>
      <c r="U28" s="6">
        <f>('NPV Summary'!$B$16-S28)+T28</f>
        <v>25864.882970329993</v>
      </c>
      <c r="V28" s="6">
        <f>LOOKUP(B28,Rates!$A$5:$B$168)</f>
        <v>1783.5172411465869</v>
      </c>
      <c r="W28" s="72">
        <f t="shared" si="8"/>
        <v>46.130464717822285</v>
      </c>
      <c r="X28" s="73">
        <f t="shared" si="25"/>
        <v>468.47521239425276</v>
      </c>
      <c r="Y28" s="20">
        <f t="shared" si="26"/>
        <v>14.826655549938177</v>
      </c>
      <c r="Z28" s="20">
        <f t="shared" si="27"/>
        <v>-665.12803554803486</v>
      </c>
      <c r="AA28" s="465">
        <f>IF(SUM(AA$11:AA27)&gt;0,0,IF(SUM(X28-R28)&gt;0,B28,0))</f>
        <v>0</v>
      </c>
      <c r="AB28" s="171">
        <f>ABS(Z28)*1000000/SUM(U$12:U28)</f>
        <v>2062.9285854596528</v>
      </c>
      <c r="AH28" s="55">
        <f t="shared" si="22"/>
        <v>2023</v>
      </c>
      <c r="AI28" s="8">
        <f>Rates!B21</f>
        <v>1205</v>
      </c>
      <c r="AK28" s="55">
        <f t="shared" si="23"/>
        <v>2023</v>
      </c>
      <c r="AL28" s="8" t="str">
        <f>Rates!E21</f>
        <v>-</v>
      </c>
      <c r="AM28" s="114">
        <f>Rates!F21</f>
        <v>1205</v>
      </c>
      <c r="AN28" s="115">
        <f>Rates!G21</f>
        <v>917</v>
      </c>
      <c r="AP28" s="16">
        <f t="shared" si="9"/>
        <v>2034</v>
      </c>
      <c r="AQ28" s="77">
        <f t="shared" si="0"/>
        <v>0</v>
      </c>
      <c r="AS28" s="136">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4">
        <f t="shared" si="14"/>
        <v>2035</v>
      </c>
      <c r="C29" s="695">
        <v>0</v>
      </c>
      <c r="D29" s="695">
        <f>'Area Summary'!$G$44</f>
        <v>18.74066169157436</v>
      </c>
      <c r="E29" s="66">
        <f t="shared" si="15"/>
        <v>0.65700000000000003</v>
      </c>
      <c r="F29" s="66">
        <f t="shared" si="16"/>
        <v>0</v>
      </c>
      <c r="G29" s="67">
        <f t="shared" si="17"/>
        <v>30.975458304124583</v>
      </c>
      <c r="H29" s="68">
        <f t="shared" si="1"/>
        <v>1.2797706255804771</v>
      </c>
      <c r="I29" s="66">
        <f t="shared" si="2"/>
        <v>0</v>
      </c>
      <c r="J29" s="67">
        <f t="shared" si="3"/>
        <v>30.975458304124583</v>
      </c>
      <c r="K29" s="68">
        <f t="shared" si="18"/>
        <v>1.2797706255804771</v>
      </c>
      <c r="L29" s="66">
        <f t="shared" si="4"/>
        <v>0</v>
      </c>
      <c r="M29" s="70">
        <f t="shared" si="5"/>
        <v>0</v>
      </c>
      <c r="N29" s="70">
        <f t="shared" si="6"/>
        <v>0</v>
      </c>
      <c r="O29" s="66">
        <f t="shared" si="19"/>
        <v>0</v>
      </c>
      <c r="P29" s="67">
        <f t="shared" si="7"/>
        <v>0</v>
      </c>
      <c r="Q29" s="67">
        <f t="shared" si="20"/>
        <v>32.255228929705062</v>
      </c>
      <c r="R29" s="71">
        <f t="shared" si="21"/>
        <v>1165.8584768719927</v>
      </c>
      <c r="S29" s="694">
        <f>IF(NOT(EXACT(A29, "MP Complete")), INDEX(MP_new!$A$4:$J$9, MATCH(Step5!A29 - 1, MP_new!$A$4:$A$9, 0), 7), S27)</f>
        <v>48544.957141362807</v>
      </c>
      <c r="T29" s="693">
        <f>IF(EXACT($Q$5, "Yes"), IF(NOT(EXACT(A29, "MP Complete")), INDEX(MP_new!$A$4:$J$9, MATCH(Step5!A29, MP_new!$A$4:$A$9, 0), 10), T27), 0)</f>
        <v>9000</v>
      </c>
      <c r="U29" s="82">
        <f>('NPV Summary'!$B$16-S29)+T29</f>
        <v>25864.882970329993</v>
      </c>
      <c r="V29" s="82">
        <f>LOOKUP(B29,Rates!$A$5:$B$168)</f>
        <v>1847.7238618278641</v>
      </c>
      <c r="W29" s="70">
        <f t="shared" si="8"/>
        <v>47.791161447663889</v>
      </c>
      <c r="X29" s="71">
        <f t="shared" si="25"/>
        <v>516.26637384191667</v>
      </c>
      <c r="Y29" s="470">
        <f t="shared" si="26"/>
        <v>15.535932517958827</v>
      </c>
      <c r="Z29" s="470">
        <f t="shared" si="27"/>
        <v>-649.59210303007603</v>
      </c>
      <c r="AA29" s="466">
        <f>IF(SUM(AA$11:AA28)&gt;0,0,IF(SUM(X29-R29)&gt;0,B29,0))</f>
        <v>0</v>
      </c>
      <c r="AB29" s="471">
        <f>ABS(Z29)*1000000/SUM(U$12:U29)</f>
        <v>1865.1207664325379</v>
      </c>
      <c r="AH29" s="52">
        <f t="shared" si="22"/>
        <v>2024</v>
      </c>
      <c r="AI29" s="53">
        <f>Rates!B22</f>
        <v>1249</v>
      </c>
      <c r="AK29" s="52">
        <f t="shared" si="23"/>
        <v>2024</v>
      </c>
      <c r="AL29" s="53" t="str">
        <f>Rates!E22</f>
        <v>-</v>
      </c>
      <c r="AM29" s="472">
        <f>Rates!F22</f>
        <v>1249</v>
      </c>
      <c r="AN29" s="473">
        <f>Rates!G22</f>
        <v>961</v>
      </c>
      <c r="AP29" s="48">
        <f t="shared" si="9"/>
        <v>2035</v>
      </c>
      <c r="AQ29" s="78">
        <f t="shared" si="0"/>
        <v>0</v>
      </c>
      <c r="AS29" s="133">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5">
        <f t="shared" si="14"/>
        <v>2036</v>
      </c>
      <c r="C30" s="695">
        <v>0</v>
      </c>
      <c r="D30" s="695">
        <f>'Area Summary'!$G$44</f>
        <v>18.74066169157436</v>
      </c>
      <c r="E30" s="64">
        <f t="shared" si="15"/>
        <v>0.65700000000000003</v>
      </c>
      <c r="F30" s="64">
        <f t="shared" si="16"/>
        <v>0</v>
      </c>
      <c r="G30" s="84">
        <f t="shared" si="17"/>
        <v>31.904722053248321</v>
      </c>
      <c r="H30" s="65">
        <f t="shared" si="1"/>
        <v>1.3309614506036962</v>
      </c>
      <c r="I30" s="64">
        <f t="shared" si="2"/>
        <v>0</v>
      </c>
      <c r="J30" s="84">
        <f t="shared" si="3"/>
        <v>31.904722053248321</v>
      </c>
      <c r="K30" s="65">
        <f t="shared" si="18"/>
        <v>1.3309614506036962</v>
      </c>
      <c r="L30" s="64">
        <f t="shared" si="4"/>
        <v>0</v>
      </c>
      <c r="M30" s="72">
        <f t="shared" si="5"/>
        <v>0</v>
      </c>
      <c r="N30" s="72">
        <f t="shared" si="6"/>
        <v>0</v>
      </c>
      <c r="O30" s="64">
        <f t="shared" si="19"/>
        <v>0</v>
      </c>
      <c r="P30" s="84">
        <f t="shared" si="7"/>
        <v>0</v>
      </c>
      <c r="Q30" s="84">
        <f t="shared" si="20"/>
        <v>33.235683503852016</v>
      </c>
      <c r="R30" s="73">
        <f t="shared" si="21"/>
        <v>1199.0941603758447</v>
      </c>
      <c r="S30" s="694">
        <f>IF(NOT(EXACT(A30, "MP Complete")), INDEX(MP_new!$A$4:$J$9, MATCH(Step5!A30 - 1, MP_new!$A$4:$A$9, 0), 7), S28)</f>
        <v>48544.957141362807</v>
      </c>
      <c r="T30" s="693">
        <f>IF(EXACT($Q$5, "Yes"), IF(NOT(EXACT(A30, "MP Complete")), INDEX(MP_new!$A$4:$J$9, MATCH(Step5!A30, MP_new!$A$4:$A$9, 0), 10), T28), 0)</f>
        <v>9000</v>
      </c>
      <c r="U30" s="6">
        <f>('NPV Summary'!$B$16-S30)+T30</f>
        <v>25864.882970329993</v>
      </c>
      <c r="V30" s="6">
        <f>LOOKUP(B30,Rates!$A$5:$B$168)</f>
        <v>1914.2419208536674</v>
      </c>
      <c r="W30" s="72">
        <f t="shared" si="8"/>
        <v>49.511643259779795</v>
      </c>
      <c r="X30" s="73">
        <f t="shared" si="25"/>
        <v>565.77801710169649</v>
      </c>
      <c r="Y30" s="20">
        <f t="shared" si="26"/>
        <v>16.275959755927779</v>
      </c>
      <c r="Z30" s="20">
        <f t="shared" si="27"/>
        <v>-633.3161432741482</v>
      </c>
      <c r="AA30" s="465">
        <f>IF(SUM(AA$11:AA29)&gt;0,0,IF(SUM(X30-R30)&gt;0,B30,0))</f>
        <v>0</v>
      </c>
      <c r="AB30" s="171">
        <f>ABS(Z30)*1000000/SUM(U$12:U30)</f>
        <v>1692.6839164958458</v>
      </c>
      <c r="AH30" s="55">
        <f t="shared" si="22"/>
        <v>2025</v>
      </c>
      <c r="AI30" s="8">
        <f>Rates!B23</f>
        <v>1296</v>
      </c>
      <c r="AK30" s="55">
        <f t="shared" si="23"/>
        <v>2025</v>
      </c>
      <c r="AL30" s="8" t="str">
        <f>Rates!E23</f>
        <v>-</v>
      </c>
      <c r="AM30" s="114">
        <f>Rates!F23</f>
        <v>1296</v>
      </c>
      <c r="AN30" s="115">
        <f>Rates!G23</f>
        <v>1008</v>
      </c>
      <c r="AP30" s="16">
        <f t="shared" si="9"/>
        <v>2036</v>
      </c>
      <c r="AQ30" s="77">
        <f t="shared" si="0"/>
        <v>0</v>
      </c>
      <c r="AS30" s="136">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4">
        <f t="shared" si="14"/>
        <v>2037</v>
      </c>
      <c r="C31" s="695">
        <v>0</v>
      </c>
      <c r="D31" s="695">
        <f>'Area Summary'!$G$44</f>
        <v>18.74066169157436</v>
      </c>
      <c r="E31" s="66">
        <f t="shared" si="15"/>
        <v>0.65700000000000003</v>
      </c>
      <c r="F31" s="66">
        <f t="shared" si="16"/>
        <v>0</v>
      </c>
      <c r="G31" s="67">
        <f t="shared" si="17"/>
        <v>32.861863714845768</v>
      </c>
      <c r="H31" s="68">
        <f t="shared" si="1"/>
        <v>1.384199908627844</v>
      </c>
      <c r="I31" s="66">
        <f t="shared" si="2"/>
        <v>0</v>
      </c>
      <c r="J31" s="67">
        <f t="shared" si="3"/>
        <v>32.861863714845768</v>
      </c>
      <c r="K31" s="68">
        <f t="shared" si="18"/>
        <v>1.384199908627844</v>
      </c>
      <c r="L31" s="66">
        <f t="shared" si="4"/>
        <v>0</v>
      </c>
      <c r="M31" s="70">
        <f t="shared" si="5"/>
        <v>0</v>
      </c>
      <c r="N31" s="70">
        <f t="shared" si="6"/>
        <v>0</v>
      </c>
      <c r="O31" s="66">
        <f t="shared" si="19"/>
        <v>0</v>
      </c>
      <c r="P31" s="67">
        <f t="shared" si="7"/>
        <v>0</v>
      </c>
      <c r="Q31" s="67">
        <f t="shared" si="20"/>
        <v>34.24606362347361</v>
      </c>
      <c r="R31" s="71">
        <f t="shared" si="21"/>
        <v>1233.3402239993184</v>
      </c>
      <c r="S31" s="694">
        <f>IF(NOT(EXACT(A31, "MP Complete")), INDEX(MP_new!$A$4:$J$9, MATCH(Step5!A31 - 1, MP_new!$A$4:$A$9, 0), 7), S29)</f>
        <v>48544.957141362807</v>
      </c>
      <c r="T31" s="693">
        <f>IF(EXACT($Q$5, "Yes"), IF(NOT(EXACT(A31, "MP Complete")), INDEX(MP_new!$A$4:$J$9, MATCH(Step5!A31, MP_new!$A$4:$A$9, 0), 10), T29), 0)</f>
        <v>9000</v>
      </c>
      <c r="U31" s="82">
        <f>('NPV Summary'!$B$16-S31)+T31</f>
        <v>25864.882970329993</v>
      </c>
      <c r="V31" s="82">
        <f>LOOKUP(B31,Rates!$A$5:$B$168)</f>
        <v>1983.1546300043995</v>
      </c>
      <c r="W31" s="70">
        <f t="shared" si="8"/>
        <v>51.294062417131869</v>
      </c>
      <c r="X31" s="71">
        <f t="shared" si="25"/>
        <v>617.07207951882833</v>
      </c>
      <c r="Y31" s="470">
        <f t="shared" si="26"/>
        <v>17.047998793658259</v>
      </c>
      <c r="Z31" s="470">
        <f t="shared" si="27"/>
        <v>-616.26814448049004</v>
      </c>
      <c r="AA31" s="466">
        <f>IF(SUM(AA$11:AA30)&gt;0,0,IF(SUM(X31-R31)&gt;0,B31,0))</f>
        <v>0</v>
      </c>
      <c r="AB31" s="471">
        <f>ABS(Z31)*1000000/SUM(U$12:U31)</f>
        <v>1540.6165522387332</v>
      </c>
      <c r="AH31" s="52">
        <f t="shared" si="22"/>
        <v>2026</v>
      </c>
      <c r="AI31" s="53">
        <f>Rates!B24</f>
        <v>1344</v>
      </c>
      <c r="AK31" s="52">
        <f t="shared" si="23"/>
        <v>2026</v>
      </c>
      <c r="AL31" s="53" t="str">
        <f>Rates!E24</f>
        <v>-</v>
      </c>
      <c r="AM31" s="472">
        <f>Rates!F24</f>
        <v>1344</v>
      </c>
      <c r="AN31" s="473">
        <f>Rates!G24</f>
        <v>1056</v>
      </c>
      <c r="AP31" s="48">
        <f t="shared" si="9"/>
        <v>2037</v>
      </c>
      <c r="AQ31" s="78">
        <f t="shared" si="0"/>
        <v>0</v>
      </c>
      <c r="AS31" s="133">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5">
        <f t="shared" si="14"/>
        <v>2038</v>
      </c>
      <c r="C32" s="695">
        <v>0</v>
      </c>
      <c r="D32" s="695">
        <f>'Area Summary'!$G$44</f>
        <v>18.74066169157436</v>
      </c>
      <c r="E32" s="64">
        <f t="shared" si="15"/>
        <v>0.65700000000000003</v>
      </c>
      <c r="F32" s="64">
        <f t="shared" si="16"/>
        <v>0</v>
      </c>
      <c r="G32" s="84">
        <f t="shared" si="17"/>
        <v>33.847719626291145</v>
      </c>
      <c r="H32" s="65">
        <f t="shared" si="1"/>
        <v>1.4395679049729577</v>
      </c>
      <c r="I32" s="64">
        <f t="shared" si="2"/>
        <v>0</v>
      </c>
      <c r="J32" s="84">
        <f t="shared" si="3"/>
        <v>33.847719626291145</v>
      </c>
      <c r="K32" s="65">
        <f t="shared" si="18"/>
        <v>1.4395679049729577</v>
      </c>
      <c r="L32" s="64">
        <f t="shared" si="4"/>
        <v>0</v>
      </c>
      <c r="M32" s="72">
        <f t="shared" si="5"/>
        <v>0</v>
      </c>
      <c r="N32" s="72">
        <f t="shared" si="6"/>
        <v>0</v>
      </c>
      <c r="O32" s="64">
        <f t="shared" si="19"/>
        <v>0</v>
      </c>
      <c r="P32" s="84">
        <f t="shared" si="7"/>
        <v>0</v>
      </c>
      <c r="Q32" s="84">
        <f t="shared" si="20"/>
        <v>35.287287531264106</v>
      </c>
      <c r="R32" s="73">
        <f t="shared" si="21"/>
        <v>1268.6275115305825</v>
      </c>
      <c r="S32" s="694">
        <f>IF(NOT(EXACT(A32, "MP Complete")), INDEX(MP_new!$A$4:$J$9, MATCH(Step5!A32 - 1, MP_new!$A$4:$A$9, 0), 7), S30)</f>
        <v>48544.957141362807</v>
      </c>
      <c r="T32" s="693">
        <f>IF(EXACT($Q$5, "Yes"), IF(NOT(EXACT(A32, "MP Complete")), INDEX(MP_new!$A$4:$J$9, MATCH(Step5!A32, MP_new!$A$4:$A$9, 0), 10), T30), 0)</f>
        <v>9000</v>
      </c>
      <c r="U32" s="6">
        <f>('NPV Summary'!$B$16-S32)+T32</f>
        <v>25864.882970329993</v>
      </c>
      <c r="V32" s="6">
        <f>LOOKUP(B32,Rates!$A$5:$B$168)</f>
        <v>2054.5481966845578</v>
      </c>
      <c r="W32" s="72">
        <f t="shared" si="8"/>
        <v>53.140648664148614</v>
      </c>
      <c r="X32" s="73">
        <f t="shared" si="25"/>
        <v>670.21272818297689</v>
      </c>
      <c r="Y32" s="20">
        <f t="shared" si="26"/>
        <v>17.853361132884508</v>
      </c>
      <c r="Z32" s="20">
        <f t="shared" si="27"/>
        <v>-598.41478334760563</v>
      </c>
      <c r="AA32" s="465">
        <f>IF(SUM(AA$11:AA31)&gt;0,0,IF(SUM(X32-R32)&gt;0,B32,0))</f>
        <v>0</v>
      </c>
      <c r="AB32" s="171">
        <f>ABS(Z32)*1000000/SUM(U$12:U32)</f>
        <v>1405.1291302801146</v>
      </c>
      <c r="AH32" s="55">
        <f t="shared" si="22"/>
        <v>2027</v>
      </c>
      <c r="AI32" s="8">
        <f>Rates!B25</f>
        <v>1392.384</v>
      </c>
      <c r="AK32" s="55">
        <f t="shared" si="23"/>
        <v>2027</v>
      </c>
      <c r="AL32" s="164">
        <f>Rates!E25</f>
        <v>3.5999999999999997E-2</v>
      </c>
      <c r="AM32" s="8">
        <f>Rates!F25</f>
        <v>1392.384</v>
      </c>
      <c r="AN32" s="132">
        <f>Rates!G25</f>
        <v>1094.0160000000001</v>
      </c>
      <c r="AP32" s="16">
        <f t="shared" si="9"/>
        <v>2038</v>
      </c>
      <c r="AQ32" s="77">
        <f t="shared" si="0"/>
        <v>0</v>
      </c>
      <c r="AS32" s="136">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4">
        <f t="shared" si="14"/>
        <v>2039</v>
      </c>
      <c r="C33" s="695">
        <v>0</v>
      </c>
      <c r="D33" s="695">
        <f>'Area Summary'!$G$44</f>
        <v>18.74066169157436</v>
      </c>
      <c r="E33" s="66">
        <f t="shared" si="15"/>
        <v>0.65700000000000003</v>
      </c>
      <c r="F33" s="66">
        <f t="shared" si="16"/>
        <v>0</v>
      </c>
      <c r="G33" s="67">
        <f t="shared" si="17"/>
        <v>34.863151215079874</v>
      </c>
      <c r="H33" s="68">
        <f t="shared" si="1"/>
        <v>1.4971506211718766</v>
      </c>
      <c r="I33" s="66">
        <f t="shared" si="2"/>
        <v>0</v>
      </c>
      <c r="J33" s="67">
        <f t="shared" si="3"/>
        <v>34.863151215079874</v>
      </c>
      <c r="K33" s="68">
        <f t="shared" si="18"/>
        <v>1.4971506211718766</v>
      </c>
      <c r="L33" s="66">
        <f t="shared" si="4"/>
        <v>0</v>
      </c>
      <c r="M33" s="70">
        <f t="shared" si="5"/>
        <v>0</v>
      </c>
      <c r="N33" s="70">
        <f t="shared" si="6"/>
        <v>0</v>
      </c>
      <c r="O33" s="66">
        <f t="shared" si="19"/>
        <v>0</v>
      </c>
      <c r="P33" s="67">
        <f t="shared" si="7"/>
        <v>0</v>
      </c>
      <c r="Q33" s="67">
        <f t="shared" si="20"/>
        <v>36.36030183625175</v>
      </c>
      <c r="R33" s="71">
        <f t="shared" si="21"/>
        <v>1304.9878133668342</v>
      </c>
      <c r="S33" s="694">
        <f>IF(NOT(EXACT(A33, "MP Complete")), INDEX(MP_new!$A$4:$J$9, MATCH(Step5!A33 - 1, MP_new!$A$4:$A$9, 0), 7), S31)</f>
        <v>48544.957141362807</v>
      </c>
      <c r="T33" s="693">
        <f>IF(EXACT($Q$5, "Yes"), IF(NOT(EXACT(A33, "MP Complete")), INDEX(MP_new!$A$4:$J$9, MATCH(Step5!A33, MP_new!$A$4:$A$9, 0), 10), T31), 0)</f>
        <v>9000</v>
      </c>
      <c r="U33" s="82">
        <f>('NPV Summary'!$B$16-S33)+T33</f>
        <v>25864.882970329993</v>
      </c>
      <c r="V33" s="82">
        <f>LOOKUP(B33,Rates!$A$5:$B$168)</f>
        <v>2128.511931765202</v>
      </c>
      <c r="W33" s="70">
        <f t="shared" si="8"/>
        <v>55.053712016057965</v>
      </c>
      <c r="X33" s="71">
        <f t="shared" si="25"/>
        <v>725.26644019903483</v>
      </c>
      <c r="Y33" s="470">
        <f t="shared" si="26"/>
        <v>18.693410179806214</v>
      </c>
      <c r="Z33" s="470">
        <f t="shared" si="27"/>
        <v>-579.72137316779936</v>
      </c>
      <c r="AA33" s="466">
        <f>IF(SUM(AA$11:AA32)&gt;0,0,IF(SUM(X33-R33)&gt;0,B33,0))</f>
        <v>0</v>
      </c>
      <c r="AB33" s="471">
        <f>ABS(Z33)*1000000/SUM(U$12:U33)</f>
        <v>1283.2969802771106</v>
      </c>
      <c r="AH33" s="52">
        <f t="shared" si="22"/>
        <v>2028</v>
      </c>
      <c r="AI33" s="53">
        <f>Rates!B26</f>
        <v>1442.509824</v>
      </c>
      <c r="AK33" s="52">
        <f t="shared" si="23"/>
        <v>2028</v>
      </c>
      <c r="AL33" s="165">
        <f>Rates!E26</f>
        <v>3.5999999999999997E-2</v>
      </c>
      <c r="AM33" s="53">
        <f>Rates!F26</f>
        <v>1442.509824</v>
      </c>
      <c r="AN33" s="54">
        <f>Rates!G26</f>
        <v>1133.400576</v>
      </c>
      <c r="AP33" s="48">
        <f t="shared" si="9"/>
        <v>2039</v>
      </c>
      <c r="AQ33" s="78">
        <f t="shared" si="0"/>
        <v>0</v>
      </c>
      <c r="AS33" s="133">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5">
        <f t="shared" si="14"/>
        <v>2040</v>
      </c>
      <c r="C34" s="695">
        <v>0</v>
      </c>
      <c r="D34" s="695">
        <f>'Area Summary'!$G$44</f>
        <v>18.74066169157436</v>
      </c>
      <c r="E34" s="64">
        <f t="shared" si="15"/>
        <v>0.65700000000000003</v>
      </c>
      <c r="F34" s="64">
        <f t="shared" si="16"/>
        <v>0</v>
      </c>
      <c r="G34" s="84">
        <f t="shared" si="17"/>
        <v>35.909045751532268</v>
      </c>
      <c r="H34" s="65">
        <f t="shared" si="1"/>
        <v>1.5570366460187515</v>
      </c>
      <c r="I34" s="64">
        <f t="shared" si="2"/>
        <v>0</v>
      </c>
      <c r="J34" s="84">
        <f t="shared" si="3"/>
        <v>35.909045751532268</v>
      </c>
      <c r="K34" s="65">
        <f t="shared" si="18"/>
        <v>1.5570366460187515</v>
      </c>
      <c r="L34" s="64">
        <f t="shared" si="4"/>
        <v>0</v>
      </c>
      <c r="M34" s="72">
        <f t="shared" si="5"/>
        <v>0</v>
      </c>
      <c r="N34" s="72">
        <f t="shared" si="6"/>
        <v>0</v>
      </c>
      <c r="O34" s="64">
        <f t="shared" si="19"/>
        <v>0</v>
      </c>
      <c r="P34" s="84">
        <f t="shared" si="7"/>
        <v>0</v>
      </c>
      <c r="Q34" s="84">
        <f t="shared" si="20"/>
        <v>37.46608239755102</v>
      </c>
      <c r="R34" s="73">
        <f t="shared" si="21"/>
        <v>1342.4538957643852</v>
      </c>
      <c r="S34" s="694">
        <f>IF(NOT(EXACT(A34, "MP Complete")), INDEX(MP_new!$A$4:$J$9, MATCH(Step5!A34 - 1, MP_new!$A$4:$A$9, 0), 7), S32)</f>
        <v>48544.957141362807</v>
      </c>
      <c r="T34" s="693">
        <f>IF(EXACT($Q$5, "Yes"), IF(NOT(EXACT(A34, "MP Complete")), INDEX(MP_new!$A$4:$J$9, MATCH(Step5!A34, MP_new!$A$4:$A$9, 0), 10), T32), 0)</f>
        <v>9000</v>
      </c>
      <c r="U34" s="6">
        <f>('NPV Summary'!$B$16-S34)+T34</f>
        <v>25864.882970329993</v>
      </c>
      <c r="V34" s="6">
        <f>LOOKUP(B34,Rates!$A$5:$B$168)</f>
        <v>2205.1383613087492</v>
      </c>
      <c r="W34" s="72">
        <f t="shared" si="8"/>
        <v>57.035645648636049</v>
      </c>
      <c r="X34" s="73">
        <f t="shared" si="25"/>
        <v>782.30208584767092</v>
      </c>
      <c r="Y34" s="20">
        <f t="shared" si="26"/>
        <v>19.569563251085029</v>
      </c>
      <c r="Z34" s="20">
        <f t="shared" si="27"/>
        <v>-560.15180991671423</v>
      </c>
      <c r="AA34" s="465">
        <f>IF(SUM(AA$11:AA33)&gt;0,0,IF(SUM(X34-R34)&gt;0,B34,0))</f>
        <v>0</v>
      </c>
      <c r="AB34" s="171">
        <f>ABS(Z34)*1000000/SUM(U$12:U34)</f>
        <v>1172.8260061594062</v>
      </c>
      <c r="AH34" s="55">
        <f t="shared" si="22"/>
        <v>2029</v>
      </c>
      <c r="AI34" s="8">
        <f>Rates!B27</f>
        <v>1494.440177664</v>
      </c>
      <c r="AK34" s="55">
        <f t="shared" si="23"/>
        <v>2029</v>
      </c>
      <c r="AL34" s="164">
        <f>Rates!E27</f>
        <v>3.5999999999999997E-2</v>
      </c>
      <c r="AM34" s="8">
        <f>Rates!F27</f>
        <v>1494.440177664</v>
      </c>
      <c r="AN34" s="15">
        <f>Rates!G27</f>
        <v>1174.2029967359999</v>
      </c>
      <c r="AP34" s="16">
        <f t="shared" si="9"/>
        <v>2040</v>
      </c>
      <c r="AQ34" s="77">
        <f t="shared" si="0"/>
        <v>0</v>
      </c>
      <c r="AS34" s="136">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4">
        <f t="shared" si="14"/>
        <v>2041</v>
      </c>
      <c r="C35" s="695">
        <v>0</v>
      </c>
      <c r="D35" s="695">
        <f>'Area Summary'!$G$44</f>
        <v>18.74066169157436</v>
      </c>
      <c r="E35" s="66">
        <f t="shared" si="15"/>
        <v>0.65700000000000003</v>
      </c>
      <c r="F35" s="66">
        <f t="shared" si="16"/>
        <v>0</v>
      </c>
      <c r="G35" s="67">
        <f t="shared" si="17"/>
        <v>36.986317124078241</v>
      </c>
      <c r="H35" s="68">
        <f t="shared" si="1"/>
        <v>1.6193181118595015</v>
      </c>
      <c r="I35" s="66">
        <f t="shared" si="2"/>
        <v>0</v>
      </c>
      <c r="J35" s="67">
        <f t="shared" si="3"/>
        <v>36.986317124078241</v>
      </c>
      <c r="K35" s="68">
        <f t="shared" si="18"/>
        <v>1.6193181118595015</v>
      </c>
      <c r="L35" s="66">
        <f t="shared" si="4"/>
        <v>0</v>
      </c>
      <c r="M35" s="70">
        <f t="shared" si="5"/>
        <v>0</v>
      </c>
      <c r="N35" s="70">
        <f t="shared" si="6"/>
        <v>0</v>
      </c>
      <c r="O35" s="66">
        <f t="shared" si="19"/>
        <v>0</v>
      </c>
      <c r="P35" s="67">
        <f t="shared" si="7"/>
        <v>0</v>
      </c>
      <c r="Q35" s="67">
        <f t="shared" si="20"/>
        <v>38.60563523593774</v>
      </c>
      <c r="R35" s="71">
        <f t="shared" si="21"/>
        <v>1381.059531000323</v>
      </c>
      <c r="S35" s="694">
        <f>IF(NOT(EXACT(A35, "MP Complete")), INDEX(MP_new!$A$4:$J$9, MATCH(Step5!A35 - 1, MP_new!$A$4:$A$9, 0), 7), S33)</f>
        <v>48544.957141362807</v>
      </c>
      <c r="T35" s="693">
        <f>IF(EXACT($Q$5, "Yes"), IF(NOT(EXACT(A35, "MP Complete")), INDEX(MP_new!$A$4:$J$9, MATCH(Step5!A35, MP_new!$A$4:$A$9, 0), 10), T33), 0)</f>
        <v>9000</v>
      </c>
      <c r="U35" s="82">
        <f>('NPV Summary'!$B$16-S35)+T35</f>
        <v>25864.882970329993</v>
      </c>
      <c r="V35" s="82">
        <f>LOOKUP(B35,Rates!$A$5:$B$168)</f>
        <v>2284.5233423158643</v>
      </c>
      <c r="W35" s="70">
        <f t="shared" si="8"/>
        <v>59.088928891986953</v>
      </c>
      <c r="X35" s="71">
        <f t="shared" si="25"/>
        <v>841.39101473965786</v>
      </c>
      <c r="Y35" s="470">
        <f t="shared" si="26"/>
        <v>20.483293656049213</v>
      </c>
      <c r="Z35" s="470">
        <f t="shared" si="27"/>
        <v>-539.66851626066511</v>
      </c>
      <c r="AA35" s="466">
        <f>IF(SUM(AA$11:AA34)&gt;0,0,IF(SUM(X35-R35)&gt;0,B35,0))</f>
        <v>0</v>
      </c>
      <c r="AB35" s="471">
        <f>ABS(Z35)*1000000/SUM(U$12:U35)</f>
        <v>1071.8906028397469</v>
      </c>
      <c r="AH35" s="52">
        <f t="shared" si="22"/>
        <v>2030</v>
      </c>
      <c r="AI35" s="53">
        <f>Rates!B28</f>
        <v>1548.240024059904</v>
      </c>
      <c r="AK35" s="52">
        <f t="shared" si="23"/>
        <v>2030</v>
      </c>
      <c r="AL35" s="165">
        <f>Rates!E28</f>
        <v>3.5999999999999997E-2</v>
      </c>
      <c r="AM35" s="53">
        <f>Rates!F28</f>
        <v>1548.240024059904</v>
      </c>
      <c r="AN35" s="54">
        <f>Rates!G28</f>
        <v>1216.474304618496</v>
      </c>
      <c r="AP35" s="48">
        <f t="shared" si="9"/>
        <v>2041</v>
      </c>
      <c r="AQ35" s="78">
        <f t="shared" si="0"/>
        <v>0</v>
      </c>
      <c r="AS35" s="133">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5">
        <f t="shared" si="14"/>
        <v>2042</v>
      </c>
      <c r="C36" s="695">
        <v>0</v>
      </c>
      <c r="D36" s="695">
        <f>'Area Summary'!$G$44</f>
        <v>18.74066169157436</v>
      </c>
      <c r="E36" s="64">
        <f t="shared" si="15"/>
        <v>0.65700000000000003</v>
      </c>
      <c r="F36" s="64">
        <f t="shared" si="16"/>
        <v>0</v>
      </c>
      <c r="G36" s="84">
        <f t="shared" si="17"/>
        <v>38.095906637800582</v>
      </c>
      <c r="H36" s="65">
        <f t="shared" si="1"/>
        <v>1.6840908363338816</v>
      </c>
      <c r="I36" s="64">
        <f t="shared" si="2"/>
        <v>0</v>
      </c>
      <c r="J36" s="84">
        <f t="shared" si="3"/>
        <v>38.095906637800582</v>
      </c>
      <c r="K36" s="65">
        <f t="shared" si="18"/>
        <v>1.6840908363338816</v>
      </c>
      <c r="L36" s="64">
        <f t="shared" si="4"/>
        <v>0</v>
      </c>
      <c r="M36" s="72">
        <f t="shared" si="5"/>
        <v>0</v>
      </c>
      <c r="N36" s="72">
        <f t="shared" si="6"/>
        <v>0</v>
      </c>
      <c r="O36" s="64">
        <f t="shared" si="19"/>
        <v>0</v>
      </c>
      <c r="P36" s="84">
        <f t="shared" si="7"/>
        <v>0</v>
      </c>
      <c r="Q36" s="84">
        <f t="shared" si="20"/>
        <v>39.779997474134461</v>
      </c>
      <c r="R36" s="73">
        <f t="shared" si="21"/>
        <v>1420.8395284744574</v>
      </c>
      <c r="S36" s="694">
        <f>IF(NOT(EXACT(A36, "MP Complete")), INDEX(MP_new!$A$4:$J$9, MATCH(Step5!A36 - 1, MP_new!$A$4:$A$9, 0), 7), S34)</f>
        <v>48544.957141362807</v>
      </c>
      <c r="T36" s="693">
        <f>IF(EXACT($Q$5, "Yes"), IF(NOT(EXACT(A36, "MP Complete")), INDEX(MP_new!$A$4:$J$9, MATCH(Step5!A36, MP_new!$A$4:$A$9, 0), 10), T34), 0)</f>
        <v>9000</v>
      </c>
      <c r="U36" s="6">
        <f>('NPV Summary'!$B$16-S36)+T36</f>
        <v>25864.882970329993</v>
      </c>
      <c r="V36" s="6">
        <f>LOOKUP(B36,Rates!$A$5:$B$168)</f>
        <v>2366.7661826392355</v>
      </c>
      <c r="W36" s="72">
        <f t="shared" si="8"/>
        <v>61.216130332098487</v>
      </c>
      <c r="X36" s="73">
        <f t="shared" si="25"/>
        <v>902.60714507175635</v>
      </c>
      <c r="Y36" s="20">
        <f t="shared" si="26"/>
        <v>21.436132857964026</v>
      </c>
      <c r="Z36" s="20">
        <f t="shared" si="27"/>
        <v>-518.23238340270109</v>
      </c>
      <c r="AA36" s="465">
        <f>IF(SUM(AA$11:AA35)&gt;0,0,IF(SUM(X36-R36)&gt;0,B36,0))</f>
        <v>0</v>
      </c>
      <c r="AB36" s="171">
        <f>ABS(Z36)*1000000/SUM(U$12:U36)</f>
        <v>979.01908776805647</v>
      </c>
      <c r="AH36" s="55">
        <f t="shared" si="22"/>
        <v>2031</v>
      </c>
      <c r="AI36" s="8">
        <f>Rates!B29</f>
        <v>1603.9766649260607</v>
      </c>
      <c r="AK36" s="55">
        <f t="shared" si="23"/>
        <v>2031</v>
      </c>
      <c r="AL36" s="164">
        <f>Rates!E29</f>
        <v>3.5999999999999997E-2</v>
      </c>
      <c r="AM36" s="8">
        <f>Rates!F29</f>
        <v>1603.9766649260607</v>
      </c>
      <c r="AN36" s="15">
        <f>Rates!G29</f>
        <v>1260.267379584762</v>
      </c>
      <c r="AP36" s="16">
        <f t="shared" si="9"/>
        <v>2042</v>
      </c>
      <c r="AQ36" s="77">
        <f t="shared" si="0"/>
        <v>0</v>
      </c>
      <c r="AS36" s="136">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4">
        <f t="shared" si="14"/>
        <v>2043</v>
      </c>
      <c r="C37" s="695">
        <v>0</v>
      </c>
      <c r="D37" s="695">
        <f>'Area Summary'!$G$44</f>
        <v>18.74066169157436</v>
      </c>
      <c r="E37" s="66">
        <f t="shared" si="15"/>
        <v>0.65700000000000003</v>
      </c>
      <c r="F37" s="66">
        <f t="shared" si="16"/>
        <v>0</v>
      </c>
      <c r="G37" s="67">
        <f t="shared" si="17"/>
        <v>39.238783836934601</v>
      </c>
      <c r="H37" s="68">
        <f t="shared" si="1"/>
        <v>1.7514544697872372</v>
      </c>
      <c r="I37" s="66">
        <f t="shared" si="2"/>
        <v>0</v>
      </c>
      <c r="J37" s="67">
        <f t="shared" si="3"/>
        <v>39.238783836934601</v>
      </c>
      <c r="K37" s="68">
        <f t="shared" si="18"/>
        <v>1.7514544697872372</v>
      </c>
      <c r="L37" s="66">
        <f t="shared" si="4"/>
        <v>0</v>
      </c>
      <c r="M37" s="70">
        <f t="shared" si="5"/>
        <v>0</v>
      </c>
      <c r="N37" s="70">
        <f t="shared" si="6"/>
        <v>0</v>
      </c>
      <c r="O37" s="66">
        <f t="shared" si="19"/>
        <v>0</v>
      </c>
      <c r="P37" s="67">
        <f t="shared" si="7"/>
        <v>0</v>
      </c>
      <c r="Q37" s="67">
        <f t="shared" si="20"/>
        <v>40.990238306721835</v>
      </c>
      <c r="R37" s="71">
        <f t="shared" si="21"/>
        <v>1461.8297667811794</v>
      </c>
      <c r="S37" s="694">
        <f>IF(NOT(EXACT(A37, "MP Complete")), INDEX(MP_new!$A$4:$J$9, MATCH(Step5!A37 - 1, MP_new!$A$4:$A$9, 0), 7), S35)</f>
        <v>48544.957141362807</v>
      </c>
      <c r="T37" s="693">
        <f>IF(EXACT($Q$5, "Yes"), IF(NOT(EXACT(A37, "MP Complete")), INDEX(MP_new!$A$4:$J$9, MATCH(Step5!A37, MP_new!$A$4:$A$9, 0), 10), T35), 0)</f>
        <v>9000</v>
      </c>
      <c r="U37" s="82">
        <f>('NPV Summary'!$B$16-S37)+T37</f>
        <v>25864.882970329993</v>
      </c>
      <c r="V37" s="82">
        <f>LOOKUP(B37,Rates!$A$5:$B$168)</f>
        <v>2451.9697652142481</v>
      </c>
      <c r="W37" s="70">
        <f t="shared" si="8"/>
        <v>63.419911024054038</v>
      </c>
      <c r="X37" s="71">
        <f t="shared" si="25"/>
        <v>966.02705609581039</v>
      </c>
      <c r="Y37" s="470">
        <f t="shared" si="26"/>
        <v>22.429672717332203</v>
      </c>
      <c r="Z37" s="470">
        <f t="shared" si="27"/>
        <v>-495.80271068536899</v>
      </c>
      <c r="AA37" s="466">
        <f>IF(SUM(AA$11:AA36)&gt;0,0,IF(SUM(X37-R37)&gt;0,B37,0))</f>
        <v>0</v>
      </c>
      <c r="AB37" s="471">
        <f>ABS(Z37)*1000000/SUM(U$12:U37)</f>
        <v>893.01115238597004</v>
      </c>
      <c r="AH37" s="52">
        <f t="shared" si="22"/>
        <v>2032</v>
      </c>
      <c r="AI37" s="53">
        <f>Rates!B30</f>
        <v>1661.719824863399</v>
      </c>
      <c r="AK37" s="52">
        <f t="shared" si="23"/>
        <v>2032</v>
      </c>
      <c r="AL37" s="165">
        <f>Rates!E30</f>
        <v>3.5999999999999997E-2</v>
      </c>
      <c r="AM37" s="53">
        <f>Rates!F30</f>
        <v>1661.719824863399</v>
      </c>
      <c r="AN37" s="54">
        <f>Rates!G30</f>
        <v>1305.6370052498135</v>
      </c>
      <c r="AP37" s="48">
        <f t="shared" si="9"/>
        <v>2043</v>
      </c>
      <c r="AQ37" s="78">
        <f t="shared" si="0"/>
        <v>0</v>
      </c>
      <c r="AS37" s="133">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5">
        <f t="shared" si="14"/>
        <v>2044</v>
      </c>
      <c r="C38" s="695">
        <v>0</v>
      </c>
      <c r="D38" s="695">
        <f>'Area Summary'!$G$44</f>
        <v>18.74066169157436</v>
      </c>
      <c r="E38" s="64">
        <f t="shared" si="15"/>
        <v>0.65700000000000003</v>
      </c>
      <c r="F38" s="64">
        <f t="shared" si="16"/>
        <v>0</v>
      </c>
      <c r="G38" s="84">
        <f t="shared" si="17"/>
        <v>40.415947352042643</v>
      </c>
      <c r="H38" s="65">
        <f t="shared" si="1"/>
        <v>1.8215126485787265</v>
      </c>
      <c r="I38" s="64">
        <f t="shared" si="2"/>
        <v>0</v>
      </c>
      <c r="J38" s="84">
        <f t="shared" si="3"/>
        <v>40.415947352042643</v>
      </c>
      <c r="K38" s="65">
        <f t="shared" si="18"/>
        <v>1.8215126485787265</v>
      </c>
      <c r="L38" s="64">
        <f t="shared" si="4"/>
        <v>0</v>
      </c>
      <c r="M38" s="72">
        <f t="shared" si="5"/>
        <v>0</v>
      </c>
      <c r="N38" s="72">
        <f t="shared" si="6"/>
        <v>0</v>
      </c>
      <c r="O38" s="64">
        <f t="shared" si="19"/>
        <v>0</v>
      </c>
      <c r="P38" s="84">
        <f t="shared" si="7"/>
        <v>0</v>
      </c>
      <c r="Q38" s="84">
        <f t="shared" si="20"/>
        <v>42.237460000621368</v>
      </c>
      <c r="R38" s="73">
        <f t="shared" si="21"/>
        <v>1504.0672267818009</v>
      </c>
      <c r="S38" s="694">
        <f>IF(NOT(EXACT(A38, "MP Complete")), INDEX(MP_new!$A$4:$J$9, MATCH(Step5!A38 - 1, MP_new!$A$4:$A$9, 0), 7), S36)</f>
        <v>48544.957141362807</v>
      </c>
      <c r="T38" s="693">
        <f>IF(EXACT($Q$5, "Yes"), IF(NOT(EXACT(A38, "MP Complete")), INDEX(MP_new!$A$4:$J$9, MATCH(Step5!A38, MP_new!$A$4:$A$9, 0), 10), T36), 0)</f>
        <v>9000</v>
      </c>
      <c r="U38" s="6">
        <f>('NPV Summary'!$B$16-S38)+T38</f>
        <v>25864.882970329993</v>
      </c>
      <c r="V38" s="6">
        <f>LOOKUP(B38,Rates!$A$5:$B$168)</f>
        <v>2540.2406767619609</v>
      </c>
      <c r="W38" s="72">
        <f t="shared" si="8"/>
        <v>65.703027820919971</v>
      </c>
      <c r="X38" s="73">
        <f t="shared" si="25"/>
        <v>1031.7300839167303</v>
      </c>
      <c r="Y38" s="20">
        <f t="shared" si="26"/>
        <v>23.465567820298602</v>
      </c>
      <c r="Z38" s="20">
        <f t="shared" si="27"/>
        <v>-472.33714286507052</v>
      </c>
      <c r="AA38" s="465">
        <f>IF(SUM(AA$11:AA37)&gt;0,0,IF(SUM(X38-R38)&gt;0,B38,0))</f>
        <v>0</v>
      </c>
      <c r="AB38" s="171">
        <f>ABS(Z38)*1000000/SUM(U$12:U38)</f>
        <v>812.87735630108364</v>
      </c>
      <c r="AH38" s="55">
        <f t="shared" si="22"/>
        <v>2033</v>
      </c>
      <c r="AI38" s="8">
        <f>Rates!B31</f>
        <v>1721.5417385584815</v>
      </c>
      <c r="AK38" s="55">
        <f t="shared" si="23"/>
        <v>2033</v>
      </c>
      <c r="AL38" s="164">
        <f>Rates!E31</f>
        <v>3.5999999999999997E-2</v>
      </c>
      <c r="AM38" s="8">
        <f>Rates!F31</f>
        <v>1721.5417385584815</v>
      </c>
      <c r="AN38" s="15">
        <f>Rates!G31</f>
        <v>1352.6399374388068</v>
      </c>
      <c r="AP38" s="16">
        <f t="shared" si="9"/>
        <v>2044</v>
      </c>
      <c r="AQ38" s="77">
        <f t="shared" si="0"/>
        <v>0</v>
      </c>
      <c r="AS38" s="136">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4">
        <f t="shared" si="14"/>
        <v>2045</v>
      </c>
      <c r="C39" s="695">
        <v>0</v>
      </c>
      <c r="D39" s="695">
        <f>'Area Summary'!$G$44</f>
        <v>18.74066169157436</v>
      </c>
      <c r="E39" s="66">
        <f t="shared" si="15"/>
        <v>0.65700000000000003</v>
      </c>
      <c r="F39" s="66">
        <f t="shared" si="16"/>
        <v>0</v>
      </c>
      <c r="G39" s="67">
        <f t="shared" si="17"/>
        <v>41.628425772603919</v>
      </c>
      <c r="H39" s="68">
        <f t="shared" si="1"/>
        <v>1.8943731545218756</v>
      </c>
      <c r="I39" s="66">
        <f t="shared" si="2"/>
        <v>0</v>
      </c>
      <c r="J39" s="67">
        <f t="shared" si="3"/>
        <v>41.628425772603919</v>
      </c>
      <c r="K39" s="68">
        <f t="shared" si="18"/>
        <v>1.8943731545218756</v>
      </c>
      <c r="L39" s="66">
        <f t="shared" si="4"/>
        <v>0</v>
      </c>
      <c r="M39" s="70">
        <f t="shared" si="5"/>
        <v>0</v>
      </c>
      <c r="N39" s="70">
        <f t="shared" si="6"/>
        <v>0</v>
      </c>
      <c r="O39" s="66">
        <f t="shared" si="19"/>
        <v>0</v>
      </c>
      <c r="P39" s="67">
        <f t="shared" si="7"/>
        <v>0</v>
      </c>
      <c r="Q39" s="67">
        <f t="shared" si="20"/>
        <v>43.522798927125791</v>
      </c>
      <c r="R39" s="71">
        <f t="shared" si="21"/>
        <v>1547.5900257089265</v>
      </c>
      <c r="S39" s="694">
        <f>IF(NOT(EXACT(A39, "MP Complete")), INDEX(MP_new!$A$4:$J$9, MATCH(Step5!A39 - 1, MP_new!$A$4:$A$9, 0), 7), S37)</f>
        <v>48544.957141362807</v>
      </c>
      <c r="T39" s="693">
        <f>IF(EXACT($Q$5, "Yes"), IF(NOT(EXACT(A39, "MP Complete")), INDEX(MP_new!$A$4:$J$9, MATCH(Step5!A39, MP_new!$A$4:$A$9, 0), 10), T37), 0)</f>
        <v>9000</v>
      </c>
      <c r="U39" s="82">
        <f>('NPV Summary'!$B$16-S39)+T39</f>
        <v>25864.882970329993</v>
      </c>
      <c r="V39" s="82">
        <f>LOOKUP(B39,Rates!$A$5:$B$168)</f>
        <v>2631.6893411253914</v>
      </c>
      <c r="W39" s="70">
        <f t="shared" si="8"/>
        <v>68.0683368224731</v>
      </c>
      <c r="X39" s="71">
        <f t="shared" si="25"/>
        <v>1099.7984207392035</v>
      </c>
      <c r="Y39" s="470">
        <f t="shared" si="26"/>
        <v>24.545537895347309</v>
      </c>
      <c r="Z39" s="470">
        <f t="shared" si="27"/>
        <v>-447.79160496972304</v>
      </c>
      <c r="AA39" s="466">
        <f>IF(SUM(AA$11:AA38)&gt;0,0,IF(SUM(X39-R39)&gt;0,B39,0))</f>
        <v>0</v>
      </c>
      <c r="AB39" s="471">
        <f>ABS(Z39)*1000000/SUM(U$12:U39)</f>
        <v>737.79408847219634</v>
      </c>
      <c r="AH39" s="52">
        <f t="shared" si="22"/>
        <v>2034</v>
      </c>
      <c r="AI39" s="53">
        <f>Rates!B32</f>
        <v>1783.5172411465869</v>
      </c>
      <c r="AK39" s="52">
        <f t="shared" si="23"/>
        <v>2034</v>
      </c>
      <c r="AL39" s="165">
        <f>Rates!E32</f>
        <v>3.5999999999999997E-2</v>
      </c>
      <c r="AM39" s="53">
        <f>Rates!F32</f>
        <v>1783.5172411465869</v>
      </c>
      <c r="AN39" s="54">
        <f>Rates!G32</f>
        <v>1401.334975186604</v>
      </c>
      <c r="AP39" s="48">
        <f t="shared" si="9"/>
        <v>2045</v>
      </c>
      <c r="AQ39" s="78">
        <f t="shared" si="0"/>
        <v>0</v>
      </c>
      <c r="AS39" s="133">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5">
        <f t="shared" si="14"/>
        <v>2046</v>
      </c>
      <c r="C40" s="695">
        <v>0</v>
      </c>
      <c r="D40" s="695">
        <f>'Area Summary'!$G$44</f>
        <v>18.74066169157436</v>
      </c>
      <c r="E40" s="64">
        <f t="shared" si="15"/>
        <v>0.65700000000000003</v>
      </c>
      <c r="F40" s="64">
        <f t="shared" si="16"/>
        <v>0</v>
      </c>
      <c r="G40" s="84">
        <f t="shared" si="17"/>
        <v>42.877278545782033</v>
      </c>
      <c r="H40" s="65">
        <f t="shared" si="1"/>
        <v>1.9701480807027512</v>
      </c>
      <c r="I40" s="64">
        <f t="shared" si="2"/>
        <v>0</v>
      </c>
      <c r="J40" s="84">
        <f t="shared" si="3"/>
        <v>42.877278545782033</v>
      </c>
      <c r="K40" s="65">
        <f t="shared" si="18"/>
        <v>1.9701480807027512</v>
      </c>
      <c r="L40" s="64">
        <f t="shared" si="4"/>
        <v>0</v>
      </c>
      <c r="M40" s="72">
        <f t="shared" si="5"/>
        <v>0</v>
      </c>
      <c r="N40" s="72">
        <f t="shared" si="6"/>
        <v>0</v>
      </c>
      <c r="O40" s="64">
        <f t="shared" si="19"/>
        <v>0</v>
      </c>
      <c r="P40" s="84">
        <f t="shared" si="7"/>
        <v>0</v>
      </c>
      <c r="Q40" s="84">
        <f t="shared" si="20"/>
        <v>44.847426626484783</v>
      </c>
      <c r="R40" s="73">
        <f t="shared" si="21"/>
        <v>1592.4374523354113</v>
      </c>
      <c r="S40" s="694">
        <f>IF(NOT(EXACT(A40, "MP Complete")), INDEX(MP_new!$A$4:$J$9, MATCH(Step5!A40 - 1, MP_new!$A$4:$A$9, 0), 7), S38)</f>
        <v>48544.957141362807</v>
      </c>
      <c r="T40" s="693">
        <f>IF(EXACT($Q$5, "Yes"), IF(NOT(EXACT(A40, "MP Complete")), INDEX(MP_new!$A$4:$J$9, MATCH(Step5!A40, MP_new!$A$4:$A$9, 0), 10), T38), 0)</f>
        <v>9000</v>
      </c>
      <c r="U40" s="6">
        <f>('NPV Summary'!$B$16-S40)+T40</f>
        <v>25864.882970329993</v>
      </c>
      <c r="V40" s="6">
        <f>LOOKUP(B40,Rates!$A$5:$B$168)</f>
        <v>2726.4301574059054</v>
      </c>
      <c r="W40" s="72">
        <f t="shared" si="8"/>
        <v>70.518796948082112</v>
      </c>
      <c r="X40" s="73">
        <f t="shared" si="25"/>
        <v>1170.3172176872856</v>
      </c>
      <c r="Y40" s="20">
        <f t="shared" si="26"/>
        <v>25.67137032159733</v>
      </c>
      <c r="Z40" s="20">
        <f t="shared" si="27"/>
        <v>-422.12023464812569</v>
      </c>
      <c r="AA40" s="465">
        <f>IF(SUM(AA$11:AA39)&gt;0,0,IF(SUM(X40-R40)&gt;0,B40,0))</f>
        <v>0</v>
      </c>
      <c r="AB40" s="171">
        <f>ABS(Z40)*1000000/SUM(U$12:U40)</f>
        <v>667.06956988749641</v>
      </c>
      <c r="AC40" s="9"/>
      <c r="AD40" s="9"/>
      <c r="AE40" s="9"/>
      <c r="AF40" s="9"/>
      <c r="AG40" s="9"/>
      <c r="AH40" s="55">
        <f t="shared" si="22"/>
        <v>2035</v>
      </c>
      <c r="AI40" s="8">
        <f>Rates!B33</f>
        <v>1847.7238618278641</v>
      </c>
      <c r="AJ40" s="9"/>
      <c r="AK40" s="55">
        <f t="shared" si="23"/>
        <v>2035</v>
      </c>
      <c r="AL40" s="164">
        <f>Rates!E33</f>
        <v>3.5999999999999997E-2</v>
      </c>
      <c r="AM40" s="8">
        <f>Rates!F33</f>
        <v>1847.7238618278641</v>
      </c>
      <c r="AN40" s="15">
        <f>Rates!G33</f>
        <v>1451.7830342933219</v>
      </c>
      <c r="AO40" s="9"/>
      <c r="AP40" s="16">
        <f t="shared" si="9"/>
        <v>2046</v>
      </c>
      <c r="AQ40" s="77">
        <f t="shared" si="0"/>
        <v>0</v>
      </c>
      <c r="AR40" s="9"/>
      <c r="AS40" s="136">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4">
        <f t="shared" si="14"/>
        <v>2047</v>
      </c>
      <c r="C41" s="695">
        <v>0</v>
      </c>
      <c r="D41" s="695">
        <f>'Area Summary'!$G$44</f>
        <v>18.74066169157436</v>
      </c>
      <c r="E41" s="66">
        <f t="shared" si="15"/>
        <v>0.65700000000000003</v>
      </c>
      <c r="F41" s="66">
        <f t="shared" si="16"/>
        <v>0</v>
      </c>
      <c r="G41" s="67">
        <f t="shared" si="17"/>
        <v>44.16359690215549</v>
      </c>
      <c r="H41" s="68">
        <f t="shared" si="1"/>
        <v>2.0489540039308611</v>
      </c>
      <c r="I41" s="66">
        <f t="shared" si="2"/>
        <v>0</v>
      </c>
      <c r="J41" s="67">
        <f t="shared" si="3"/>
        <v>44.16359690215549</v>
      </c>
      <c r="K41" s="68">
        <f t="shared" si="18"/>
        <v>2.0489540039308611</v>
      </c>
      <c r="L41" s="66">
        <f t="shared" si="4"/>
        <v>0</v>
      </c>
      <c r="M41" s="70">
        <f t="shared" si="5"/>
        <v>0</v>
      </c>
      <c r="N41" s="70">
        <f t="shared" si="6"/>
        <v>0</v>
      </c>
      <c r="O41" s="66">
        <f t="shared" si="19"/>
        <v>0</v>
      </c>
      <c r="P41" s="67">
        <f t="shared" si="7"/>
        <v>0</v>
      </c>
      <c r="Q41" s="67">
        <f t="shared" si="20"/>
        <v>46.212550906086349</v>
      </c>
      <c r="R41" s="71">
        <f t="shared" si="21"/>
        <v>1638.6500032414976</v>
      </c>
      <c r="S41" s="694">
        <f>IF(NOT(EXACT(A41, "MP Complete")), INDEX(MP_new!$A$4:$J$9, MATCH(Step5!A41 - 1, MP_new!$A$4:$A$9, 0), 7), S39)</f>
        <v>48544.957141362807</v>
      </c>
      <c r="T41" s="693">
        <f>IF(EXACT($Q$5, "Yes"), IF(NOT(EXACT(A41, "MP Complete")), INDEX(MP_new!$A$4:$J$9, MATCH(Step5!A41, MP_new!$A$4:$A$9, 0), 10), T39), 0)</f>
        <v>9000</v>
      </c>
      <c r="U41" s="82">
        <f>('NPV Summary'!$B$16-S41)+T41</f>
        <v>25864.882970329993</v>
      </c>
      <c r="V41" s="82">
        <f>LOOKUP(B41,Rates!$A$5:$B$168)</f>
        <v>2824.5816430725181</v>
      </c>
      <c r="W41" s="70">
        <f t="shared" si="8"/>
        <v>73.057473638213082</v>
      </c>
      <c r="X41" s="71">
        <f t="shared" si="25"/>
        <v>1243.3746913254986</v>
      </c>
      <c r="Y41" s="470">
        <f t="shared" si="26"/>
        <v>26.844922732126733</v>
      </c>
      <c r="Z41" s="470">
        <f t="shared" si="27"/>
        <v>-395.27531191599905</v>
      </c>
      <c r="AA41" s="466">
        <f>IF(SUM(AA$11:AA40)&gt;0,0,IF(SUM(X41-R41)&gt;0,B41,0))</f>
        <v>0</v>
      </c>
      <c r="AB41" s="471">
        <f>ABS(Z41)*1000000/SUM(U$12:U41)</f>
        <v>600.11786248990609</v>
      </c>
      <c r="AH41" s="52">
        <f t="shared" si="22"/>
        <v>2036</v>
      </c>
      <c r="AI41" s="53">
        <f>Rates!B34</f>
        <v>1914.2419208536674</v>
      </c>
      <c r="AK41" s="52">
        <f t="shared" si="23"/>
        <v>2036</v>
      </c>
      <c r="AL41" s="165">
        <f>Rates!E34</f>
        <v>3.5999999999999997E-2</v>
      </c>
      <c r="AM41" s="53">
        <f>Rates!F34</f>
        <v>1914.2419208536674</v>
      </c>
      <c r="AN41" s="54">
        <f>Rates!G34</f>
        <v>1504.0472235278814</v>
      </c>
      <c r="AP41" s="48">
        <f t="shared" si="9"/>
        <v>2047</v>
      </c>
      <c r="AQ41" s="78">
        <f t="shared" si="0"/>
        <v>0</v>
      </c>
      <c r="AS41" s="133">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5">
        <f t="shared" si="14"/>
        <v>2048</v>
      </c>
      <c r="C42" s="695">
        <v>0</v>
      </c>
      <c r="D42" s="695">
        <f>'Area Summary'!$G$44</f>
        <v>18.74066169157436</v>
      </c>
      <c r="E42" s="64">
        <f t="shared" si="15"/>
        <v>0.65700000000000003</v>
      </c>
      <c r="F42" s="64">
        <f t="shared" si="16"/>
        <v>0</v>
      </c>
      <c r="G42" s="84">
        <f t="shared" si="17"/>
        <v>45.48850480922016</v>
      </c>
      <c r="H42" s="65">
        <f t="shared" si="1"/>
        <v>2.1309121640880955</v>
      </c>
      <c r="I42" s="64">
        <f t="shared" si="2"/>
        <v>0</v>
      </c>
      <c r="J42" s="84">
        <f t="shared" si="3"/>
        <v>45.48850480922016</v>
      </c>
      <c r="K42" s="65">
        <f t="shared" si="18"/>
        <v>2.1309121640880955</v>
      </c>
      <c r="L42" s="64">
        <f t="shared" si="4"/>
        <v>0</v>
      </c>
      <c r="M42" s="72">
        <f t="shared" si="5"/>
        <v>0</v>
      </c>
      <c r="N42" s="72">
        <f t="shared" si="6"/>
        <v>0</v>
      </c>
      <c r="O42" s="64">
        <f t="shared" si="19"/>
        <v>0</v>
      </c>
      <c r="P42" s="84">
        <f t="shared" si="7"/>
        <v>0</v>
      </c>
      <c r="Q42" s="84">
        <f t="shared" si="20"/>
        <v>47.619416973308255</v>
      </c>
      <c r="R42" s="73">
        <f t="shared" si="21"/>
        <v>1686.2694202148059</v>
      </c>
      <c r="S42" s="694">
        <f>IF(NOT(EXACT(A42, "MP Complete")), INDEX(MP_new!$A$4:$J$9, MATCH(Step5!A42 - 1, MP_new!$A$4:$A$9, 0), 7), S40)</f>
        <v>48544.957141362807</v>
      </c>
      <c r="T42" s="693">
        <f>IF(EXACT($Q$5, "Yes"), IF(NOT(EXACT(A42, "MP Complete")), INDEX(MP_new!$A$4:$J$9, MATCH(Step5!A42, MP_new!$A$4:$A$9, 0), 10), T40), 0)</f>
        <v>9000</v>
      </c>
      <c r="U42" s="6">
        <f>('NPV Summary'!$B$16-S42)+T42</f>
        <v>25864.882970329993</v>
      </c>
      <c r="V42" s="6">
        <f>LOOKUP(B42,Rates!$A$5:$B$168)</f>
        <v>2926.2665822231288</v>
      </c>
      <c r="W42" s="72">
        <f t="shared" si="8"/>
        <v>75.687542689188746</v>
      </c>
      <c r="X42" s="73">
        <f t="shared" si="25"/>
        <v>1319.0622340146874</v>
      </c>
      <c r="Y42" s="20">
        <f t="shared" si="26"/>
        <v>28.068125715880491</v>
      </c>
      <c r="Z42" s="20">
        <f t="shared" si="27"/>
        <v>-367.20718620011849</v>
      </c>
      <c r="AA42" s="465">
        <f>IF(SUM(AA$11:AA41)&gt;0,0,IF(SUM(X42-R42)&gt;0,B42,0))</f>
        <v>0</v>
      </c>
      <c r="AB42" s="171">
        <f>ABS(Z42)*1000000/SUM(U$12:U42)</f>
        <v>536.43876659286491</v>
      </c>
      <c r="AH42" s="55">
        <f t="shared" si="22"/>
        <v>2037</v>
      </c>
      <c r="AI42" s="8">
        <f>Rates!B35</f>
        <v>1983.1546300043995</v>
      </c>
      <c r="AK42" s="55">
        <f t="shared" si="23"/>
        <v>2037</v>
      </c>
      <c r="AL42" s="164">
        <f>Rates!E35</f>
        <v>3.5999999999999997E-2</v>
      </c>
      <c r="AM42" s="8">
        <f>Rates!F35</f>
        <v>1983.1546300043995</v>
      </c>
      <c r="AN42" s="15">
        <f>Rates!G35</f>
        <v>1558.1929235748853</v>
      </c>
      <c r="AP42" s="16">
        <f t="shared" si="9"/>
        <v>2048</v>
      </c>
      <c r="AQ42" s="77">
        <f t="shared" si="0"/>
        <v>0</v>
      </c>
      <c r="AS42" s="136">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4">
        <f t="shared" si="14"/>
        <v>2049</v>
      </c>
      <c r="C43" s="695">
        <v>0</v>
      </c>
      <c r="D43" s="695">
        <f>'Area Summary'!$G$44</f>
        <v>18.74066169157436</v>
      </c>
      <c r="E43" s="66">
        <f t="shared" si="15"/>
        <v>0.65700000000000003</v>
      </c>
      <c r="F43" s="66">
        <f t="shared" si="16"/>
        <v>0</v>
      </c>
      <c r="G43" s="67">
        <f t="shared" si="17"/>
        <v>46.853159953496771</v>
      </c>
      <c r="H43" s="68">
        <f t="shared" si="1"/>
        <v>2.2161486506516193</v>
      </c>
      <c r="I43" s="66">
        <f t="shared" si="2"/>
        <v>0</v>
      </c>
      <c r="J43" s="67">
        <f t="shared" si="3"/>
        <v>46.853159953496771</v>
      </c>
      <c r="K43" s="68">
        <f t="shared" si="18"/>
        <v>2.2161486506516193</v>
      </c>
      <c r="L43" s="66">
        <f t="shared" si="4"/>
        <v>0</v>
      </c>
      <c r="M43" s="70">
        <f t="shared" si="5"/>
        <v>0</v>
      </c>
      <c r="N43" s="70">
        <f t="shared" si="6"/>
        <v>0</v>
      </c>
      <c r="O43" s="66">
        <f t="shared" si="19"/>
        <v>0</v>
      </c>
      <c r="P43" s="67">
        <f t="shared" si="7"/>
        <v>0</v>
      </c>
      <c r="Q43" s="67">
        <f t="shared" si="20"/>
        <v>49.069308604148389</v>
      </c>
      <c r="R43" s="71">
        <f t="shared" si="21"/>
        <v>1735.3387288189542</v>
      </c>
      <c r="S43" s="694">
        <f>IF(NOT(EXACT(A43, "MP Complete")), INDEX(MP_new!$A$4:$J$9, MATCH(Step5!A43 - 1, MP_new!$A$4:$A$9, 0), 7), S41)</f>
        <v>48544.957141362807</v>
      </c>
      <c r="T43" s="693">
        <f>IF(EXACT($Q$5, "Yes"), IF(NOT(EXACT(A43, "MP Complete")), INDEX(MP_new!$A$4:$J$9, MATCH(Step5!A43, MP_new!$A$4:$A$9, 0), 10), T41), 0)</f>
        <v>9000</v>
      </c>
      <c r="U43" s="82">
        <f>('NPV Summary'!$B$16-S43)+T43</f>
        <v>25864.882970329993</v>
      </c>
      <c r="V43" s="82">
        <f>LOOKUP(B43,Rates!$A$5:$B$168)</f>
        <v>3031.6121791831615</v>
      </c>
      <c r="W43" s="70">
        <f t="shared" si="8"/>
        <v>78.412294225999545</v>
      </c>
      <c r="X43" s="71">
        <f t="shared" si="25"/>
        <v>1397.4745282406871</v>
      </c>
      <c r="Y43" s="470">
        <f t="shared" si="26"/>
        <v>29.342985621851156</v>
      </c>
      <c r="Z43" s="470">
        <f t="shared" si="27"/>
        <v>-337.86420057826717</v>
      </c>
      <c r="AA43" s="466">
        <f>IF(SUM(AA$11:AA42)&gt;0,0,IF(SUM(X43-R43)&gt;0,B43,0))</f>
        <v>0</v>
      </c>
      <c r="AB43" s="471">
        <f>ABS(Z43)*1000000/SUM(U$12:U43)</f>
        <v>475.60210587263839</v>
      </c>
      <c r="AH43" s="52">
        <f t="shared" si="22"/>
        <v>2038</v>
      </c>
      <c r="AI43" s="53">
        <f>Rates!B36</f>
        <v>2054.5481966845578</v>
      </c>
      <c r="AK43" s="52">
        <f t="shared" si="23"/>
        <v>2038</v>
      </c>
      <c r="AL43" s="165">
        <f>Rates!E36</f>
        <v>3.5999999999999997E-2</v>
      </c>
      <c r="AM43" s="53">
        <f>Rates!F36</f>
        <v>2054.5481966845578</v>
      </c>
      <c r="AN43" s="54">
        <f>Rates!G36</f>
        <v>1614.2878688235812</v>
      </c>
      <c r="AP43" s="48">
        <f t="shared" si="9"/>
        <v>2049</v>
      </c>
      <c r="AQ43" s="78">
        <f t="shared" si="0"/>
        <v>0</v>
      </c>
      <c r="AS43" s="133">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5">
        <f t="shared" si="14"/>
        <v>2050</v>
      </c>
      <c r="C44" s="695">
        <v>0</v>
      </c>
      <c r="D44" s="695">
        <f>'Area Summary'!$G$44</f>
        <v>18.74066169157436</v>
      </c>
      <c r="E44" s="64">
        <f t="shared" si="15"/>
        <v>0.65700000000000003</v>
      </c>
      <c r="F44" s="64">
        <f t="shared" si="16"/>
        <v>0</v>
      </c>
      <c r="G44" s="84">
        <f t="shared" si="17"/>
        <v>48.258754752101666</v>
      </c>
      <c r="H44" s="65">
        <f t="shared" si="1"/>
        <v>2.3047945966776844</v>
      </c>
      <c r="I44" s="64">
        <f t="shared" si="2"/>
        <v>0</v>
      </c>
      <c r="J44" s="84">
        <f t="shared" si="3"/>
        <v>48.258754752101666</v>
      </c>
      <c r="K44" s="65">
        <f t="shared" si="18"/>
        <v>2.3047945966776844</v>
      </c>
      <c r="L44" s="64">
        <f t="shared" si="4"/>
        <v>0</v>
      </c>
      <c r="M44" s="72">
        <f t="shared" si="5"/>
        <v>0</v>
      </c>
      <c r="N44" s="72">
        <f t="shared" si="6"/>
        <v>0</v>
      </c>
      <c r="O44" s="64">
        <f t="shared" si="19"/>
        <v>0</v>
      </c>
      <c r="P44" s="84">
        <f t="shared" si="7"/>
        <v>0</v>
      </c>
      <c r="Q44" s="84">
        <f t="shared" si="20"/>
        <v>50.563549348779347</v>
      </c>
      <c r="R44" s="73">
        <f t="shared" si="21"/>
        <v>1785.9022781677336</v>
      </c>
      <c r="S44" s="694">
        <f>IF(NOT(EXACT(A44, "MP Complete")), INDEX(MP_new!$A$4:$J$9, MATCH(Step5!A44 - 1, MP_new!$A$4:$A$9, 0), 7), S42)</f>
        <v>48544.957141362807</v>
      </c>
      <c r="T44" s="693">
        <f>IF(EXACT($Q$5, "Yes"), IF(NOT(EXACT(A44, "MP Complete")), INDEX(MP_new!$A$4:$J$9, MATCH(Step5!A44, MP_new!$A$4:$A$9, 0), 10), T42), 0)</f>
        <v>9000</v>
      </c>
      <c r="U44" s="6">
        <f>('NPV Summary'!$B$16-S44)+T44</f>
        <v>25864.882970329993</v>
      </c>
      <c r="V44" s="6">
        <f>LOOKUP(B44,Rates!$A$5:$B$168)</f>
        <v>3140.7502176337553</v>
      </c>
      <c r="W44" s="72">
        <f t="shared" si="8"/>
        <v>81.23513681813553</v>
      </c>
      <c r="X44" s="73">
        <f t="shared" si="25"/>
        <v>1478.7096650588226</v>
      </c>
      <c r="Y44" s="20">
        <f t="shared" si="26"/>
        <v>30.671587469356183</v>
      </c>
      <c r="Z44" s="20">
        <f t="shared" si="27"/>
        <v>-307.19261310891102</v>
      </c>
      <c r="AA44" s="468">
        <f>IF(SUM(AA$11:AA43)&gt;0,0,IF(SUM(X44-R44)&gt;0,B44,0))</f>
        <v>0</v>
      </c>
      <c r="AB44" s="171">
        <f>ABS(Z44)*1000000/SUM(U$12:U44)</f>
        <v>417.23532083748358</v>
      </c>
      <c r="AH44" s="55">
        <f t="shared" si="22"/>
        <v>2039</v>
      </c>
      <c r="AI44" s="8">
        <f>Rates!B37</f>
        <v>2128.511931765202</v>
      </c>
      <c r="AK44" s="55">
        <f t="shared" si="23"/>
        <v>2039</v>
      </c>
      <c r="AL44" s="164">
        <f>Rates!E37</f>
        <v>3.5999999999999997E-2</v>
      </c>
      <c r="AM44" s="8">
        <f>Rates!F37</f>
        <v>2128.511931765202</v>
      </c>
      <c r="AN44" s="15">
        <f>Rates!G37</f>
        <v>1672.4022321012301</v>
      </c>
      <c r="AP44" s="16">
        <f t="shared" si="9"/>
        <v>2050</v>
      </c>
      <c r="AQ44" s="77">
        <f t="shared" si="0"/>
        <v>0</v>
      </c>
      <c r="AS44" s="136">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4">
        <f t="shared" si="14"/>
        <v>2051</v>
      </c>
      <c r="C45" s="695">
        <v>0</v>
      </c>
      <c r="D45" s="695">
        <f>'Area Summary'!$G$44</f>
        <v>18.74066169157436</v>
      </c>
      <c r="E45" s="66">
        <f t="shared" si="15"/>
        <v>0.65700000000000003</v>
      </c>
      <c r="F45" s="66">
        <f t="shared" si="16"/>
        <v>0</v>
      </c>
      <c r="G45" s="67">
        <f t="shared" si="17"/>
        <v>49.706517394664715</v>
      </c>
      <c r="H45" s="68">
        <f t="shared" si="1"/>
        <v>2.3969863805447917</v>
      </c>
      <c r="I45" s="66">
        <f t="shared" si="2"/>
        <v>0</v>
      </c>
      <c r="J45" s="67">
        <f t="shared" si="3"/>
        <v>49.706517394664715</v>
      </c>
      <c r="K45" s="68">
        <f t="shared" si="18"/>
        <v>2.3969863805447917</v>
      </c>
      <c r="L45" s="66">
        <f t="shared" si="4"/>
        <v>0</v>
      </c>
      <c r="M45" s="70">
        <f t="shared" si="5"/>
        <v>0</v>
      </c>
      <c r="N45" s="70">
        <f t="shared" si="6"/>
        <v>0</v>
      </c>
      <c r="O45" s="66">
        <f t="shared" si="19"/>
        <v>0</v>
      </c>
      <c r="P45" s="67">
        <f t="shared" si="7"/>
        <v>0</v>
      </c>
      <c r="Q45" s="67">
        <f t="shared" si="20"/>
        <v>52.103503775209504</v>
      </c>
      <c r="R45" s="71">
        <f t="shared" si="21"/>
        <v>1838.005781942943</v>
      </c>
      <c r="S45" s="694">
        <f>IF(NOT(EXACT(A45, "MP Complete")), INDEX(MP_new!$A$4:$J$9, MATCH(Step5!A45 - 1, MP_new!$A$4:$A$9, 0), 7), S43)</f>
        <v>48544.957141362807</v>
      </c>
      <c r="T45" s="693">
        <f>IF(EXACT($Q$5, "Yes"), IF(NOT(EXACT(A45, "MP Complete")), INDEX(MP_new!$A$4:$J$9, MATCH(Step5!A45, MP_new!$A$4:$A$9, 0), 10), T43), 0)</f>
        <v>9000</v>
      </c>
      <c r="U45" s="82">
        <f>('NPV Summary'!$B$16-S45)+T45</f>
        <v>25864.882970329993</v>
      </c>
      <c r="V45" s="82">
        <f>LOOKUP(B45,Rates!$A$5:$B$168)</f>
        <v>3253.8172254685705</v>
      </c>
      <c r="W45" s="70">
        <f t="shared" si="8"/>
        <v>84.159601743588411</v>
      </c>
      <c r="X45" s="71">
        <f t="shared" si="25"/>
        <v>1562.8692668024109</v>
      </c>
      <c r="Y45" s="470">
        <f t="shared" si="26"/>
        <v>32.056097968378907</v>
      </c>
      <c r="Z45" s="470">
        <f t="shared" si="27"/>
        <v>-275.13651514053208</v>
      </c>
      <c r="AA45" s="466">
        <f>IF(SUM(AA$11:AA44)&gt;0,0,IF(SUM(X45-R45)&gt;0,B45,0))</f>
        <v>0</v>
      </c>
      <c r="AB45" s="471">
        <f>ABS(Z45)*1000000/SUM(U$12:U45)</f>
        <v>361.01358464838995</v>
      </c>
      <c r="AH45" s="52">
        <f t="shared" si="22"/>
        <v>2040</v>
      </c>
      <c r="AI45" s="53">
        <f>Rates!B38</f>
        <v>2205.1383613087492</v>
      </c>
      <c r="AK45" s="52">
        <f t="shared" si="23"/>
        <v>2040</v>
      </c>
      <c r="AL45" s="165">
        <f>Rates!E38</f>
        <v>3.5999999999999997E-2</v>
      </c>
      <c r="AM45" s="53">
        <f>Rates!F38</f>
        <v>2205.1383613087492</v>
      </c>
      <c r="AN45" s="54">
        <f>Rates!G38</f>
        <v>1732.6087124568744</v>
      </c>
      <c r="AP45" s="48">
        <f t="shared" si="9"/>
        <v>2051</v>
      </c>
      <c r="AQ45" s="78">
        <f t="shared" si="0"/>
        <v>0</v>
      </c>
      <c r="AS45" s="133">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5">
        <f t="shared" si="14"/>
        <v>2052</v>
      </c>
      <c r="C46" s="695">
        <v>0</v>
      </c>
      <c r="D46" s="695">
        <f>'Area Summary'!$G$44</f>
        <v>18.74066169157436</v>
      </c>
      <c r="E46" s="64">
        <f t="shared" si="15"/>
        <v>0.65700000000000003</v>
      </c>
      <c r="F46" s="64">
        <f t="shared" si="16"/>
        <v>0</v>
      </c>
      <c r="G46" s="84">
        <f t="shared" si="17"/>
        <v>51.197712916504649</v>
      </c>
      <c r="H46" s="65">
        <f t="shared" si="1"/>
        <v>2.4928658357665836</v>
      </c>
      <c r="I46" s="64">
        <f t="shared" si="2"/>
        <v>0</v>
      </c>
      <c r="J46" s="84">
        <f t="shared" si="3"/>
        <v>51.197712916504649</v>
      </c>
      <c r="K46" s="65">
        <f t="shared" si="18"/>
        <v>2.4928658357665836</v>
      </c>
      <c r="L46" s="64">
        <f t="shared" si="4"/>
        <v>0</v>
      </c>
      <c r="M46" s="72">
        <f t="shared" si="5"/>
        <v>0</v>
      </c>
      <c r="N46" s="72">
        <f t="shared" si="6"/>
        <v>0</v>
      </c>
      <c r="O46" s="64">
        <f t="shared" si="19"/>
        <v>0</v>
      </c>
      <c r="P46" s="84">
        <f t="shared" si="7"/>
        <v>0</v>
      </c>
      <c r="Q46" s="84">
        <f t="shared" si="20"/>
        <v>53.690578752271236</v>
      </c>
      <c r="R46" s="73">
        <f t="shared" si="21"/>
        <v>1891.6963606952143</v>
      </c>
      <c r="S46" s="694">
        <f>IF(NOT(EXACT(A46, "MP Complete")), INDEX(MP_new!$A$4:$J$9, MATCH(Step5!A46 - 1, MP_new!$A$4:$A$9, 0), 7), S44)</f>
        <v>48544.957141362807</v>
      </c>
      <c r="T46" s="693">
        <f>IF(EXACT($Q$5, "Yes"), IF(NOT(EXACT(A46, "MP Complete")), INDEX(MP_new!$A$4:$J$9, MATCH(Step5!A46, MP_new!$A$4:$A$9, 0), 10), T44), 0)</f>
        <v>9000</v>
      </c>
      <c r="U46" s="6">
        <f>('NPV Summary'!$B$16-S46)+T46</f>
        <v>25864.882970329993</v>
      </c>
      <c r="V46" s="6">
        <f>LOOKUP(B46,Rates!$A$5:$B$168)</f>
        <v>3370.9546455854393</v>
      </c>
      <c r="W46" s="72">
        <f t="shared" si="8"/>
        <v>87.189347406357598</v>
      </c>
      <c r="X46" s="73">
        <f t="shared" si="25"/>
        <v>1650.0586142087686</v>
      </c>
      <c r="Y46" s="20">
        <f t="shared" si="26"/>
        <v>33.498768654086362</v>
      </c>
      <c r="Z46" s="20">
        <f t="shared" si="27"/>
        <v>-241.63774648644562</v>
      </c>
      <c r="AA46" s="465">
        <f>IF(SUM(AA$11:AA45)&gt;0,0,IF(SUM(X46-R46)&gt;0,B46,0))</f>
        <v>0</v>
      </c>
      <c r="AB46" s="171">
        <f>ABS(Z46)*1000000/SUM(U$12:U46)</f>
        <v>306.65186159103854</v>
      </c>
      <c r="AH46" s="55">
        <f t="shared" si="22"/>
        <v>2041</v>
      </c>
      <c r="AI46" s="8">
        <f>Rates!B39</f>
        <v>2284.5233423158643</v>
      </c>
      <c r="AK46" s="55">
        <f t="shared" si="23"/>
        <v>2041</v>
      </c>
      <c r="AL46" s="164">
        <f>Rates!E39</f>
        <v>3.5999999999999997E-2</v>
      </c>
      <c r="AM46" s="8">
        <f>Rates!F39</f>
        <v>2284.5233423158643</v>
      </c>
      <c r="AN46" s="15">
        <f>Rates!G39</f>
        <v>1794.982626105322</v>
      </c>
      <c r="AP46" s="16">
        <f t="shared" si="9"/>
        <v>2052</v>
      </c>
      <c r="AQ46" s="77">
        <f t="shared" si="0"/>
        <v>0</v>
      </c>
      <c r="AS46" s="136">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4">
        <f t="shared" si="14"/>
        <v>2053</v>
      </c>
      <c r="C47" s="695">
        <v>0</v>
      </c>
      <c r="D47" s="695">
        <f>'Area Summary'!$G$44</f>
        <v>18.74066169157436</v>
      </c>
      <c r="E47" s="66">
        <f t="shared" si="15"/>
        <v>0.65700000000000003</v>
      </c>
      <c r="F47" s="66">
        <f t="shared" si="16"/>
        <v>0</v>
      </c>
      <c r="G47" s="67">
        <f t="shared" si="17"/>
        <v>52.733644303999796</v>
      </c>
      <c r="H47" s="68">
        <f t="shared" si="1"/>
        <v>2.5925804691972472</v>
      </c>
      <c r="I47" s="66">
        <f t="shared" si="2"/>
        <v>0</v>
      </c>
      <c r="J47" s="67">
        <f t="shared" si="3"/>
        <v>52.733644303999796</v>
      </c>
      <c r="K47" s="68">
        <f t="shared" si="18"/>
        <v>2.5925804691972472</v>
      </c>
      <c r="L47" s="66">
        <f t="shared" si="4"/>
        <v>0</v>
      </c>
      <c r="M47" s="70">
        <f t="shared" si="5"/>
        <v>0</v>
      </c>
      <c r="N47" s="70">
        <f t="shared" si="6"/>
        <v>0</v>
      </c>
      <c r="O47" s="66">
        <f t="shared" si="19"/>
        <v>0</v>
      </c>
      <c r="P47" s="67">
        <f t="shared" si="7"/>
        <v>0</v>
      </c>
      <c r="Q47" s="67">
        <f t="shared" si="20"/>
        <v>55.32622477319704</v>
      </c>
      <c r="R47" s="71">
        <f t="shared" si="21"/>
        <v>1947.0225854684113</v>
      </c>
      <c r="S47" s="694">
        <f>IF(NOT(EXACT(A47, "MP Complete")), INDEX(MP_new!$A$4:$J$9, MATCH(Step5!A47 - 1, MP_new!$A$4:$A$9, 0), 7), S45)</f>
        <v>48544.957141362807</v>
      </c>
      <c r="T47" s="693">
        <f>IF(EXACT($Q$5, "Yes"), IF(NOT(EXACT(A47, "MP Complete")), INDEX(MP_new!$A$4:$J$9, MATCH(Step5!A47, MP_new!$A$4:$A$9, 0), 10), T45), 0)</f>
        <v>9000</v>
      </c>
      <c r="U47" s="82">
        <f>('NPV Summary'!$B$16-S47)+T47</f>
        <v>25864.882970329993</v>
      </c>
      <c r="V47" s="82">
        <f>LOOKUP(B47,Rates!$A$5:$B$168)</f>
        <v>3492.3090128265153</v>
      </c>
      <c r="W47" s="70">
        <f t="shared" si="8"/>
        <v>90.328163912986483</v>
      </c>
      <c r="X47" s="71">
        <f t="shared" si="25"/>
        <v>1740.386778121755</v>
      </c>
      <c r="Y47" s="470">
        <f t="shared" si="26"/>
        <v>35.001939139789442</v>
      </c>
      <c r="Z47" s="470">
        <f t="shared" si="27"/>
        <v>-206.63580734665629</v>
      </c>
      <c r="AA47" s="469">
        <f>IF(SUM(AA$11:AA46)&gt;0,0,IF(SUM(X47-R47)&gt;0,B47,0))</f>
        <v>0</v>
      </c>
      <c r="AB47" s="471">
        <f>ABS(Z47)*1000000/SUM(U$12:U47)</f>
        <v>253.89847588016787</v>
      </c>
      <c r="AC47">
        <f>R47*1000000/SUM(U$12:U47)</f>
        <v>2392.354322817675</v>
      </c>
      <c r="AH47" s="52">
        <f t="shared" si="22"/>
        <v>2042</v>
      </c>
      <c r="AI47" s="53">
        <f>Rates!B40</f>
        <v>2366.7661826392355</v>
      </c>
      <c r="AK47" s="52">
        <f t="shared" si="23"/>
        <v>2042</v>
      </c>
      <c r="AL47" s="165">
        <f>Rates!E40</f>
        <v>3.5999999999999997E-2</v>
      </c>
      <c r="AM47" s="53">
        <f>Rates!F40</f>
        <v>2366.7661826392355</v>
      </c>
      <c r="AN47" s="54">
        <f>Rates!G40</f>
        <v>1859.6020006451135</v>
      </c>
      <c r="AP47" s="48">
        <f t="shared" si="9"/>
        <v>2053</v>
      </c>
      <c r="AQ47" s="78">
        <f t="shared" si="0"/>
        <v>0</v>
      </c>
      <c r="AS47" s="133">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5">
        <f t="shared" si="14"/>
        <v>2054</v>
      </c>
      <c r="C48" s="695">
        <v>0</v>
      </c>
      <c r="D48" s="695">
        <f>'Area Summary'!$G$44</f>
        <v>18.74066169157436</v>
      </c>
      <c r="E48" s="64">
        <f t="shared" si="15"/>
        <v>0.65700000000000003</v>
      </c>
      <c r="F48" s="64">
        <f t="shared" si="16"/>
        <v>0</v>
      </c>
      <c r="G48" s="84">
        <f t="shared" si="17"/>
        <v>54.315653633119787</v>
      </c>
      <c r="H48" s="65">
        <f t="shared" si="1"/>
        <v>2.6962836879651366</v>
      </c>
      <c r="I48" s="64">
        <f t="shared" si="2"/>
        <v>0</v>
      </c>
      <c r="J48" s="84">
        <f t="shared" si="3"/>
        <v>54.315653633119787</v>
      </c>
      <c r="K48" s="65">
        <f t="shared" si="18"/>
        <v>2.6962836879651366</v>
      </c>
      <c r="L48" s="64">
        <f t="shared" si="4"/>
        <v>0</v>
      </c>
      <c r="M48" s="72">
        <f t="shared" si="5"/>
        <v>0</v>
      </c>
      <c r="N48" s="72">
        <f t="shared" si="6"/>
        <v>0</v>
      </c>
      <c r="O48" s="64">
        <f t="shared" si="19"/>
        <v>0</v>
      </c>
      <c r="P48" s="84">
        <f t="shared" si="7"/>
        <v>0</v>
      </c>
      <c r="Q48" s="84">
        <f t="shared" si="20"/>
        <v>57.011937321084922</v>
      </c>
      <c r="R48" s="73">
        <f t="shared" si="21"/>
        <v>2004.0345227894961</v>
      </c>
      <c r="S48" s="694">
        <f>IF(NOT(EXACT(A48, "MP Complete")), INDEX(MP_new!$A$4:$J$9, MATCH(Step5!A48 - 1, MP_new!$A$4:$A$9, 0), 7), S46)</f>
        <v>48544.957141362807</v>
      </c>
      <c r="T48" s="693">
        <f>IF(EXACT($Q$5, "Yes"), IF(NOT(EXACT(A48, "MP Complete")), INDEX(MP_new!$A$4:$J$9, MATCH(Step5!A48, MP_new!$A$4:$A$9, 0), 10), T46), 0)</f>
        <v>9000</v>
      </c>
      <c r="U48" s="6">
        <f>('NPV Summary'!$B$16-S48)+T48</f>
        <v>25864.882970329993</v>
      </c>
      <c r="V48" s="6">
        <f>LOOKUP(B48,Rates!$A$5:$B$168)</f>
        <v>3618.03213728827</v>
      </c>
      <c r="W48" s="72">
        <f t="shared" si="8"/>
        <v>93.579977813854001</v>
      </c>
      <c r="X48" s="73">
        <f t="shared" si="25"/>
        <v>1833.9667559356089</v>
      </c>
      <c r="Y48" s="20">
        <f t="shared" si="26"/>
        <v>36.568040492769079</v>
      </c>
      <c r="Z48" s="20">
        <f t="shared" si="27"/>
        <v>-170.06776685388718</v>
      </c>
      <c r="AA48" s="468">
        <f>IF(SUM(AA$11:AA47)&gt;0,0,IF(SUM(X48-R48)&gt;0,B48,0))</f>
        <v>0</v>
      </c>
      <c r="AB48" s="171">
        <f>ABS(Z48)*1000000/SUM(U$12:U48)</f>
        <v>202.52986500221931</v>
      </c>
      <c r="AH48" s="55">
        <f t="shared" si="22"/>
        <v>2043</v>
      </c>
      <c r="AI48" s="8">
        <f>Rates!B41</f>
        <v>2451.9697652142481</v>
      </c>
      <c r="AK48" s="55">
        <f t="shared" si="23"/>
        <v>2043</v>
      </c>
      <c r="AL48" s="164">
        <f>Rates!E41</f>
        <v>3.5999999999999997E-2</v>
      </c>
      <c r="AM48" s="8">
        <f>Rates!F41</f>
        <v>2451.9697652142481</v>
      </c>
      <c r="AN48" s="15">
        <f>Rates!G41</f>
        <v>1926.5476726683378</v>
      </c>
      <c r="AP48" s="16">
        <f t="shared" si="9"/>
        <v>2054</v>
      </c>
      <c r="AQ48" s="77">
        <f t="shared" si="0"/>
        <v>0</v>
      </c>
      <c r="AS48" s="136">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4">
        <f t="shared" si="14"/>
        <v>2055</v>
      </c>
      <c r="C49" s="695">
        <v>0</v>
      </c>
      <c r="D49" s="695">
        <f>'Area Summary'!$G$44</f>
        <v>18.74066169157436</v>
      </c>
      <c r="E49" s="66">
        <f t="shared" si="15"/>
        <v>0.65700000000000003</v>
      </c>
      <c r="F49" s="66">
        <f t="shared" si="16"/>
        <v>0</v>
      </c>
      <c r="G49" s="67">
        <f t="shared" si="17"/>
        <v>55.945123242113375</v>
      </c>
      <c r="H49" s="68">
        <f t="shared" si="1"/>
        <v>2.8041350354837431</v>
      </c>
      <c r="I49" s="66">
        <f t="shared" si="2"/>
        <v>0</v>
      </c>
      <c r="J49" s="67">
        <f t="shared" si="3"/>
        <v>55.945123242113375</v>
      </c>
      <c r="K49" s="68">
        <f t="shared" si="18"/>
        <v>2.8041350354837431</v>
      </c>
      <c r="L49" s="66">
        <f t="shared" si="4"/>
        <v>0</v>
      </c>
      <c r="M49" s="70">
        <f t="shared" si="5"/>
        <v>0</v>
      </c>
      <c r="N49" s="70">
        <f t="shared" si="6"/>
        <v>0</v>
      </c>
      <c r="O49" s="66">
        <f t="shared" si="19"/>
        <v>0</v>
      </c>
      <c r="P49" s="67">
        <f t="shared" si="7"/>
        <v>0</v>
      </c>
      <c r="Q49" s="67">
        <f t="shared" si="20"/>
        <v>58.749258277597121</v>
      </c>
      <c r="R49" s="71">
        <f t="shared" si="21"/>
        <v>2062.7837810670931</v>
      </c>
      <c r="S49" s="694">
        <f>IF(NOT(EXACT(A49, "MP Complete")), INDEX(MP_new!$A$4:$J$9, MATCH(Step5!A49 - 1, MP_new!$A$4:$A$9, 0), 7), S47)</f>
        <v>48544.957141362807</v>
      </c>
      <c r="T49" s="693">
        <f>IF(EXACT($Q$5, "Yes"), IF(NOT(EXACT(A49, "MP Complete")), INDEX(MP_new!$A$4:$J$9, MATCH(Step5!A49, MP_new!$A$4:$A$9, 0), 10), T47), 0)</f>
        <v>9000</v>
      </c>
      <c r="U49" s="82">
        <f>('NPV Summary'!$B$16-S49)+T49</f>
        <v>25864.882970329993</v>
      </c>
      <c r="V49" s="82">
        <f>LOOKUP(B49,Rates!$A$5:$B$168)</f>
        <v>3748.2812942306477</v>
      </c>
      <c r="W49" s="70">
        <f t="shared" si="8"/>
        <v>96.948857015152754</v>
      </c>
      <c r="X49" s="71">
        <f t="shared" si="25"/>
        <v>1930.9156129507617</v>
      </c>
      <c r="Y49" s="470">
        <f t="shared" si="26"/>
        <v>38.199598737555633</v>
      </c>
      <c r="Z49" s="470">
        <f t="shared" si="27"/>
        <v>-131.86816811633139</v>
      </c>
      <c r="AA49" s="466">
        <f>IF(SUM(AA$11:AA48)&gt;0,0,IF(SUM(X49-R49)&gt;0,B49,0))</f>
        <v>0</v>
      </c>
      <c r="AB49" s="471">
        <f>ABS(Z49)*1000000/SUM(U$12:U49)</f>
        <v>152.34626967856849</v>
      </c>
      <c r="AH49" s="52">
        <f t="shared" si="22"/>
        <v>2044</v>
      </c>
      <c r="AI49" s="53">
        <f>Rates!B42</f>
        <v>2540.2406767619609</v>
      </c>
      <c r="AK49" s="52">
        <f t="shared" si="23"/>
        <v>2044</v>
      </c>
      <c r="AL49" s="165">
        <f>Rates!E42</f>
        <v>3.5999999999999997E-2</v>
      </c>
      <c r="AM49" s="53">
        <f>Rates!F42</f>
        <v>2540.2406767619609</v>
      </c>
      <c r="AN49" s="54">
        <f>Rates!G42</f>
        <v>1995.9033888843981</v>
      </c>
      <c r="AP49" s="48">
        <f t="shared" si="9"/>
        <v>2055</v>
      </c>
      <c r="AQ49" s="78">
        <f t="shared" si="0"/>
        <v>0</v>
      </c>
      <c r="AS49" s="133">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5">
        <f>B49+1</f>
        <v>2056</v>
      </c>
      <c r="C50" s="695">
        <v>0</v>
      </c>
      <c r="D50" s="695">
        <f>'Area Summary'!$G$44</f>
        <v>18.74066169157436</v>
      </c>
      <c r="E50" s="64">
        <f t="shared" si="15"/>
        <v>0.65700000000000003</v>
      </c>
      <c r="F50" s="64">
        <f t="shared" si="16"/>
        <v>0</v>
      </c>
      <c r="G50" s="84">
        <f t="shared" si="17"/>
        <v>57.623476939376772</v>
      </c>
      <c r="H50" s="65">
        <f t="shared" si="1"/>
        <v>2.916300436903092</v>
      </c>
      <c r="I50" s="64">
        <f t="shared" si="2"/>
        <v>0</v>
      </c>
      <c r="J50" s="84">
        <f t="shared" si="3"/>
        <v>57.623476939376772</v>
      </c>
      <c r="K50" s="65">
        <f t="shared" si="18"/>
        <v>2.916300436903092</v>
      </c>
      <c r="L50" s="64">
        <f t="shared" si="4"/>
        <v>0</v>
      </c>
      <c r="M50" s="72">
        <f t="shared" si="5"/>
        <v>0</v>
      </c>
      <c r="N50" s="72">
        <f t="shared" si="6"/>
        <v>0</v>
      </c>
      <c r="O50" s="64">
        <f>IF($L$5="Yes", IF( U50&gt;U49, (U50-U49)*$M$5/1000000,0),0)</f>
        <v>0</v>
      </c>
      <c r="P50" s="84">
        <f t="shared" si="7"/>
        <v>0</v>
      </c>
      <c r="Q50" s="84">
        <f t="shared" si="20"/>
        <v>60.539777376279865</v>
      </c>
      <c r="R50" s="73">
        <f>R49+Q50</f>
        <v>2123.3235584433728</v>
      </c>
      <c r="S50" s="694">
        <f>IF(NOT(EXACT(A50, "MP Complete")), INDEX(MP_new!$A$4:$J$9, MATCH(Step5!A50 - 1, MP_new!$A$4:$A$9, 0), 7), S48)</f>
        <v>48544.957141362807</v>
      </c>
      <c r="T50" s="693">
        <f>IF(EXACT($Q$5, "Yes"), IF(NOT(EXACT(A50, "MP Complete")), INDEX(MP_new!$A$4:$J$9, MATCH(Step5!A50, MP_new!$A$4:$A$9, 0), 10), T48), 0)</f>
        <v>9000</v>
      </c>
      <c r="U50" s="6">
        <f>('NPV Summary'!$B$16-S50)+T50</f>
        <v>25864.882970329993</v>
      </c>
      <c r="V50" s="6">
        <f>LOOKUP(B50,Rates!$A$5:$B$168)</f>
        <v>3883.2194208229512</v>
      </c>
      <c r="W50" s="72">
        <f t="shared" si="8"/>
        <v>100.43901586769825</v>
      </c>
      <c r="X50" s="73">
        <f>X49+W50</f>
        <v>2031.35462881846</v>
      </c>
      <c r="Y50" s="20">
        <f t="shared" si="26"/>
        <v>39.89923849141838</v>
      </c>
      <c r="Z50" s="20">
        <f t="shared" si="27"/>
        <v>-91.968929624912789</v>
      </c>
      <c r="AA50" s="465">
        <f>IF(SUM(AA$11:AA49)&gt;0,0,IF(SUM(X50-R50)&gt;0,B50,0))</f>
        <v>0</v>
      </c>
      <c r="AB50" s="171">
        <f>ABS(Z50)*1000000/SUM(U$12:U50)</f>
        <v>103.16817007197425</v>
      </c>
      <c r="AH50" s="55">
        <f>AH49+1</f>
        <v>2045</v>
      </c>
      <c r="AI50" s="8">
        <f>Rates!B43</f>
        <v>2631.6893411253914</v>
      </c>
      <c r="AK50" s="55">
        <f>AK49+1</f>
        <v>2045</v>
      </c>
      <c r="AL50" s="164">
        <f>Rates!E43</f>
        <v>3.5999999999999997E-2</v>
      </c>
      <c r="AM50" s="8">
        <f>Rates!F43</f>
        <v>2631.6893411253914</v>
      </c>
      <c r="AN50" s="15">
        <f>Rates!G43</f>
        <v>2067.7559108842365</v>
      </c>
      <c r="AP50" s="16">
        <f t="shared" si="9"/>
        <v>2056</v>
      </c>
      <c r="AQ50" s="77">
        <f t="shared" si="0"/>
        <v>0</v>
      </c>
      <c r="AS50" s="136">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4">
        <f t="shared" si="14"/>
        <v>2057</v>
      </c>
      <c r="C51" s="695">
        <v>0</v>
      </c>
      <c r="D51" s="695">
        <f>'Area Summary'!$G$44</f>
        <v>18.74066169157436</v>
      </c>
      <c r="E51" s="66">
        <f t="shared" si="15"/>
        <v>0.65700000000000003</v>
      </c>
      <c r="F51" s="66">
        <f t="shared" si="16"/>
        <v>0</v>
      </c>
      <c r="G51" s="67">
        <f t="shared" si="17"/>
        <v>59.352181247558086</v>
      </c>
      <c r="H51" s="68">
        <f t="shared" si="1"/>
        <v>3.0329524543792159</v>
      </c>
      <c r="I51" s="66">
        <f t="shared" si="2"/>
        <v>0</v>
      </c>
      <c r="J51" s="67">
        <f t="shared" si="3"/>
        <v>59.352181247558086</v>
      </c>
      <c r="K51" s="68">
        <f t="shared" si="18"/>
        <v>3.0329524543792159</v>
      </c>
      <c r="L51" s="66">
        <f t="shared" si="4"/>
        <v>0</v>
      </c>
      <c r="M51" s="70">
        <f t="shared" si="5"/>
        <v>0</v>
      </c>
      <c r="N51" s="70">
        <f t="shared" si="6"/>
        <v>0</v>
      </c>
      <c r="O51" s="66">
        <f t="shared" si="19"/>
        <v>0</v>
      </c>
      <c r="P51" s="67">
        <f t="shared" si="7"/>
        <v>0</v>
      </c>
      <c r="Q51" s="67">
        <f t="shared" si="20"/>
        <v>62.385133701937299</v>
      </c>
      <c r="R51" s="71">
        <f t="shared" si="21"/>
        <v>2185.7086921453101</v>
      </c>
      <c r="S51" s="694">
        <f>IF(NOT(EXACT(A51, "MP Complete")), INDEX(MP_new!$A$4:$J$9, MATCH(Step5!A51 - 1, MP_new!$A$4:$A$9, 0), 7), S49)</f>
        <v>48544.957141362807</v>
      </c>
      <c r="T51" s="693">
        <f>IF(EXACT($Q$5, "Yes"), IF(NOT(EXACT(A51, "MP Complete")), INDEX(MP_new!$A$4:$J$9, MATCH(Step5!A51, MP_new!$A$4:$A$9, 0), 10), T49), 0)</f>
        <v>9000</v>
      </c>
      <c r="U51" s="82">
        <f>('NPV Summary'!$B$16-S51)+T51</f>
        <v>25864.882970329993</v>
      </c>
      <c r="V51" s="82">
        <f>LOOKUP(B51,Rates!$A$5:$B$168)</f>
        <v>4023.0153199725773</v>
      </c>
      <c r="W51" s="70">
        <f t="shared" si="8"/>
        <v>104.05482043893538</v>
      </c>
      <c r="X51" s="74">
        <f t="shared" si="25"/>
        <v>2135.4094492573954</v>
      </c>
      <c r="Y51" s="470">
        <f t="shared" si="26"/>
        <v>41.669686736998081</v>
      </c>
      <c r="Z51" s="470">
        <f t="shared" si="27"/>
        <v>-50.299242887914716</v>
      </c>
      <c r="AA51" s="466">
        <f>IF(SUM(AA$11:AA50)&gt;0,0,IF(SUM(X51-R51)&gt;0,B51,0))</f>
        <v>0</v>
      </c>
      <c r="AB51" s="471">
        <f>ABS(Z51)*1000000/SUM(U$12:U51)</f>
        <v>54.833320797151259</v>
      </c>
      <c r="AH51" s="52">
        <f t="shared" si="22"/>
        <v>2046</v>
      </c>
      <c r="AI51" s="53">
        <f>Rates!B44</f>
        <v>2726.4301574059054</v>
      </c>
      <c r="AK51" s="52">
        <f t="shared" si="23"/>
        <v>2046</v>
      </c>
      <c r="AL51" s="165">
        <f>Rates!E44</f>
        <v>3.5999999999999997E-2</v>
      </c>
      <c r="AM51" s="53">
        <f>Rates!F44</f>
        <v>2726.4301574059054</v>
      </c>
      <c r="AN51" s="54">
        <f>Rates!G44</f>
        <v>2142.1951236760692</v>
      </c>
      <c r="AP51" s="48">
        <f t="shared" si="9"/>
        <v>2057</v>
      </c>
      <c r="AQ51" s="78">
        <f t="shared" si="0"/>
        <v>0</v>
      </c>
      <c r="AS51" s="133">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5">
        <f t="shared" si="14"/>
        <v>2058</v>
      </c>
      <c r="C52" s="695">
        <v>0</v>
      </c>
      <c r="D52" s="695">
        <f>'Area Summary'!$G$44</f>
        <v>18.74066169157436</v>
      </c>
      <c r="E52" s="64">
        <f t="shared" si="15"/>
        <v>0.65700000000000003</v>
      </c>
      <c r="F52" s="64">
        <f t="shared" si="16"/>
        <v>0</v>
      </c>
      <c r="G52" s="84">
        <f t="shared" si="17"/>
        <v>61.132746684984816</v>
      </c>
      <c r="H52" s="65">
        <f t="shared" si="1"/>
        <v>3.1542705525543853</v>
      </c>
      <c r="I52" s="64">
        <f t="shared" si="2"/>
        <v>0</v>
      </c>
      <c r="J52" s="84">
        <f t="shared" si="3"/>
        <v>61.132746684984816</v>
      </c>
      <c r="K52" s="65">
        <f t="shared" si="18"/>
        <v>3.1542705525543853</v>
      </c>
      <c r="L52" s="64">
        <f t="shared" si="4"/>
        <v>0</v>
      </c>
      <c r="M52" s="72">
        <f t="shared" si="5"/>
        <v>0</v>
      </c>
      <c r="N52" s="72">
        <f t="shared" si="6"/>
        <v>0</v>
      </c>
      <c r="O52" s="64">
        <f t="shared" si="19"/>
        <v>0</v>
      </c>
      <c r="P52" s="84">
        <f t="shared" si="7"/>
        <v>0</v>
      </c>
      <c r="Q52" s="84">
        <f t="shared" si="20"/>
        <v>64.287017237539203</v>
      </c>
      <c r="R52" s="73">
        <f t="shared" si="21"/>
        <v>2249.9957093828493</v>
      </c>
      <c r="S52" s="694">
        <f>IF(NOT(EXACT(A52, "MP Complete")), INDEX(MP_new!$A$4:$J$9, MATCH(Step5!A52 - 1, MP_new!$A$4:$A$9, 0), 7), S50)</f>
        <v>48544.957141362807</v>
      </c>
      <c r="T52" s="693">
        <f>IF(EXACT($Q$5, "Yes"), IF(NOT(EXACT(A52, "MP Complete")), INDEX(MP_new!$A$4:$J$9, MATCH(Step5!A52, MP_new!$A$4:$A$9, 0), 10), T50), 0)</f>
        <v>9000</v>
      </c>
      <c r="U52" s="6">
        <f>('NPV Summary'!$B$16-S52)+T52</f>
        <v>25864.882970329993</v>
      </c>
      <c r="V52" s="6">
        <f>LOOKUP(B52,Rates!$A$5:$B$168)</f>
        <v>4167.8438714915901</v>
      </c>
      <c r="W52" s="72">
        <f t="shared" si="8"/>
        <v>107.80079397473705</v>
      </c>
      <c r="X52" s="73">
        <f t="shared" si="25"/>
        <v>2243.2102432321326</v>
      </c>
      <c r="Y52" s="20">
        <f t="shared" si="26"/>
        <v>43.513776737197844</v>
      </c>
      <c r="Z52" s="20">
        <f t="shared" si="27"/>
        <v>-6.7854661507167293</v>
      </c>
      <c r="AA52" s="465">
        <f>IF(SUM(AA$11:AA51)&gt;0,0,IF(SUM(X52-R52)&gt;0,B52,0))</f>
        <v>0</v>
      </c>
      <c r="AB52" s="171">
        <f>ABS(Z52)*1000000/SUM(U$12:U52)</f>
        <v>7.1942696369151964</v>
      </c>
      <c r="AH52" s="55">
        <f t="shared" si="22"/>
        <v>2047</v>
      </c>
      <c r="AI52" s="8">
        <f>Rates!B45</f>
        <v>2824.5816430725181</v>
      </c>
      <c r="AK52" s="55">
        <f t="shared" si="23"/>
        <v>2047</v>
      </c>
      <c r="AL52" s="164">
        <f>Rates!E45</f>
        <v>3.5999999999999997E-2</v>
      </c>
      <c r="AM52" s="8">
        <f>Rates!F45</f>
        <v>2824.5816430725181</v>
      </c>
      <c r="AN52" s="15">
        <f>Rates!G45</f>
        <v>2219.3141481284079</v>
      </c>
      <c r="AP52" s="16">
        <f t="shared" si="9"/>
        <v>2058</v>
      </c>
      <c r="AQ52" s="77">
        <f t="shared" si="0"/>
        <v>0</v>
      </c>
      <c r="AS52" s="136">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4">
        <f t="shared" si="14"/>
        <v>2059</v>
      </c>
      <c r="C53" s="695">
        <v>0</v>
      </c>
      <c r="D53" s="695">
        <f>'Area Summary'!$G$44</f>
        <v>18.74066169157436</v>
      </c>
      <c r="E53" s="66">
        <f t="shared" si="15"/>
        <v>0.65700000000000003</v>
      </c>
      <c r="F53" s="66">
        <f t="shared" si="16"/>
        <v>0</v>
      </c>
      <c r="G53" s="67">
        <f t="shared" si="17"/>
        <v>62.966729085534368</v>
      </c>
      <c r="H53" s="68">
        <f t="shared" si="1"/>
        <v>3.2804413746565606</v>
      </c>
      <c r="I53" s="66">
        <f t="shared" si="2"/>
        <v>0</v>
      </c>
      <c r="J53" s="67">
        <f t="shared" si="3"/>
        <v>62.966729085534368</v>
      </c>
      <c r="K53" s="68">
        <f t="shared" si="18"/>
        <v>3.2804413746565606</v>
      </c>
      <c r="L53" s="66">
        <f t="shared" si="4"/>
        <v>0</v>
      </c>
      <c r="M53" s="70">
        <f t="shared" si="5"/>
        <v>0</v>
      </c>
      <c r="N53" s="70">
        <f t="shared" si="6"/>
        <v>0</v>
      </c>
      <c r="O53" s="66">
        <f t="shared" si="19"/>
        <v>0</v>
      </c>
      <c r="P53" s="67">
        <f t="shared" si="7"/>
        <v>0</v>
      </c>
      <c r="Q53" s="67">
        <f t="shared" si="20"/>
        <v>66.247170460190929</v>
      </c>
      <c r="R53" s="71">
        <f t="shared" si="21"/>
        <v>2316.2428798430401</v>
      </c>
      <c r="S53" s="694">
        <f>IF(NOT(EXACT(A53, "MP Complete")), INDEX(MP_new!$A$4:$J$9, MATCH(Step5!A53 - 1, MP_new!$A$4:$A$9, 0), 7), S51)</f>
        <v>48544.957141362807</v>
      </c>
      <c r="T53" s="693">
        <f>IF(EXACT($Q$5, "Yes"), IF(NOT(EXACT(A53, "MP Complete")), INDEX(MP_new!$A$4:$J$9, MATCH(Step5!A53, MP_new!$A$4:$A$9, 0), 10), T51), 0)</f>
        <v>9000</v>
      </c>
      <c r="U53" s="82">
        <f>('NPV Summary'!$B$16-S53)+T53</f>
        <v>25864.882970329993</v>
      </c>
      <c r="V53" s="82">
        <f>LOOKUP(B53,Rates!$A$5:$B$168)</f>
        <v>4317.8862508652874</v>
      </c>
      <c r="W53" s="70">
        <f t="shared" si="8"/>
        <v>111.68162255782759</v>
      </c>
      <c r="X53" s="71">
        <f t="shared" si="25"/>
        <v>2354.8918657899603</v>
      </c>
      <c r="Y53" s="470">
        <f t="shared" si="26"/>
        <v>45.434452097636665</v>
      </c>
      <c r="Z53" s="470">
        <f t="shared" si="27"/>
        <v>38.64898594692022</v>
      </c>
      <c r="AA53" s="474">
        <f>IF(SUM(AA$11:AA52)&gt;0,0,IF(SUM(X53-R53)&gt;0,B53,0))</f>
        <v>2059</v>
      </c>
      <c r="AB53" s="471">
        <f>ABS(Z53)*1000000/SUM(U$12:U53)</f>
        <v>39.883730563166978</v>
      </c>
      <c r="AH53" s="52">
        <f t="shared" si="22"/>
        <v>2048</v>
      </c>
      <c r="AI53" s="53">
        <f>Rates!B46</f>
        <v>2926.2665822231288</v>
      </c>
      <c r="AK53" s="52">
        <f t="shared" si="23"/>
        <v>2048</v>
      </c>
      <c r="AL53" s="165">
        <f>Rates!E46</f>
        <v>3.5999999999999997E-2</v>
      </c>
      <c r="AM53" s="53">
        <f>Rates!F46</f>
        <v>2926.2665822231288</v>
      </c>
      <c r="AN53" s="54">
        <f>Rates!G46</f>
        <v>2299.2094574610305</v>
      </c>
      <c r="AP53" s="48">
        <f t="shared" si="9"/>
        <v>2059</v>
      </c>
      <c r="AQ53" s="78">
        <f t="shared" si="0"/>
        <v>0</v>
      </c>
      <c r="AS53" s="133">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5">
        <f>B53+1</f>
        <v>2060</v>
      </c>
      <c r="C54" s="695">
        <v>0</v>
      </c>
      <c r="D54" s="695">
        <f>'Area Summary'!$G$44</f>
        <v>18.74066169157436</v>
      </c>
      <c r="E54" s="64">
        <f t="shared" si="15"/>
        <v>0.65700000000000003</v>
      </c>
      <c r="F54" s="64">
        <f t="shared" si="16"/>
        <v>0</v>
      </c>
      <c r="G54" s="84">
        <f t="shared" si="17"/>
        <v>64.855730958100409</v>
      </c>
      <c r="H54" s="65">
        <f t="shared" si="1"/>
        <v>3.4116590296428231</v>
      </c>
      <c r="I54" s="64">
        <f t="shared" si="2"/>
        <v>0</v>
      </c>
      <c r="J54" s="84">
        <f t="shared" si="3"/>
        <v>64.855730958100409</v>
      </c>
      <c r="K54" s="65">
        <f t="shared" si="18"/>
        <v>3.4116590296428231</v>
      </c>
      <c r="L54" s="64">
        <f t="shared" si="4"/>
        <v>0</v>
      </c>
      <c r="M54" s="72">
        <f t="shared" si="5"/>
        <v>0</v>
      </c>
      <c r="N54" s="72">
        <f t="shared" si="6"/>
        <v>0</v>
      </c>
      <c r="O54" s="64">
        <f>IF($L$5="Yes", IF( U54&gt;U53, (U54-U53)*$M$5/1000000,0),0)</f>
        <v>0</v>
      </c>
      <c r="P54" s="84">
        <f t="shared" si="7"/>
        <v>0</v>
      </c>
      <c r="Q54" s="84">
        <f t="shared" si="20"/>
        <v>68.267389987743229</v>
      </c>
      <c r="R54" s="73">
        <f>R53+Q54</f>
        <v>2384.5102698307833</v>
      </c>
      <c r="S54" s="694">
        <f>IF(NOT(EXACT(A54, "MP Complete")), INDEX(MP_new!$A$4:$J$9, MATCH(Step5!A54 - 1, MP_new!$A$4:$A$9, 0), 7), S52)</f>
        <v>48544.957141362807</v>
      </c>
      <c r="T54" s="693">
        <f>IF(EXACT($Q$5, "Yes"), IF(NOT(EXACT(A54, "MP Complete")), INDEX(MP_new!$A$4:$J$9, MATCH(Step5!A54, MP_new!$A$4:$A$9, 0), 10), T52), 0)</f>
        <v>9000</v>
      </c>
      <c r="U54" s="6">
        <f>('NPV Summary'!$B$16-S54)+T54</f>
        <v>25864.882970329993</v>
      </c>
      <c r="V54" s="6">
        <f>LOOKUP(B54,Rates!$A$5:$B$168)</f>
        <v>4473.3301558964376</v>
      </c>
      <c r="W54" s="72">
        <f t="shared" si="8"/>
        <v>115.70216096990939</v>
      </c>
      <c r="X54" s="73">
        <f>X53+W54</f>
        <v>2470.5940267598698</v>
      </c>
      <c r="Y54" s="20">
        <f>W54-Q54</f>
        <v>47.434770982166157</v>
      </c>
      <c r="Z54" s="20">
        <f>X54-R54</f>
        <v>86.083756929086576</v>
      </c>
      <c r="AA54" s="467">
        <f>IF(SUM(AA$11:AA53)&gt;0,0,IF(SUM(X54-R54)&gt;0,B54,0))</f>
        <v>0</v>
      </c>
      <c r="AB54" s="171">
        <f>ABS(Z54)*1000000/SUM(U$12:U54)</f>
        <v>86.524488526544957</v>
      </c>
      <c r="AH54" s="55">
        <f>AH53+1</f>
        <v>2049</v>
      </c>
      <c r="AI54" s="8">
        <f>Rates!B47</f>
        <v>3031.6121791831615</v>
      </c>
      <c r="AK54" s="55">
        <f>AK53+1</f>
        <v>2049</v>
      </c>
      <c r="AL54" s="164">
        <f>Rates!E47</f>
        <v>3.5999999999999997E-2</v>
      </c>
      <c r="AM54" s="8">
        <f>Rates!F47</f>
        <v>3031.6121791831615</v>
      </c>
      <c r="AN54" s="15">
        <f>Rates!G47</f>
        <v>2381.9809979296278</v>
      </c>
      <c r="AP54" s="16">
        <f t="shared" si="9"/>
        <v>2060</v>
      </c>
      <c r="AQ54" s="77">
        <f t="shared" si="0"/>
        <v>0</v>
      </c>
      <c r="AS54" s="136">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53" t="s">
        <v>118</v>
      </c>
      <c r="Q55" s="166">
        <f>NPV($E$5,Q12:Q54)*(1+$E$5)^($D$5-($C$5-1))</f>
        <v>1195.2533212901094</v>
      </c>
      <c r="V55" s="153" t="s">
        <v>119</v>
      </c>
      <c r="W55" s="167">
        <f>NPV($E$5,W12:W54)*(1+$E$5)^($D$5-($C$5-1))</f>
        <v>922.31836795913887</v>
      </c>
      <c r="X55" s="61" t="s">
        <v>30</v>
      </c>
      <c r="Y55" s="62">
        <f>IFERROR(IRR(Y12:Y54), 0)</f>
        <v>5.053862607588222E-3</v>
      </c>
      <c r="AA55" s="475" t="s">
        <v>535</v>
      </c>
      <c r="AB55" s="476">
        <f>R54*1000000/SUM(U$12:U54)</f>
        <v>2396.7184849211649</v>
      </c>
      <c r="AH55" s="55">
        <f t="shared" ref="AH55:AH62" si="38">AH54+1</f>
        <v>2050</v>
      </c>
      <c r="AI55" s="8">
        <f>Rates!B48</f>
        <v>3140.7502176337553</v>
      </c>
      <c r="AK55" s="55">
        <f t="shared" ref="AK55:AK62" si="39">AK54+1</f>
        <v>2050</v>
      </c>
      <c r="AL55" s="164">
        <f>Rates!E48</f>
        <v>3.5999999999999997E-2</v>
      </c>
      <c r="AM55" s="8">
        <f>Rates!F48</f>
        <v>3140.7502176337553</v>
      </c>
      <c r="AN55" s="15">
        <f>Rates!G48</f>
        <v>2467.7323138550946</v>
      </c>
    </row>
    <row r="56" spans="1:61" x14ac:dyDescent="0.25">
      <c r="A56" s="622" t="s">
        <v>120</v>
      </c>
      <c r="B56" s="622"/>
      <c r="C56" s="622"/>
      <c r="D56" s="622"/>
      <c r="E56" s="622"/>
      <c r="F56" s="622"/>
      <c r="G56" s="622"/>
      <c r="H56" s="622"/>
      <c r="I56" s="622"/>
      <c r="J56" s="622"/>
      <c r="K56" s="622"/>
      <c r="AH56" s="55">
        <f t="shared" si="38"/>
        <v>2051</v>
      </c>
      <c r="AI56" s="8">
        <f>Rates!B49</f>
        <v>3253.8172254685705</v>
      </c>
      <c r="AK56" s="55">
        <f t="shared" si="39"/>
        <v>2051</v>
      </c>
      <c r="AL56" s="164">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64">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64">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64">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64">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64">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64">
        <f>Rates!E55</f>
        <v>3.5999999999999997E-2</v>
      </c>
      <c r="AM62" s="8">
        <f>Rates!F55</f>
        <v>4023.0153199725773</v>
      </c>
      <c r="AN62" s="15">
        <f>Rates!G55</f>
        <v>3160.9406085498831</v>
      </c>
    </row>
    <row r="63" spans="1:61" x14ac:dyDescent="0.25">
      <c r="AH63" s="55">
        <f>AH62+1</f>
        <v>2058</v>
      </c>
      <c r="AI63" s="8">
        <f>Rates!B56</f>
        <v>4167.8438714915901</v>
      </c>
      <c r="AK63" s="55">
        <f>AK62+1</f>
        <v>2058</v>
      </c>
      <c r="AL63" s="164">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64">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64">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D3:E3"/>
    <mergeCell ref="F3:H3"/>
    <mergeCell ref="I3:K3"/>
    <mergeCell ref="L3:N3"/>
    <mergeCell ref="O3:P3"/>
    <mergeCell ref="B2:R2"/>
    <mergeCell ref="Q3:R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zoomScaleNormal="100" workbookViewId="0">
      <selection activeCell="J25" sqref="J25"/>
    </sheetView>
    <sheetView workbookViewId="1"/>
  </sheetViews>
  <sheetFormatPr defaultColWidth="8.85546875" defaultRowHeight="15" x14ac:dyDescent="0.25"/>
  <cols>
    <col min="1" max="1" width="16" style="174" customWidth="1"/>
    <col min="2" max="4" width="9.28515625" style="174" customWidth="1"/>
    <col min="5" max="6" width="14.42578125" style="174" customWidth="1"/>
    <col min="7" max="7" width="14" style="174" customWidth="1"/>
    <col min="8" max="8" width="16" style="409" customWidth="1"/>
    <col min="9" max="11" width="16" style="174" customWidth="1"/>
    <col min="12" max="13" width="27.7109375" style="174" customWidth="1"/>
    <col min="14" max="14" width="10.42578125" style="174" customWidth="1"/>
    <col min="15" max="15" width="5.7109375" style="174" customWidth="1"/>
    <col min="19" max="20" width="10.42578125" style="174" customWidth="1"/>
    <col min="21" max="21" width="10.42578125" style="410" customWidth="1"/>
    <col min="22" max="22" width="2.28515625" style="174" customWidth="1"/>
    <col min="23" max="23" width="10.42578125" style="174" customWidth="1"/>
    <col min="24" max="28" width="8.7109375" style="174" customWidth="1"/>
    <col min="29" max="29" width="5.28515625" style="174" customWidth="1"/>
    <col min="30" max="32" width="8.7109375" style="174" customWidth="1"/>
    <col min="33" max="33" width="11.140625" style="174" customWidth="1"/>
    <col min="34" max="34" width="8.7109375" style="174"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74" customWidth="1"/>
    <col min="96" max="16384" width="8.85546875" style="174"/>
  </cols>
  <sheetData>
    <row r="1" spans="1:94" ht="12.75" customHeight="1" x14ac:dyDescent="0.25">
      <c r="CK1" s="174"/>
      <c r="CL1" s="174"/>
      <c r="CM1" s="174"/>
      <c r="CN1" s="174"/>
      <c r="CO1" s="174"/>
      <c r="CP1" s="174"/>
    </row>
    <row r="2" spans="1:94" ht="21.75" customHeight="1" x14ac:dyDescent="0.25">
      <c r="A2" s="411" t="s">
        <v>493</v>
      </c>
      <c r="B2" s="412" t="s">
        <v>145</v>
      </c>
      <c r="C2" s="412" t="s">
        <v>182</v>
      </c>
      <c r="D2" s="412" t="s">
        <v>494</v>
      </c>
      <c r="E2" s="412" t="s">
        <v>175</v>
      </c>
      <c r="F2" s="412" t="s">
        <v>173</v>
      </c>
      <c r="G2" s="413" t="s">
        <v>495</v>
      </c>
      <c r="H2" s="413" t="s">
        <v>496</v>
      </c>
      <c r="I2" s="413" t="s">
        <v>497</v>
      </c>
      <c r="J2" s="411" t="s">
        <v>546</v>
      </c>
      <c r="CK2" s="174"/>
      <c r="CL2" s="174"/>
      <c r="CM2" s="174"/>
      <c r="CN2" s="174"/>
      <c r="CO2" s="174"/>
      <c r="CP2" s="174"/>
    </row>
    <row r="3" spans="1:94" ht="15" customHeight="1" x14ac:dyDescent="0.25">
      <c r="A3" s="414" t="s">
        <v>69</v>
      </c>
      <c r="B3" s="415">
        <v>1080.689999999998</v>
      </c>
      <c r="C3" s="415">
        <v>6183.2500000000082</v>
      </c>
      <c r="D3" s="415">
        <v>4650.9000000000106</v>
      </c>
      <c r="E3" s="415">
        <v>11748.43999999997</v>
      </c>
      <c r="F3" s="415">
        <v>1310.6600000000001</v>
      </c>
      <c r="G3" s="654">
        <v>73351</v>
      </c>
      <c r="H3" s="416" t="s">
        <v>499</v>
      </c>
      <c r="I3" s="416" t="s">
        <v>499</v>
      </c>
      <c r="J3" s="485">
        <v>0</v>
      </c>
      <c r="L3" s="417" t="s">
        <v>500</v>
      </c>
      <c r="M3" s="417"/>
      <c r="CK3" s="174"/>
      <c r="CL3" s="174"/>
      <c r="CM3" s="174"/>
      <c r="CN3" s="174"/>
      <c r="CO3" s="174"/>
      <c r="CP3" s="174"/>
    </row>
    <row r="4" spans="1:94" x14ac:dyDescent="0.25">
      <c r="A4" s="414">
        <v>0</v>
      </c>
      <c r="B4" s="415">
        <v>2005.536201514755</v>
      </c>
      <c r="C4" s="415">
        <v>6705.5739954523606</v>
      </c>
      <c r="D4" s="415">
        <v>4955.8964826906376</v>
      </c>
      <c r="E4" s="415">
        <v>11597.92522826216</v>
      </c>
      <c r="F4" s="415">
        <v>1671.8467051057339</v>
      </c>
      <c r="G4" s="415">
        <v>65409.8401116928</v>
      </c>
      <c r="H4" s="420" t="s">
        <v>499</v>
      </c>
      <c r="I4" s="416" t="s">
        <v>499</v>
      </c>
      <c r="J4" s="485">
        <v>0</v>
      </c>
      <c r="L4" s="484" t="s">
        <v>547</v>
      </c>
      <c r="M4" s="484"/>
      <c r="CK4" s="174"/>
      <c r="CL4" s="174"/>
      <c r="CM4" s="174"/>
      <c r="CN4" s="174"/>
      <c r="CO4" s="174"/>
      <c r="CP4" s="174"/>
    </row>
    <row r="5" spans="1:94" x14ac:dyDescent="0.25">
      <c r="A5" s="414">
        <v>1</v>
      </c>
      <c r="B5" s="415">
        <v>1920.4534001603729</v>
      </c>
      <c r="C5" s="415">
        <v>5811.0593062760663</v>
      </c>
      <c r="D5" s="415">
        <v>4653.8187647289724</v>
      </c>
      <c r="E5" s="415">
        <v>10795.01879530073</v>
      </c>
      <c r="F5" s="415">
        <v>1599.0634679849759</v>
      </c>
      <c r="G5" s="415">
        <v>54321.653018812802</v>
      </c>
      <c r="H5" s="423">
        <f>SUMIFS($C$22:$C$181, $H$22:$H$181, "="&amp;$A5,$I$22:$I$181, "hard")</f>
        <v>0</v>
      </c>
      <c r="I5" s="423">
        <f>SUMIFS($C$22:$C$181, $H$22:$H$181, "="&amp;$A5,$I$22:$I$181, "soft")</f>
        <v>0</v>
      </c>
      <c r="J5" s="485">
        <v>5000</v>
      </c>
      <c r="L5" s="421" t="s">
        <v>503</v>
      </c>
      <c r="M5" s="422"/>
      <c r="CK5" s="174"/>
      <c r="CL5" s="174"/>
      <c r="CM5" s="174"/>
      <c r="CN5" s="174"/>
      <c r="CO5" s="174"/>
      <c r="CP5" s="174"/>
    </row>
    <row r="6" spans="1:94" x14ac:dyDescent="0.25">
      <c r="A6" s="414">
        <v>2</v>
      </c>
      <c r="B6" s="415">
        <v>1792.1334001603741</v>
      </c>
      <c r="C6" s="415">
        <v>5871.8964089655428</v>
      </c>
      <c r="D6" s="415">
        <v>4386.7897083656417</v>
      </c>
      <c r="E6" s="415">
        <v>10801.900747215021</v>
      </c>
      <c r="F6" s="415">
        <v>1289.402836924244</v>
      </c>
      <c r="G6" s="415">
        <v>51216.431518812809</v>
      </c>
      <c r="H6" s="423">
        <f>SUMIFS($C$22:$C$181, $H$22:$H$181, "="&amp;$A6,$I$22:$I$181, "hard")</f>
        <v>0</v>
      </c>
      <c r="I6" s="423">
        <f>SUMIFS($C$22:$C$181, $H$22:$H$181, "="&amp;$A6,$I$22:$I$181, "soft")</f>
        <v>0</v>
      </c>
      <c r="J6" s="485">
        <v>9000</v>
      </c>
      <c r="L6" s="424" t="s">
        <v>505</v>
      </c>
      <c r="M6" s="425"/>
      <c r="CK6" s="174"/>
      <c r="CL6" s="174"/>
      <c r="CM6" s="174"/>
      <c r="CN6" s="174"/>
      <c r="CO6" s="174"/>
      <c r="CP6" s="174"/>
    </row>
    <row r="7" spans="1:94" x14ac:dyDescent="0.25">
      <c r="A7" s="414">
        <v>3</v>
      </c>
      <c r="B7" s="415">
        <v>1735.153400160375</v>
      </c>
      <c r="C7" s="415">
        <v>5768.5126683388326</v>
      </c>
      <c r="D7" s="415">
        <v>4213.9700593163252</v>
      </c>
      <c r="E7" s="415">
        <v>10777.07933059029</v>
      </c>
      <c r="F7" s="415">
        <v>1183.2893029536169</v>
      </c>
      <c r="G7" s="415">
        <v>49704.839141362812</v>
      </c>
      <c r="H7" s="423">
        <f>SUMIFS($C$22:$C$181, $H$22:$H$181, "="&amp;$A7,$I$22:$I$181, "hard")</f>
        <v>0</v>
      </c>
      <c r="I7" s="423">
        <f>SUMIFS($C$22:$C$181, $H$22:$H$181, "="&amp;$A7,$I$22:$I$181, "soft")</f>
        <v>0</v>
      </c>
      <c r="J7" s="485">
        <v>9000</v>
      </c>
      <c r="CK7" s="174"/>
      <c r="CL7" s="174"/>
      <c r="CM7" s="174"/>
      <c r="CN7" s="174"/>
      <c r="CO7" s="174"/>
      <c r="CP7" s="174"/>
    </row>
    <row r="8" spans="1:94" x14ac:dyDescent="0.25">
      <c r="A8" s="414">
        <v>4</v>
      </c>
      <c r="B8" s="415">
        <v>1735.153400160375</v>
      </c>
      <c r="C8" s="415">
        <v>5746.7001556136702</v>
      </c>
      <c r="D8" s="415">
        <v>4365.0292049881127</v>
      </c>
      <c r="E8" s="415">
        <v>10800.931763471021</v>
      </c>
      <c r="F8" s="415">
        <v>1182.6857157503041</v>
      </c>
      <c r="G8" s="415">
        <v>48544.957141362807</v>
      </c>
      <c r="H8" s="423">
        <f>SUMIFS($C$22:$C$181, $H$22:$H$181, "="&amp;$A8,$I$22:$I$181, "hard")</f>
        <v>0</v>
      </c>
      <c r="I8" s="423">
        <f>SUMIFS($C$22:$C$181, $H$22:$H$181, "="&amp;$A8,$I$22:$I$181, "soft")</f>
        <v>0</v>
      </c>
      <c r="J8" s="485">
        <v>9000</v>
      </c>
      <c r="CK8" s="174"/>
      <c r="CL8" s="174"/>
      <c r="CM8" s="174"/>
      <c r="CN8" s="174"/>
      <c r="CO8" s="174"/>
      <c r="CP8" s="174"/>
    </row>
    <row r="9" spans="1:94" x14ac:dyDescent="0.25">
      <c r="A9" s="414">
        <v>5</v>
      </c>
      <c r="B9" s="415">
        <v>1735.153400160375</v>
      </c>
      <c r="C9" s="415">
        <v>5823.3095927087961</v>
      </c>
      <c r="D9" s="415">
        <v>4316.2824660822598</v>
      </c>
      <c r="E9" s="415">
        <v>10699.068934483899</v>
      </c>
      <c r="F9" s="415">
        <v>1182.0896192387579</v>
      </c>
      <c r="G9" s="415">
        <v>49605.338891362808</v>
      </c>
      <c r="H9" s="423">
        <f>SUMIFS($C$22:$C$181, $H$22:$H$181, "="&amp;$A9,$I$22:$I$181, "hard")</f>
        <v>0</v>
      </c>
      <c r="I9" s="423">
        <f>SUMIFS($C$22:$C$181, $H$22:$H$181, "="&amp;$A9,$I$22:$I$181, "soft")</f>
        <v>0</v>
      </c>
      <c r="J9" s="485">
        <v>9000</v>
      </c>
      <c r="CK9" s="174"/>
      <c r="CL9" s="174"/>
      <c r="CM9" s="174"/>
      <c r="CN9" s="174"/>
      <c r="CO9" s="174"/>
      <c r="CP9" s="174"/>
    </row>
    <row r="10" spans="1:94" x14ac:dyDescent="0.25">
      <c r="A10" s="428"/>
      <c r="B10" s="429"/>
      <c r="C10" s="430"/>
      <c r="D10" s="430"/>
      <c r="E10" s="430"/>
      <c r="F10" s="430"/>
      <c r="G10" s="431"/>
      <c r="H10" s="432"/>
      <c r="I10" s="433"/>
      <c r="CK10" s="174"/>
      <c r="CL10" s="174"/>
      <c r="CM10" s="174"/>
      <c r="CN10" s="174"/>
      <c r="CO10" s="174"/>
      <c r="CP10" s="174"/>
    </row>
    <row r="11" spans="1:94" ht="33" customHeight="1" x14ac:dyDescent="0.25">
      <c r="A11" s="411" t="s">
        <v>493</v>
      </c>
      <c r="B11" s="412" t="s">
        <v>145</v>
      </c>
      <c r="C11" s="412" t="s">
        <v>182</v>
      </c>
      <c r="D11" s="412" t="s">
        <v>494</v>
      </c>
      <c r="E11" s="412" t="s">
        <v>175</v>
      </c>
      <c r="F11" s="412" t="s">
        <v>173</v>
      </c>
      <c r="G11" s="434" t="s">
        <v>511</v>
      </c>
      <c r="H11" s="411" t="s">
        <v>617</v>
      </c>
      <c r="I11" s="411" t="s">
        <v>618</v>
      </c>
      <c r="J11" s="411" t="s">
        <v>616</v>
      </c>
      <c r="K11" s="411" t="s">
        <v>619</v>
      </c>
      <c r="CK11" s="174"/>
      <c r="CL11" s="174"/>
      <c r="CM11" s="174"/>
      <c r="CN11" s="174"/>
      <c r="CO11" s="174"/>
      <c r="CP11" s="174"/>
    </row>
    <row r="12" spans="1:94" ht="18" customHeight="1" x14ac:dyDescent="0.25">
      <c r="A12" s="414" t="s">
        <v>69</v>
      </c>
      <c r="B12" s="435">
        <f>B3/B$3</f>
        <v>1</v>
      </c>
      <c r="C12" s="435">
        <f>C3/C$3</f>
        <v>1</v>
      </c>
      <c r="D12" s="435">
        <f>D3/D$3</f>
        <v>1</v>
      </c>
      <c r="E12" s="435">
        <f>E3/E$3</f>
        <v>1</v>
      </c>
      <c r="F12" s="435">
        <f>F3/F$3</f>
        <v>1</v>
      </c>
      <c r="G12" s="435">
        <f>G3/G$3</f>
        <v>1</v>
      </c>
      <c r="H12" s="655">
        <f>G$3-G3</f>
        <v>0</v>
      </c>
      <c r="I12" s="655">
        <f>H12</f>
        <v>0</v>
      </c>
      <c r="J12" s="655">
        <f>G3-G3 -J3</f>
        <v>0</v>
      </c>
      <c r="K12" s="655">
        <f>J12</f>
        <v>0</v>
      </c>
      <c r="CK12" s="174"/>
      <c r="CL12" s="174"/>
      <c r="CM12" s="174"/>
      <c r="CN12" s="174"/>
      <c r="CO12" s="174"/>
      <c r="CP12" s="174"/>
    </row>
    <row r="13" spans="1:94" ht="18" customHeight="1" x14ac:dyDescent="0.25">
      <c r="A13" s="414">
        <v>0</v>
      </c>
      <c r="B13" s="435">
        <f>B4/B$3</f>
        <v>1.8557923192726486</v>
      </c>
      <c r="C13" s="435">
        <f>C4/C$3</f>
        <v>1.0844740218254723</v>
      </c>
      <c r="D13" s="435">
        <f>D4/D$3</f>
        <v>1.0655779489325994</v>
      </c>
      <c r="E13" s="435">
        <f>E4/E$3</f>
        <v>0.98718853126561401</v>
      </c>
      <c r="F13" s="435">
        <f>F4/F$3</f>
        <v>1.2755762021468069</v>
      </c>
      <c r="G13" s="435">
        <f>G4/G$3</f>
        <v>0.89173753747996343</v>
      </c>
      <c r="H13" s="655">
        <f>$G3-$G4</f>
        <v>7941.1598883072002</v>
      </c>
      <c r="I13" s="655">
        <f>SUM(H$12:H13)</f>
        <v>7941.1598883072002</v>
      </c>
      <c r="J13" s="655">
        <f>G3-(G4 -J4)</f>
        <v>7941.1598883072002</v>
      </c>
      <c r="K13" s="655">
        <f>SUM(H$12:H13)+J4</f>
        <v>7941.1598883072002</v>
      </c>
      <c r="CK13" s="174"/>
      <c r="CL13" s="174"/>
      <c r="CM13" s="174"/>
      <c r="CN13" s="174"/>
      <c r="CO13" s="174"/>
      <c r="CP13" s="174"/>
    </row>
    <row r="14" spans="1:94" ht="18" customHeight="1" x14ac:dyDescent="0.25">
      <c r="A14" s="414">
        <v>1</v>
      </c>
      <c r="B14" s="435">
        <f>B5/B$3</f>
        <v>1.7770622474163511</v>
      </c>
      <c r="C14" s="435">
        <f>C5/C$3</f>
        <v>0.93980662374577428</v>
      </c>
      <c r="D14" s="435">
        <f>D5/D$3</f>
        <v>1.0006275698744247</v>
      </c>
      <c r="E14" s="435">
        <f>E5/E$3</f>
        <v>0.91884699545648252</v>
      </c>
      <c r="F14" s="435">
        <f>F5/F$3</f>
        <v>1.2200444569796711</v>
      </c>
      <c r="G14" s="435">
        <f>G5/G$3</f>
        <v>0.74057140350932915</v>
      </c>
      <c r="H14" s="655">
        <f>$G4-$G5</f>
        <v>11088.187092879998</v>
      </c>
      <c r="I14" s="655">
        <f>SUM(H$12:H14)</f>
        <v>19029.346981187198</v>
      </c>
      <c r="J14" s="655">
        <f>G4-(G5 -J5)</f>
        <v>16088.187092879998</v>
      </c>
      <c r="K14" s="655">
        <f>SUM(H$12:H14)+J5</f>
        <v>24029.346981187198</v>
      </c>
      <c r="CK14" s="174"/>
      <c r="CL14" s="174"/>
      <c r="CM14" s="174"/>
      <c r="CN14" s="174"/>
      <c r="CO14" s="174"/>
      <c r="CP14" s="174"/>
    </row>
    <row r="15" spans="1:94" ht="18" customHeight="1" x14ac:dyDescent="0.25">
      <c r="A15" s="414">
        <v>2</v>
      </c>
      <c r="B15" s="435">
        <f>B6/B$3</f>
        <v>1.6583232935998089</v>
      </c>
      <c r="C15" s="435">
        <f>C6/C$3</f>
        <v>0.9496456408790741</v>
      </c>
      <c r="D15" s="435">
        <f>D6/D$3</f>
        <v>0.94321307883756511</v>
      </c>
      <c r="E15" s="435">
        <f>E6/E$3</f>
        <v>0.91943277126282708</v>
      </c>
      <c r="F15" s="435">
        <f>F6/F$3</f>
        <v>0.98378132919616368</v>
      </c>
      <c r="G15" s="435">
        <f>G6/G$3</f>
        <v>0.69823767254451619</v>
      </c>
      <c r="H15" s="655">
        <f>$G5-$G6</f>
        <v>3105.2214999999924</v>
      </c>
      <c r="I15" s="655">
        <f>SUM(H$12:H15)</f>
        <v>22134.568481187191</v>
      </c>
      <c r="J15" s="655">
        <f>G5-(G6 -J6)</f>
        <v>12105.221499999992</v>
      </c>
      <c r="K15" s="655">
        <f>SUM(H$12:H15)+J6</f>
        <v>31134.568481187191</v>
      </c>
      <c r="CK15" s="174"/>
      <c r="CL15" s="174"/>
      <c r="CM15" s="174"/>
      <c r="CN15" s="174"/>
      <c r="CO15" s="174"/>
      <c r="CP15" s="174"/>
    </row>
    <row r="16" spans="1:94" ht="18" customHeight="1" x14ac:dyDescent="0.25">
      <c r="A16" s="414">
        <v>3</v>
      </c>
      <c r="B16" s="435">
        <f>B7/B$3</f>
        <v>1.6055977201236045</v>
      </c>
      <c r="C16" s="435">
        <f>C7/C$3</f>
        <v>0.93292567312316743</v>
      </c>
      <c r="D16" s="435">
        <f>D7/D$3</f>
        <v>0.90605475484665665</v>
      </c>
      <c r="E16" s="435">
        <f>E7/E$3</f>
        <v>0.91732002977334159</v>
      </c>
      <c r="F16" s="435">
        <f>F7/F$3</f>
        <v>0.90281942147743643</v>
      </c>
      <c r="G16" s="435">
        <f>G7/G$3</f>
        <v>0.67763001378798937</v>
      </c>
      <c r="H16" s="655">
        <f>$G6-$G7</f>
        <v>1511.592377449997</v>
      </c>
      <c r="I16" s="655">
        <f>SUM(H$12:H16)</f>
        <v>23646.160858637188</v>
      </c>
      <c r="J16" s="655">
        <f>G6-(G7 -J7)</f>
        <v>10511.592377449997</v>
      </c>
      <c r="K16" s="655">
        <f>SUM(H$12:H16)+J7</f>
        <v>32646.160858637188</v>
      </c>
      <c r="CK16" s="174"/>
      <c r="CL16" s="174"/>
      <c r="CM16" s="174"/>
      <c r="CN16" s="174"/>
      <c r="CO16" s="174"/>
      <c r="CP16" s="174"/>
    </row>
    <row r="17" spans="1:94" ht="18" customHeight="1" x14ac:dyDescent="0.25">
      <c r="A17" s="414">
        <v>4</v>
      </c>
      <c r="B17" s="435">
        <f>B8/B$3</f>
        <v>1.6055977201236045</v>
      </c>
      <c r="C17" s="435">
        <f>C8/C$3</f>
        <v>0.92939799549001945</v>
      </c>
      <c r="D17" s="435">
        <f>D8/D$3</f>
        <v>0.93853430626074585</v>
      </c>
      <c r="E17" s="435">
        <f>E8/E$3</f>
        <v>0.91935029361098564</v>
      </c>
      <c r="F17" s="435">
        <f>F8/F$3</f>
        <v>0.90235889990562312</v>
      </c>
      <c r="G17" s="435">
        <f>G8/G$3</f>
        <v>0.6618172504991453</v>
      </c>
      <c r="H17" s="655">
        <f>$G7-$G8</f>
        <v>1159.8820000000051</v>
      </c>
      <c r="I17" s="655">
        <f>SUM(H$12:H17)</f>
        <v>24806.042858637193</v>
      </c>
      <c r="J17" s="655">
        <f>G7-(G8 -J8)</f>
        <v>10159.882000000005</v>
      </c>
      <c r="K17" s="655">
        <f>SUM(H$12:H17)+J8</f>
        <v>33806.042858637193</v>
      </c>
      <c r="CK17" s="174"/>
      <c r="CL17" s="174"/>
      <c r="CM17" s="174"/>
      <c r="CN17" s="174"/>
      <c r="CO17" s="174"/>
      <c r="CP17" s="174"/>
    </row>
    <row r="18" spans="1:94" ht="18" customHeight="1" x14ac:dyDescent="0.25">
      <c r="A18" s="414">
        <v>5</v>
      </c>
      <c r="B18" s="435">
        <f>B9/B$3</f>
        <v>1.6055977201236045</v>
      </c>
      <c r="C18" s="435">
        <f>C9/C$3</f>
        <v>0.94178782884547585</v>
      </c>
      <c r="D18" s="435">
        <f>D9/D$3</f>
        <v>0.92805316521151826</v>
      </c>
      <c r="E18" s="435">
        <f>E9/E$3</f>
        <v>0.91067996555150532</v>
      </c>
      <c r="F18" s="435">
        <f>F9/F$3</f>
        <v>0.90190409353971113</v>
      </c>
      <c r="G18" s="435">
        <f>G9/G$3</f>
        <v>0.67627351898900911</v>
      </c>
      <c r="H18" s="655">
        <f>$G8-$G9</f>
        <v>-1060.3817500000005</v>
      </c>
      <c r="I18" s="655">
        <f>SUM(H$12:H18)</f>
        <v>23745.661108637192</v>
      </c>
      <c r="J18" s="655">
        <f>G8-(G9 -J9)</f>
        <v>7939.6182499999995</v>
      </c>
      <c r="K18" s="655">
        <f>SUM(H$12:H18)+J9</f>
        <v>32745.661108637192</v>
      </c>
      <c r="CK18" s="174"/>
      <c r="CL18" s="174"/>
      <c r="CM18" s="174"/>
      <c r="CN18" s="174"/>
      <c r="CO18" s="174"/>
      <c r="CP18" s="174"/>
    </row>
    <row r="19" spans="1:94" ht="12.75" customHeight="1" x14ac:dyDescent="0.25">
      <c r="L19" s="438"/>
      <c r="CK19" s="174"/>
      <c r="CL19" s="174"/>
      <c r="CM19" s="174"/>
      <c r="CN19" s="174"/>
      <c r="CO19" s="174"/>
      <c r="CP19" s="174"/>
    </row>
    <row r="20" spans="1:94" ht="15.75" customHeight="1" x14ac:dyDescent="0.25">
      <c r="A20" s="439"/>
      <c r="B20" s="439"/>
      <c r="C20" s="439"/>
      <c r="I20" s="440"/>
      <c r="J20" s="440"/>
      <c r="L20" s="438"/>
      <c r="CK20" s="174"/>
      <c r="CL20" s="174"/>
      <c r="CM20" s="174"/>
      <c r="CN20" s="174"/>
      <c r="CO20" s="174"/>
      <c r="CP20" s="174"/>
    </row>
    <row r="21" spans="1:94" ht="33" customHeight="1" x14ac:dyDescent="0.25">
      <c r="A21" s="441" t="s">
        <v>513</v>
      </c>
      <c r="B21" s="442" t="s">
        <v>514</v>
      </c>
      <c r="C21" s="442" t="s">
        <v>515</v>
      </c>
      <c r="D21" s="443" t="s">
        <v>69</v>
      </c>
      <c r="E21" s="443" t="s">
        <v>516</v>
      </c>
      <c r="F21" s="443" t="s">
        <v>517</v>
      </c>
      <c r="G21" s="443" t="s">
        <v>518</v>
      </c>
      <c r="H21" s="444" t="s">
        <v>29</v>
      </c>
      <c r="I21" s="445" t="s">
        <v>519</v>
      </c>
      <c r="K21" s="440"/>
      <c r="L21" s="438"/>
      <c r="M21" s="440"/>
      <c r="N21" s="440"/>
      <c r="O21" s="440"/>
      <c r="S21" s="440"/>
      <c r="T21" s="440"/>
      <c r="W21" s="183"/>
      <c r="X21" s="183"/>
      <c r="Y21" s="183"/>
      <c r="Z21" s="183"/>
      <c r="AA21" s="183"/>
      <c r="AB21" s="183"/>
      <c r="AC21" s="183"/>
      <c r="AD21" s="183"/>
      <c r="AE21" s="183"/>
      <c r="AF21" s="183"/>
      <c r="AG21" s="183"/>
      <c r="AH21" s="183"/>
      <c r="CK21" s="174"/>
      <c r="CL21" s="174"/>
      <c r="CM21" s="174"/>
      <c r="CN21" s="174"/>
      <c r="CO21" s="174"/>
      <c r="CP21" s="174"/>
    </row>
    <row r="22" spans="1:94" s="439" customFormat="1" ht="15" customHeight="1" x14ac:dyDescent="0.25">
      <c r="A22" s="446" t="s">
        <v>212</v>
      </c>
      <c r="B22" s="447">
        <v>133</v>
      </c>
      <c r="C22" s="448">
        <f>B22*0.0015625</f>
        <v>0.20781250000000001</v>
      </c>
      <c r="D22" s="449" t="s">
        <v>169</v>
      </c>
      <c r="E22" s="449" t="s">
        <v>169</v>
      </c>
      <c r="F22" s="450" t="s">
        <v>169</v>
      </c>
      <c r="G22" s="451"/>
      <c r="H22" s="478"/>
      <c r="I22" s="425"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46" t="s">
        <v>213</v>
      </c>
      <c r="B23" s="447">
        <v>197</v>
      </c>
      <c r="C23" s="448">
        <f>B23*0.0015625</f>
        <v>0.30781250000000004</v>
      </c>
      <c r="D23" s="449" t="s">
        <v>169</v>
      </c>
      <c r="E23" s="449" t="s">
        <v>169</v>
      </c>
      <c r="F23" s="450" t="s">
        <v>169</v>
      </c>
      <c r="G23" s="451"/>
      <c r="H23" s="478"/>
      <c r="I23" s="425" t="str">
        <f>IF(ISNUMBER(MATCH(G23, 'MP Analysis Input'!$A$17:$A$23, 0)), "soft", IF(EXACT(F23, G23), "none", "hard"))</f>
        <v>hard</v>
      </c>
    </row>
    <row r="24" spans="1:94" ht="15" customHeight="1" x14ac:dyDescent="0.25">
      <c r="A24" s="446" t="s">
        <v>214</v>
      </c>
      <c r="B24" s="447">
        <v>87.9</v>
      </c>
      <c r="C24" s="448">
        <f>B24*0.0015625</f>
        <v>0.13734375000000001</v>
      </c>
      <c r="D24" s="449" t="s">
        <v>152</v>
      </c>
      <c r="E24" s="449" t="s">
        <v>152</v>
      </c>
      <c r="F24" s="450" t="s">
        <v>152</v>
      </c>
      <c r="G24" s="451"/>
      <c r="H24" s="478"/>
      <c r="I24" s="425" t="str">
        <f>IF(ISNUMBER(MATCH(G24, 'MP Analysis Input'!$A$17:$A$23, 0)), "soft", IF(EXACT(F24, G24), "none", "hard"))</f>
        <v>hard</v>
      </c>
    </row>
    <row r="25" spans="1:94" ht="15" customHeight="1" x14ac:dyDescent="0.25">
      <c r="A25" s="446" t="s">
        <v>215</v>
      </c>
      <c r="B25" s="447">
        <v>1291.7</v>
      </c>
      <c r="C25" s="448">
        <f>B25*0.0015625</f>
        <v>2.0182812500000002</v>
      </c>
      <c r="D25" s="449" t="s">
        <v>152</v>
      </c>
      <c r="E25" s="449" t="s">
        <v>152</v>
      </c>
      <c r="F25" s="450" t="s">
        <v>152</v>
      </c>
      <c r="G25" s="451"/>
      <c r="H25" s="478"/>
      <c r="I25" s="425" t="str">
        <f>IF(ISNUMBER(MATCH(G25, 'MP Analysis Input'!$A$17:$A$23, 0)), "soft", IF(EXACT(F25, G25), "none", "hard"))</f>
        <v>hard</v>
      </c>
    </row>
    <row r="26" spans="1:94" ht="15" customHeight="1" x14ac:dyDescent="0.25">
      <c r="A26" s="446" t="s">
        <v>216</v>
      </c>
      <c r="B26" s="447">
        <v>447.9</v>
      </c>
      <c r="C26" s="448">
        <f>B26*0.0015625</f>
        <v>0.69984374999999999</v>
      </c>
      <c r="D26" s="449" t="s">
        <v>194</v>
      </c>
      <c r="E26" s="449" t="s">
        <v>149</v>
      </c>
      <c r="F26" s="450" t="s">
        <v>149</v>
      </c>
      <c r="G26" s="451"/>
      <c r="H26" s="478"/>
      <c r="I26" s="425" t="str">
        <f>IF(ISNUMBER(MATCH(G26, 'MP Analysis Input'!$A$17:$A$23, 0)), "soft", IF(EXACT(F26, G26), "none", "hard"))</f>
        <v>hard</v>
      </c>
    </row>
    <row r="27" spans="1:94" ht="15" customHeight="1" x14ac:dyDescent="0.25">
      <c r="A27" s="446" t="s">
        <v>217</v>
      </c>
      <c r="B27" s="447">
        <v>201</v>
      </c>
      <c r="C27" s="448">
        <f>B27*0.0015625</f>
        <v>0.31406250000000002</v>
      </c>
      <c r="D27" s="449" t="s">
        <v>194</v>
      </c>
      <c r="E27" s="449" t="s">
        <v>156</v>
      </c>
      <c r="F27" s="450" t="s">
        <v>156</v>
      </c>
      <c r="G27" s="451"/>
      <c r="H27" s="478"/>
      <c r="I27" s="425" t="str">
        <f>IF(ISNUMBER(MATCH(G27, 'MP Analysis Input'!$A$17:$A$23, 0)), "soft", IF(EXACT(F27, G27), "none", "hard"))</f>
        <v>hard</v>
      </c>
    </row>
    <row r="28" spans="1:94" ht="15" customHeight="1" x14ac:dyDescent="0.25">
      <c r="A28" s="446" t="s">
        <v>218</v>
      </c>
      <c r="B28" s="447">
        <v>698</v>
      </c>
      <c r="C28" s="448">
        <f>B28*0.0015625</f>
        <v>1.090625</v>
      </c>
      <c r="D28" s="449" t="s">
        <v>190</v>
      </c>
      <c r="E28" s="449" t="s">
        <v>156</v>
      </c>
      <c r="F28" s="450" t="s">
        <v>156</v>
      </c>
      <c r="G28" s="451"/>
      <c r="H28" s="478"/>
      <c r="I28" s="425" t="str">
        <f>IF(ISNUMBER(MATCH(G28, 'MP Analysis Input'!$A$17:$A$23, 0)), "soft", IF(EXACT(F28, G28), "none", "hard"))</f>
        <v>hard</v>
      </c>
    </row>
    <row r="29" spans="1:94" ht="15" customHeight="1" x14ac:dyDescent="0.25">
      <c r="A29" s="446" t="s">
        <v>219</v>
      </c>
      <c r="B29" s="447">
        <v>177.8</v>
      </c>
      <c r="C29" s="448">
        <f>B29*0.0015625</f>
        <v>0.27781250000000002</v>
      </c>
      <c r="D29" s="449" t="s">
        <v>194</v>
      </c>
      <c r="E29" s="449" t="s">
        <v>156</v>
      </c>
      <c r="F29" s="450" t="s">
        <v>156</v>
      </c>
      <c r="G29" s="451"/>
      <c r="H29" s="478"/>
      <c r="I29" s="425" t="str">
        <f>IF(ISNUMBER(MATCH(G29, 'MP Analysis Input'!$A$17:$A$23, 0)), "soft", IF(EXACT(F29, G29), "none", "hard"))</f>
        <v>hard</v>
      </c>
      <c r="K29" s="174" t="s">
        <v>620</v>
      </c>
    </row>
    <row r="30" spans="1:94" ht="15" customHeight="1" x14ac:dyDescent="0.25">
      <c r="A30" s="446" t="s">
        <v>220</v>
      </c>
      <c r="B30" s="447">
        <v>102.8</v>
      </c>
      <c r="C30" s="448">
        <f>B30*0.0015625</f>
        <v>0.16062500000000002</v>
      </c>
      <c r="D30" s="449" t="s">
        <v>141</v>
      </c>
      <c r="E30" s="449" t="s">
        <v>141</v>
      </c>
      <c r="F30" s="450" t="s">
        <v>141</v>
      </c>
      <c r="G30" s="451"/>
      <c r="H30" s="478"/>
      <c r="I30" s="425" t="str">
        <f>IF(ISNUMBER(MATCH(G30, 'MP Analysis Input'!$A$17:$A$23, 0)), "soft", IF(EXACT(F30, G30), "none", "hard"))</f>
        <v>hard</v>
      </c>
    </row>
    <row r="31" spans="1:94" ht="15" customHeight="1" x14ac:dyDescent="0.25">
      <c r="A31" s="446" t="s">
        <v>221</v>
      </c>
      <c r="B31" s="447">
        <v>431</v>
      </c>
      <c r="C31" s="448">
        <f>B31*0.0015625</f>
        <v>0.67343750000000002</v>
      </c>
      <c r="D31" s="449" t="s">
        <v>194</v>
      </c>
      <c r="E31" s="449" t="s">
        <v>194</v>
      </c>
      <c r="F31" s="450" t="s">
        <v>194</v>
      </c>
      <c r="G31" s="451"/>
      <c r="H31" s="478"/>
      <c r="I31" s="425" t="str">
        <f>IF(ISNUMBER(MATCH(G31, 'MP Analysis Input'!$A$17:$A$23, 0)), "soft", IF(EXACT(F31, G31), "none", "hard"))</f>
        <v>hard</v>
      </c>
    </row>
    <row r="32" spans="1:94" ht="15" customHeight="1" x14ac:dyDescent="0.25">
      <c r="A32" s="446" t="s">
        <v>222</v>
      </c>
      <c r="B32" s="447">
        <v>152.4</v>
      </c>
      <c r="C32" s="448">
        <f>B32*0.0015625</f>
        <v>0.23812500000000003</v>
      </c>
      <c r="D32" s="449" t="s">
        <v>194</v>
      </c>
      <c r="E32" s="449" t="s">
        <v>149</v>
      </c>
      <c r="F32" s="450" t="s">
        <v>149</v>
      </c>
      <c r="G32" s="451"/>
      <c r="H32" s="478"/>
      <c r="I32" s="425" t="str">
        <f>IF(ISNUMBER(MATCH(G32, 'MP Analysis Input'!$A$17:$A$23, 0)), "soft", IF(EXACT(F32, G32), "none", "hard"))</f>
        <v>hard</v>
      </c>
    </row>
    <row r="33" spans="1:9" ht="15" customHeight="1" x14ac:dyDescent="0.25">
      <c r="A33" s="446" t="s">
        <v>223</v>
      </c>
      <c r="B33" s="447">
        <v>215.7</v>
      </c>
      <c r="C33" s="448">
        <f>B33*0.0015625</f>
        <v>0.33703125</v>
      </c>
      <c r="D33" s="449" t="s">
        <v>168</v>
      </c>
      <c r="E33" s="449" t="s">
        <v>168</v>
      </c>
      <c r="F33" s="450" t="s">
        <v>200</v>
      </c>
      <c r="G33" s="451"/>
      <c r="H33" s="478"/>
      <c r="I33" s="425" t="str">
        <f>IF(ISNUMBER(MATCH(G33, 'MP Analysis Input'!$A$17:$A$23, 0)), "soft", IF(EXACT(F33, G33), "none", "hard"))</f>
        <v>hard</v>
      </c>
    </row>
    <row r="34" spans="1:9" ht="15" customHeight="1" x14ac:dyDescent="0.25">
      <c r="A34" s="446" t="s">
        <v>224</v>
      </c>
      <c r="B34" s="447">
        <v>425.9</v>
      </c>
      <c r="C34" s="448">
        <f>B34*0.0015625</f>
        <v>0.66546875000000005</v>
      </c>
      <c r="D34" s="449" t="s">
        <v>190</v>
      </c>
      <c r="E34" s="449" t="s">
        <v>190</v>
      </c>
      <c r="F34" s="450" t="s">
        <v>190</v>
      </c>
      <c r="G34" s="451"/>
      <c r="H34" s="478"/>
      <c r="I34" s="425" t="str">
        <f>IF(ISNUMBER(MATCH(G34, 'MP Analysis Input'!$A$17:$A$23, 0)), "soft", IF(EXACT(F34, G34), "none", "hard"))</f>
        <v>hard</v>
      </c>
    </row>
    <row r="35" spans="1:9" ht="15" customHeight="1" x14ac:dyDescent="0.25">
      <c r="A35" s="446" t="s">
        <v>225</v>
      </c>
      <c r="B35" s="447">
        <v>319.2</v>
      </c>
      <c r="C35" s="448">
        <f>B35*0.0015625</f>
        <v>0.49875000000000003</v>
      </c>
      <c r="D35" s="449" t="s">
        <v>190</v>
      </c>
      <c r="E35" s="449" t="s">
        <v>190</v>
      </c>
      <c r="F35" s="450" t="s">
        <v>190</v>
      </c>
      <c r="G35" s="451"/>
      <c r="H35" s="478"/>
      <c r="I35" s="425" t="str">
        <f>IF(ISNUMBER(MATCH(G35, 'MP Analysis Input'!$A$17:$A$23, 0)), "soft", IF(EXACT(F35, G35), "none", "hard"))</f>
        <v>hard</v>
      </c>
    </row>
    <row r="36" spans="1:9" ht="15" customHeight="1" x14ac:dyDescent="0.25">
      <c r="A36" s="446" t="s">
        <v>226</v>
      </c>
      <c r="B36" s="447">
        <v>79.7</v>
      </c>
      <c r="C36" s="448">
        <f>B36*0.0015625</f>
        <v>0.12453125000000001</v>
      </c>
      <c r="D36" s="449" t="s">
        <v>190</v>
      </c>
      <c r="E36" s="449" t="s">
        <v>156</v>
      </c>
      <c r="F36" s="450" t="s">
        <v>156</v>
      </c>
      <c r="G36" s="451"/>
      <c r="H36" s="478"/>
      <c r="I36" s="425" t="str">
        <f>IF(ISNUMBER(MATCH(G36, 'MP Analysis Input'!$A$17:$A$23, 0)), "soft", IF(EXACT(F36, G36), "none", "hard"))</f>
        <v>hard</v>
      </c>
    </row>
    <row r="37" spans="1:9" ht="15" customHeight="1" x14ac:dyDescent="0.25">
      <c r="A37" s="446" t="s">
        <v>227</v>
      </c>
      <c r="B37" s="447">
        <v>251.6</v>
      </c>
      <c r="C37" s="448">
        <f>B37*0.0015625</f>
        <v>0.393125</v>
      </c>
      <c r="D37" s="449" t="s">
        <v>194</v>
      </c>
      <c r="E37" s="449" t="s">
        <v>194</v>
      </c>
      <c r="F37" s="450" t="s">
        <v>194</v>
      </c>
      <c r="G37" s="451"/>
      <c r="H37" s="478"/>
      <c r="I37" s="425" t="str">
        <f>IF(ISNUMBER(MATCH(G37, 'MP Analysis Input'!$A$17:$A$23, 0)), "soft", IF(EXACT(F37, G37), "none", "hard"))</f>
        <v>hard</v>
      </c>
    </row>
    <row r="38" spans="1:9" ht="15" customHeight="1" x14ac:dyDescent="0.25">
      <c r="A38" s="446" t="s">
        <v>228</v>
      </c>
      <c r="B38" s="447">
        <v>136.9</v>
      </c>
      <c r="C38" s="448">
        <f>B38*0.0015625</f>
        <v>0.21390625000000002</v>
      </c>
      <c r="D38" s="449" t="s">
        <v>190</v>
      </c>
      <c r="E38" s="449" t="s">
        <v>190</v>
      </c>
      <c r="F38" s="450" t="s">
        <v>190</v>
      </c>
      <c r="G38" s="451"/>
      <c r="H38" s="478"/>
      <c r="I38" s="425" t="str">
        <f>IF(ISNUMBER(MATCH(G38, 'MP Analysis Input'!$A$17:$A$23, 0)), "soft", IF(EXACT(F38, G38), "none", "hard"))</f>
        <v>hard</v>
      </c>
    </row>
    <row r="39" spans="1:9" ht="15" customHeight="1" x14ac:dyDescent="0.25">
      <c r="A39" s="446" t="s">
        <v>229</v>
      </c>
      <c r="B39" s="447">
        <v>436.6</v>
      </c>
      <c r="C39" s="448">
        <f>B39*0.0015625</f>
        <v>0.68218750000000006</v>
      </c>
      <c r="D39" s="449" t="s">
        <v>194</v>
      </c>
      <c r="E39" s="449" t="s">
        <v>194</v>
      </c>
      <c r="F39" s="450" t="s">
        <v>194</v>
      </c>
      <c r="G39" s="451"/>
      <c r="H39" s="478"/>
      <c r="I39" s="425" t="str">
        <f>IF(ISNUMBER(MATCH(G39, 'MP Analysis Input'!$A$17:$A$23, 0)), "soft", IF(EXACT(F39, G39), "none", "hard"))</f>
        <v>hard</v>
      </c>
    </row>
    <row r="40" spans="1:9" ht="15" customHeight="1" x14ac:dyDescent="0.25">
      <c r="A40" s="446" t="s">
        <v>230</v>
      </c>
      <c r="B40" s="447">
        <v>1082.5</v>
      </c>
      <c r="C40" s="448">
        <f>B40*0.0015625</f>
        <v>1.69140625</v>
      </c>
      <c r="D40" s="449" t="s">
        <v>194</v>
      </c>
      <c r="E40" s="449" t="s">
        <v>156</v>
      </c>
      <c r="F40" s="450" t="s">
        <v>184</v>
      </c>
      <c r="G40" s="451"/>
      <c r="H40" s="478"/>
      <c r="I40" s="425" t="str">
        <f>IF(ISNUMBER(MATCH(G40, 'MP Analysis Input'!$A$17:$A$23, 0)), "soft", IF(EXACT(F40, G40), "none", "hard"))</f>
        <v>hard</v>
      </c>
    </row>
    <row r="41" spans="1:9" ht="15" customHeight="1" x14ac:dyDescent="0.25">
      <c r="A41" s="446" t="s">
        <v>231</v>
      </c>
      <c r="B41" s="447">
        <v>523.9</v>
      </c>
      <c r="C41" s="448">
        <f>B41*0.0015625</f>
        <v>0.81859375000000001</v>
      </c>
      <c r="D41" s="449" t="s">
        <v>194</v>
      </c>
      <c r="E41" s="449" t="s">
        <v>162</v>
      </c>
      <c r="F41" s="450" t="s">
        <v>162</v>
      </c>
      <c r="G41" s="451"/>
      <c r="H41" s="478"/>
      <c r="I41" s="425" t="str">
        <f>IF(ISNUMBER(MATCH(G41, 'MP Analysis Input'!$A$17:$A$23, 0)), "soft", IF(EXACT(F41, G41), "none", "hard"))</f>
        <v>hard</v>
      </c>
    </row>
    <row r="42" spans="1:9" ht="15" customHeight="1" x14ac:dyDescent="0.25">
      <c r="A42" s="446" t="s">
        <v>232</v>
      </c>
      <c r="B42" s="447">
        <v>600.79999999999995</v>
      </c>
      <c r="C42" s="448">
        <f>B42*0.0015625</f>
        <v>0.93874999999999997</v>
      </c>
      <c r="D42" s="449" t="s">
        <v>194</v>
      </c>
      <c r="E42" s="449" t="s">
        <v>162</v>
      </c>
      <c r="F42" s="450" t="s">
        <v>162</v>
      </c>
      <c r="G42" s="451"/>
      <c r="H42" s="478"/>
      <c r="I42" s="425" t="str">
        <f>IF(ISNUMBER(MATCH(G42, 'MP Analysis Input'!$A$17:$A$23, 0)), "soft", IF(EXACT(F42, G42), "none", "hard"))</f>
        <v>hard</v>
      </c>
    </row>
    <row r="43" spans="1:9" ht="15" customHeight="1" x14ac:dyDescent="0.25">
      <c r="A43" s="446" t="s">
        <v>233</v>
      </c>
      <c r="B43" s="447">
        <v>341.5</v>
      </c>
      <c r="C43" s="448">
        <f>B43*0.0015625</f>
        <v>0.53359374999999998</v>
      </c>
      <c r="D43" s="449" t="s">
        <v>194</v>
      </c>
      <c r="E43" s="449" t="s">
        <v>156</v>
      </c>
      <c r="F43" s="450" t="s">
        <v>156</v>
      </c>
      <c r="G43" s="451"/>
      <c r="H43" s="478"/>
      <c r="I43" s="425" t="str">
        <f>IF(ISNUMBER(MATCH(G43, 'MP Analysis Input'!$A$17:$A$23, 0)), "soft", IF(EXACT(F43, G43), "none", "hard"))</f>
        <v>hard</v>
      </c>
    </row>
    <row r="44" spans="1:9" ht="15" customHeight="1" x14ac:dyDescent="0.25">
      <c r="A44" s="446" t="s">
        <v>234</v>
      </c>
      <c r="B44" s="447">
        <v>544.70000000000005</v>
      </c>
      <c r="C44" s="448">
        <f>B44*0.0015625</f>
        <v>0.85109375000000009</v>
      </c>
      <c r="D44" s="449" t="s">
        <v>194</v>
      </c>
      <c r="E44" s="449" t="s">
        <v>194</v>
      </c>
      <c r="F44" s="450" t="s">
        <v>194</v>
      </c>
      <c r="G44" s="451"/>
      <c r="H44" s="478"/>
      <c r="I44" s="425" t="str">
        <f>IF(ISNUMBER(MATCH(G44, 'MP Analysis Input'!$A$17:$A$23, 0)), "soft", IF(EXACT(F44, G44), "none", "hard"))</f>
        <v>hard</v>
      </c>
    </row>
    <row r="45" spans="1:9" ht="15" customHeight="1" x14ac:dyDescent="0.25">
      <c r="A45" s="446" t="s">
        <v>235</v>
      </c>
      <c r="B45" s="447">
        <v>21.3</v>
      </c>
      <c r="C45" s="448">
        <f>B45*0.0015625</f>
        <v>3.3281250000000005E-2</v>
      </c>
      <c r="D45" s="449" t="s">
        <v>194</v>
      </c>
      <c r="E45" s="449" t="s">
        <v>194</v>
      </c>
      <c r="F45" s="450" t="s">
        <v>194</v>
      </c>
      <c r="G45" s="451"/>
      <c r="H45" s="478"/>
      <c r="I45" s="425" t="str">
        <f>IF(ISNUMBER(MATCH(G45, 'MP Analysis Input'!$A$17:$A$23, 0)), "soft", IF(EXACT(F45, G45), "none", "hard"))</f>
        <v>hard</v>
      </c>
    </row>
    <row r="46" spans="1:9" ht="15" customHeight="1" x14ac:dyDescent="0.25">
      <c r="A46" s="446" t="s">
        <v>236</v>
      </c>
      <c r="B46" s="447">
        <v>1161.7</v>
      </c>
      <c r="C46" s="448">
        <f>B46*0.0015625</f>
        <v>1.8151562500000002</v>
      </c>
      <c r="D46" s="449" t="s">
        <v>194</v>
      </c>
      <c r="E46" s="449" t="s">
        <v>194</v>
      </c>
      <c r="F46" s="450" t="s">
        <v>194</v>
      </c>
      <c r="G46" s="451"/>
      <c r="H46" s="478"/>
      <c r="I46" s="425" t="str">
        <f>IF(ISNUMBER(MATCH(G46, 'MP Analysis Input'!$A$17:$A$23, 0)), "soft", IF(EXACT(F46, G46), "none", "hard"))</f>
        <v>hard</v>
      </c>
    </row>
    <row r="47" spans="1:9" ht="15" customHeight="1" x14ac:dyDescent="0.25">
      <c r="A47" s="446" t="s">
        <v>237</v>
      </c>
      <c r="B47" s="447">
        <v>248.4</v>
      </c>
      <c r="C47" s="448">
        <f>B47*0.0015625</f>
        <v>0.38812500000000005</v>
      </c>
      <c r="D47" s="449" t="s">
        <v>165</v>
      </c>
      <c r="E47" s="449" t="s">
        <v>165</v>
      </c>
      <c r="F47" s="450" t="s">
        <v>165</v>
      </c>
      <c r="G47" s="451"/>
      <c r="H47" s="478"/>
      <c r="I47" s="425" t="str">
        <f>IF(ISNUMBER(MATCH(G47, 'MP Analysis Input'!$A$17:$A$23, 0)), "soft", IF(EXACT(F47, G47), "none", "hard"))</f>
        <v>hard</v>
      </c>
    </row>
    <row r="48" spans="1:9" ht="15" customHeight="1" x14ac:dyDescent="0.25">
      <c r="A48" s="446" t="s">
        <v>238</v>
      </c>
      <c r="B48" s="447">
        <v>701</v>
      </c>
      <c r="C48" s="448">
        <f>B48*0.0015625</f>
        <v>1.0953125000000001</v>
      </c>
      <c r="D48" s="449" t="s">
        <v>190</v>
      </c>
      <c r="E48" s="449" t="s">
        <v>190</v>
      </c>
      <c r="F48" s="450" t="s">
        <v>145</v>
      </c>
      <c r="G48" s="451"/>
      <c r="H48" s="478"/>
      <c r="I48" s="425" t="str">
        <f>IF(ISNUMBER(MATCH(G48, 'MP Analysis Input'!$A$17:$A$23, 0)), "soft", IF(EXACT(F48, G48), "none", "hard"))</f>
        <v>hard</v>
      </c>
    </row>
    <row r="49" spans="1:94" ht="15" customHeight="1" x14ac:dyDescent="0.25">
      <c r="A49" s="446" t="s">
        <v>239</v>
      </c>
      <c r="B49" s="447">
        <v>506.2</v>
      </c>
      <c r="C49" s="448">
        <f>B49*0.0015625</f>
        <v>0.79093750000000007</v>
      </c>
      <c r="D49" s="449" t="s">
        <v>168</v>
      </c>
      <c r="E49" s="449" t="s">
        <v>168</v>
      </c>
      <c r="F49" s="450" t="s">
        <v>152</v>
      </c>
      <c r="G49" s="451"/>
      <c r="H49" s="478"/>
      <c r="I49" s="425" t="str">
        <f>IF(ISNUMBER(MATCH(G49, 'MP Analysis Input'!$A$17:$A$23, 0)), "soft", IF(EXACT(F49, G49), "none", "hard"))</f>
        <v>hard</v>
      </c>
    </row>
    <row r="50" spans="1:94" ht="15" customHeight="1" x14ac:dyDescent="0.25">
      <c r="A50" s="446" t="s">
        <v>240</v>
      </c>
      <c r="B50" s="447">
        <v>615.1</v>
      </c>
      <c r="C50" s="448">
        <f>B50*0.0015625</f>
        <v>0.96109375000000008</v>
      </c>
      <c r="D50" s="449" t="s">
        <v>168</v>
      </c>
      <c r="E50" s="449" t="s">
        <v>168</v>
      </c>
      <c r="F50" s="450" t="s">
        <v>192</v>
      </c>
      <c r="G50" s="451"/>
      <c r="H50" s="478"/>
      <c r="I50" s="425" t="str">
        <f>IF(ISNUMBER(MATCH(G50, 'MP Analysis Input'!$A$17:$A$23, 0)), "soft", IF(EXACT(F50, G50), "none", "hard"))</f>
        <v>hard</v>
      </c>
    </row>
    <row r="51" spans="1:94" ht="15" customHeight="1" x14ac:dyDescent="0.25">
      <c r="A51" s="446" t="s">
        <v>241</v>
      </c>
      <c r="B51" s="447">
        <v>332.6</v>
      </c>
      <c r="C51" s="448">
        <f>B51*0.0015625</f>
        <v>0.51968750000000008</v>
      </c>
      <c r="D51" s="449" t="s">
        <v>190</v>
      </c>
      <c r="E51" s="449" t="s">
        <v>190</v>
      </c>
      <c r="F51" s="450" t="s">
        <v>190</v>
      </c>
      <c r="G51" s="451"/>
      <c r="H51" s="478"/>
      <c r="I51" s="425" t="str">
        <f>IF(ISNUMBER(MATCH(G51, 'MP Analysis Input'!$A$17:$A$23, 0)), "soft", IF(EXACT(F51, G51), "none", "hard"))</f>
        <v>hard</v>
      </c>
    </row>
    <row r="52" spans="1:94" ht="15" customHeight="1" x14ac:dyDescent="0.25">
      <c r="A52" s="446" t="s">
        <v>242</v>
      </c>
      <c r="B52" s="447">
        <v>183.4</v>
      </c>
      <c r="C52" s="448">
        <f>B52*0.0015625</f>
        <v>0.2865625</v>
      </c>
      <c r="D52" s="449" t="s">
        <v>190</v>
      </c>
      <c r="E52" s="449" t="s">
        <v>190</v>
      </c>
      <c r="F52" s="450" t="s">
        <v>190</v>
      </c>
      <c r="G52" s="451"/>
      <c r="H52" s="478"/>
      <c r="I52" s="425" t="str">
        <f>IF(ISNUMBER(MATCH(G52, 'MP Analysis Input'!$A$17:$A$23, 0)), "soft", IF(EXACT(F52, G52), "none", "hard"))</f>
        <v>hard</v>
      </c>
    </row>
    <row r="53" spans="1:94" ht="15" customHeight="1" x14ac:dyDescent="0.25">
      <c r="A53" s="446" t="s">
        <v>243</v>
      </c>
      <c r="B53" s="447">
        <v>275.39999999999998</v>
      </c>
      <c r="C53" s="448">
        <f>B53*0.0015625</f>
        <v>0.43031249999999999</v>
      </c>
      <c r="D53" s="449" t="s">
        <v>194</v>
      </c>
      <c r="E53" s="449" t="s">
        <v>194</v>
      </c>
      <c r="F53" s="450" t="s">
        <v>194</v>
      </c>
      <c r="G53" s="451"/>
      <c r="H53" s="478"/>
      <c r="I53" s="425" t="str">
        <f>IF(ISNUMBER(MATCH(G53, 'MP Analysis Input'!$A$17:$A$23, 0)), "soft", IF(EXACT(F53, G53), "none", "hard"))</f>
        <v>hard</v>
      </c>
    </row>
    <row r="54" spans="1:94" ht="15" customHeight="1" x14ac:dyDescent="0.25">
      <c r="A54" s="446" t="s">
        <v>244</v>
      </c>
      <c r="B54" s="447">
        <v>43.2</v>
      </c>
      <c r="C54" s="448">
        <f>B54*0.0015625</f>
        <v>6.7500000000000004E-2</v>
      </c>
      <c r="D54" s="449" t="s">
        <v>190</v>
      </c>
      <c r="E54" s="449" t="s">
        <v>156</v>
      </c>
      <c r="F54" s="450" t="s">
        <v>156</v>
      </c>
      <c r="G54" s="451"/>
      <c r="H54" s="478"/>
      <c r="I54" s="425" t="str">
        <f>IF(ISNUMBER(MATCH(G54, 'MP Analysis Input'!$A$17:$A$23, 0)), "soft", IF(EXACT(F54, G54), "none", "hard"))</f>
        <v>hard</v>
      </c>
    </row>
    <row r="55" spans="1:94" ht="15" customHeight="1" x14ac:dyDescent="0.25">
      <c r="A55" s="446" t="s">
        <v>245</v>
      </c>
      <c r="B55" s="447">
        <v>133.30000000000001</v>
      </c>
      <c r="C55" s="448">
        <f>B55*0.0015625</f>
        <v>0.20828125000000003</v>
      </c>
      <c r="D55" s="449" t="s">
        <v>194</v>
      </c>
      <c r="E55" s="449" t="s">
        <v>194</v>
      </c>
      <c r="F55" s="450" t="s">
        <v>194</v>
      </c>
      <c r="G55" s="451"/>
      <c r="H55" s="478"/>
      <c r="I55" s="425" t="str">
        <f>IF(ISNUMBER(MATCH(G55, 'MP Analysis Input'!$A$17:$A$23, 0)), "soft", IF(EXACT(F55, G55), "none", "hard"))</f>
        <v>hard</v>
      </c>
    </row>
    <row r="56" spans="1:94" ht="15" customHeight="1" x14ac:dyDescent="0.25">
      <c r="A56" s="446" t="s">
        <v>246</v>
      </c>
      <c r="B56" s="447">
        <v>74.7</v>
      </c>
      <c r="C56" s="448">
        <f>B56*0.0015625</f>
        <v>0.11671875000000001</v>
      </c>
      <c r="D56" s="449" t="s">
        <v>190</v>
      </c>
      <c r="E56" s="449" t="s">
        <v>190</v>
      </c>
      <c r="F56" s="450" t="s">
        <v>200</v>
      </c>
      <c r="G56" s="451"/>
      <c r="H56" s="478"/>
      <c r="I56" s="425" t="str">
        <f>IF(ISNUMBER(MATCH(G56, 'MP Analysis Input'!$A$17:$A$23, 0)), "soft", IF(EXACT(F56, G56), "none", "hard"))</f>
        <v>hard</v>
      </c>
    </row>
    <row r="57" spans="1:94" ht="15" customHeight="1" x14ac:dyDescent="0.25">
      <c r="A57" s="446" t="s">
        <v>247</v>
      </c>
      <c r="B57" s="447">
        <v>199.2</v>
      </c>
      <c r="C57" s="448">
        <f>B57*0.0015625</f>
        <v>0.31125000000000003</v>
      </c>
      <c r="D57" s="449" t="s">
        <v>194</v>
      </c>
      <c r="E57" s="449" t="s">
        <v>194</v>
      </c>
      <c r="F57" s="450" t="s">
        <v>194</v>
      </c>
      <c r="G57" s="451"/>
      <c r="H57" s="478"/>
      <c r="I57" s="425" t="str">
        <f>IF(ISNUMBER(MATCH(G57, 'MP Analysis Input'!$A$17:$A$23, 0)), "soft", IF(EXACT(F57, G57), "none", "hard"))</f>
        <v>hard</v>
      </c>
      <c r="K57"/>
      <c r="L57"/>
      <c r="M57"/>
      <c r="N57"/>
    </row>
    <row r="58" spans="1:94" ht="15" customHeight="1" x14ac:dyDescent="0.25">
      <c r="A58" s="446" t="s">
        <v>248</v>
      </c>
      <c r="B58" s="447">
        <v>251.4</v>
      </c>
      <c r="C58" s="448">
        <f>B58*0.0015625</f>
        <v>0.39281250000000001</v>
      </c>
      <c r="D58" s="449" t="s">
        <v>190</v>
      </c>
      <c r="E58" s="449" t="s">
        <v>190</v>
      </c>
      <c r="F58" s="450" t="s">
        <v>190</v>
      </c>
      <c r="G58" s="451"/>
      <c r="H58" s="478"/>
      <c r="I58" s="425" t="str">
        <f>IF(ISNUMBER(MATCH(G58, 'MP Analysis Input'!$A$17:$A$23, 0)), "soft", IF(EXACT(F58, G58), "none", "hard"))</f>
        <v>hard</v>
      </c>
      <c r="K58"/>
      <c r="L58"/>
      <c r="M58"/>
      <c r="N58"/>
      <c r="U58" s="174"/>
      <c r="CK58" s="174"/>
      <c r="CL58" s="174"/>
      <c r="CM58" s="174"/>
      <c r="CN58" s="174"/>
      <c r="CO58" s="174"/>
      <c r="CP58" s="174"/>
    </row>
    <row r="59" spans="1:94" ht="15" customHeight="1" x14ac:dyDescent="0.25">
      <c r="A59" s="446" t="s">
        <v>249</v>
      </c>
      <c r="B59" s="447">
        <v>220.1</v>
      </c>
      <c r="C59" s="448">
        <f>B59*0.0015625</f>
        <v>0.34390625000000002</v>
      </c>
      <c r="D59" s="449" t="s">
        <v>190</v>
      </c>
      <c r="E59" s="449" t="s">
        <v>190</v>
      </c>
      <c r="F59" s="450" t="s">
        <v>190</v>
      </c>
      <c r="G59" s="451"/>
      <c r="H59" s="478"/>
      <c r="I59" s="425" t="str">
        <f>IF(ISNUMBER(MATCH(G59, 'MP Analysis Input'!$A$17:$A$23, 0)), "soft", IF(EXACT(F59, G59), "none", "hard"))</f>
        <v>hard</v>
      </c>
      <c r="K59"/>
      <c r="L59"/>
      <c r="M59"/>
      <c r="N59"/>
    </row>
    <row r="60" spans="1:94" ht="15" customHeight="1" x14ac:dyDescent="0.25">
      <c r="A60" s="446" t="s">
        <v>250</v>
      </c>
      <c r="B60" s="447">
        <v>475.8</v>
      </c>
      <c r="C60" s="448">
        <f>B60*0.0015625</f>
        <v>0.74343750000000008</v>
      </c>
      <c r="D60" s="449" t="s">
        <v>190</v>
      </c>
      <c r="E60" s="449" t="s">
        <v>190</v>
      </c>
      <c r="F60" s="453" t="s">
        <v>190</v>
      </c>
      <c r="G60" s="451"/>
      <c r="H60" s="478"/>
      <c r="I60" s="425" t="str">
        <f>IF(ISNUMBER(MATCH(G60, 'MP Analysis Input'!$A$17:$A$23, 0)), "soft", IF(EXACT(F60, G60), "none", "hard"))</f>
        <v>hard</v>
      </c>
      <c r="K60"/>
      <c r="L60"/>
      <c r="M60"/>
      <c r="N60"/>
    </row>
    <row r="61" spans="1:94" ht="15" customHeight="1" x14ac:dyDescent="0.25">
      <c r="A61" s="446" t="s">
        <v>251</v>
      </c>
      <c r="B61" s="447">
        <v>225.4</v>
      </c>
      <c r="C61" s="448">
        <f>B61*0.0015625</f>
        <v>0.35218750000000004</v>
      </c>
      <c r="D61" s="449" t="s">
        <v>190</v>
      </c>
      <c r="E61" s="449" t="s">
        <v>190</v>
      </c>
      <c r="F61" s="450" t="s">
        <v>190</v>
      </c>
      <c r="G61" s="451"/>
      <c r="H61" s="478"/>
      <c r="I61" s="425" t="str">
        <f>IF(ISNUMBER(MATCH(G61, 'MP Analysis Input'!$A$17:$A$23, 0)), "soft", IF(EXACT(F61, G61), "none", "hard"))</f>
        <v>hard</v>
      </c>
      <c r="K61"/>
      <c r="L61"/>
      <c r="M61"/>
      <c r="N61"/>
    </row>
    <row r="62" spans="1:94" ht="15" customHeight="1" x14ac:dyDescent="0.25">
      <c r="A62" s="446" t="s">
        <v>252</v>
      </c>
      <c r="B62" s="447">
        <v>1099.7</v>
      </c>
      <c r="C62" s="448">
        <f>B62*0.0015625</f>
        <v>1.7182812500000002</v>
      </c>
      <c r="D62" s="449" t="s">
        <v>190</v>
      </c>
      <c r="E62" s="449" t="s">
        <v>190</v>
      </c>
      <c r="F62" s="450" t="s">
        <v>190</v>
      </c>
      <c r="G62" s="451"/>
      <c r="H62" s="478"/>
      <c r="I62" s="425" t="str">
        <f>IF(ISNUMBER(MATCH(G62, 'MP Analysis Input'!$A$17:$A$23, 0)), "soft", IF(EXACT(F62, G62), "none", "hard"))</f>
        <v>hard</v>
      </c>
      <c r="K62"/>
      <c r="L62"/>
      <c r="M62"/>
      <c r="N62"/>
    </row>
    <row r="63" spans="1:94" ht="15" customHeight="1" x14ac:dyDescent="0.25">
      <c r="A63" s="446" t="s">
        <v>253</v>
      </c>
      <c r="B63" s="447">
        <v>180.3</v>
      </c>
      <c r="C63" s="448">
        <f>B63*0.0015625</f>
        <v>0.28171875000000002</v>
      </c>
      <c r="D63" s="449" t="s">
        <v>190</v>
      </c>
      <c r="E63" s="449" t="s">
        <v>190</v>
      </c>
      <c r="F63" s="450" t="s">
        <v>200</v>
      </c>
      <c r="G63" s="451"/>
      <c r="H63" s="478"/>
      <c r="I63" s="425" t="str">
        <f>IF(ISNUMBER(MATCH(G63, 'MP Analysis Input'!$A$17:$A$23, 0)), "soft", IF(EXACT(F63, G63), "none", "hard"))</f>
        <v>hard</v>
      </c>
      <c r="K63"/>
      <c r="L63"/>
      <c r="M63"/>
      <c r="N63"/>
    </row>
    <row r="64" spans="1:94" ht="15" customHeight="1" x14ac:dyDescent="0.25">
      <c r="A64" s="446" t="s">
        <v>254</v>
      </c>
      <c r="B64" s="447">
        <v>42.3</v>
      </c>
      <c r="C64" s="448">
        <f>B64*0.0015625</f>
        <v>6.6093749999999993E-2</v>
      </c>
      <c r="D64" s="449" t="s">
        <v>190</v>
      </c>
      <c r="E64" s="449" t="s">
        <v>190</v>
      </c>
      <c r="F64" s="450" t="s">
        <v>200</v>
      </c>
      <c r="G64" s="451"/>
      <c r="H64" s="478"/>
      <c r="I64" s="425" t="str">
        <f>IF(ISNUMBER(MATCH(G64, 'MP Analysis Input'!$A$17:$A$23, 0)), "soft", IF(EXACT(F64, G64), "none", "hard"))</f>
        <v>hard</v>
      </c>
    </row>
    <row r="65" spans="1:9" ht="15" customHeight="1" x14ac:dyDescent="0.25">
      <c r="A65" s="446" t="s">
        <v>255</v>
      </c>
      <c r="B65" s="447">
        <v>65.2</v>
      </c>
      <c r="C65" s="448">
        <f>B65*0.0015625</f>
        <v>0.10187500000000001</v>
      </c>
      <c r="D65" s="449" t="s">
        <v>141</v>
      </c>
      <c r="E65" s="449" t="s">
        <v>141</v>
      </c>
      <c r="F65" s="450" t="s">
        <v>141</v>
      </c>
      <c r="G65" s="451"/>
      <c r="H65" s="478"/>
      <c r="I65" s="425" t="str">
        <f>IF(ISNUMBER(MATCH(G65, 'MP Analysis Input'!$A$17:$A$23, 0)), "soft", IF(EXACT(F65, G65), "none", "hard"))</f>
        <v>hard</v>
      </c>
    </row>
    <row r="66" spans="1:9" ht="15" customHeight="1" x14ac:dyDescent="0.25">
      <c r="A66" s="446" t="s">
        <v>256</v>
      </c>
      <c r="B66" s="447">
        <v>170.2</v>
      </c>
      <c r="C66" s="448">
        <f>B66*0.0015625</f>
        <v>0.26593749999999999</v>
      </c>
      <c r="D66" s="449" t="s">
        <v>190</v>
      </c>
      <c r="E66" s="449" t="s">
        <v>156</v>
      </c>
      <c r="F66" s="450" t="s">
        <v>156</v>
      </c>
      <c r="G66" s="451"/>
      <c r="H66" s="478"/>
      <c r="I66" s="425" t="str">
        <f>IF(ISNUMBER(MATCH(G66, 'MP Analysis Input'!$A$17:$A$23, 0)), "soft", IF(EXACT(F66, G66), "none", "hard"))</f>
        <v>hard</v>
      </c>
    </row>
    <row r="67" spans="1:9" ht="15" customHeight="1" x14ac:dyDescent="0.25">
      <c r="A67" s="446" t="s">
        <v>257</v>
      </c>
      <c r="B67" s="447">
        <v>257.3</v>
      </c>
      <c r="C67" s="448">
        <f>B67*0.0015625</f>
        <v>0.40203125000000006</v>
      </c>
      <c r="D67" s="449" t="s">
        <v>190</v>
      </c>
      <c r="E67" s="449" t="s">
        <v>190</v>
      </c>
      <c r="F67" s="450" t="s">
        <v>190</v>
      </c>
      <c r="G67" s="451"/>
      <c r="H67" s="478"/>
      <c r="I67" s="425" t="str">
        <f>IF(ISNUMBER(MATCH(G67, 'MP Analysis Input'!$A$17:$A$23, 0)), "soft", IF(EXACT(F67, G67), "none", "hard"))</f>
        <v>hard</v>
      </c>
    </row>
    <row r="68" spans="1:9" ht="15" customHeight="1" x14ac:dyDescent="0.25">
      <c r="A68" s="446" t="s">
        <v>258</v>
      </c>
      <c r="B68" s="447">
        <v>818.3</v>
      </c>
      <c r="C68" s="448">
        <f>B68*0.0015625</f>
        <v>1.27859375</v>
      </c>
      <c r="D68" s="449" t="s">
        <v>190</v>
      </c>
      <c r="E68" s="449" t="s">
        <v>190</v>
      </c>
      <c r="F68" s="450" t="s">
        <v>190</v>
      </c>
      <c r="G68" s="451"/>
      <c r="H68" s="478"/>
      <c r="I68" s="425" t="str">
        <f>IF(ISNUMBER(MATCH(G68, 'MP Analysis Input'!$A$17:$A$23, 0)), "soft", IF(EXACT(F68, G68), "none", "hard"))</f>
        <v>hard</v>
      </c>
    </row>
    <row r="69" spans="1:9" ht="15" customHeight="1" x14ac:dyDescent="0.25">
      <c r="A69" s="446" t="s">
        <v>259</v>
      </c>
      <c r="B69" s="447">
        <v>851.2</v>
      </c>
      <c r="C69" s="448">
        <f>B69*0.0015625</f>
        <v>1.33</v>
      </c>
      <c r="D69" s="449" t="s">
        <v>190</v>
      </c>
      <c r="E69" s="449" t="s">
        <v>190</v>
      </c>
      <c r="F69" s="450" t="s">
        <v>190</v>
      </c>
      <c r="G69" s="451"/>
      <c r="H69" s="478"/>
      <c r="I69" s="425" t="str">
        <f>IF(ISNUMBER(MATCH(G69, 'MP Analysis Input'!$A$17:$A$23, 0)), "soft", IF(EXACT(F69, G69), "none", "hard"))</f>
        <v>hard</v>
      </c>
    </row>
    <row r="70" spans="1:9" ht="15" customHeight="1" x14ac:dyDescent="0.25">
      <c r="A70" s="446" t="s">
        <v>260</v>
      </c>
      <c r="B70" s="447">
        <v>50.4</v>
      </c>
      <c r="C70" s="448">
        <f>B70*0.0015625</f>
        <v>7.8750000000000001E-2</v>
      </c>
      <c r="D70" s="449" t="s">
        <v>190</v>
      </c>
      <c r="E70" s="449" t="s">
        <v>190</v>
      </c>
      <c r="F70" s="450" t="s">
        <v>190</v>
      </c>
      <c r="G70" s="451"/>
      <c r="H70" s="478"/>
      <c r="I70" s="425" t="str">
        <f>IF(ISNUMBER(MATCH(G70, 'MP Analysis Input'!$A$17:$A$23, 0)), "soft", IF(EXACT(F70, G70), "none", "hard"))</f>
        <v>hard</v>
      </c>
    </row>
    <row r="71" spans="1:9" ht="15" customHeight="1" x14ac:dyDescent="0.25">
      <c r="A71" s="446" t="s">
        <v>261</v>
      </c>
      <c r="B71" s="447">
        <v>547.6</v>
      </c>
      <c r="C71" s="448">
        <f>B71*0.0015625</f>
        <v>0.85562500000000008</v>
      </c>
      <c r="D71" s="449" t="s">
        <v>190</v>
      </c>
      <c r="E71" s="449" t="s">
        <v>190</v>
      </c>
      <c r="F71" s="450" t="s">
        <v>190</v>
      </c>
      <c r="G71" s="451"/>
      <c r="H71" s="478"/>
      <c r="I71" s="425" t="str">
        <f>IF(ISNUMBER(MATCH(G71, 'MP Analysis Input'!$A$17:$A$23, 0)), "soft", IF(EXACT(F71, G71), "none", "hard"))</f>
        <v>hard</v>
      </c>
    </row>
    <row r="72" spans="1:9" ht="15" customHeight="1" x14ac:dyDescent="0.25">
      <c r="A72" s="446" t="s">
        <v>262</v>
      </c>
      <c r="B72" s="447">
        <v>545.29999999999995</v>
      </c>
      <c r="C72" s="448">
        <f>B72*0.0015625</f>
        <v>0.85203125000000002</v>
      </c>
      <c r="D72" s="449" t="s">
        <v>190</v>
      </c>
      <c r="E72" s="449" t="s">
        <v>190</v>
      </c>
      <c r="F72" s="450" t="s">
        <v>190</v>
      </c>
      <c r="G72" s="451"/>
      <c r="H72" s="478"/>
      <c r="I72" s="425" t="str">
        <f>IF(ISNUMBER(MATCH(G72, 'MP Analysis Input'!$A$17:$A$23, 0)), "soft", IF(EXACT(F72, G72), "none", "hard"))</f>
        <v>hard</v>
      </c>
    </row>
    <row r="73" spans="1:9" ht="15" customHeight="1" x14ac:dyDescent="0.25">
      <c r="A73" s="446" t="s">
        <v>263</v>
      </c>
      <c r="B73" s="447">
        <v>453</v>
      </c>
      <c r="C73" s="448">
        <f>B73*0.0015625</f>
        <v>0.70781250000000007</v>
      </c>
      <c r="D73" s="449" t="s">
        <v>190</v>
      </c>
      <c r="E73" s="449" t="s">
        <v>190</v>
      </c>
      <c r="F73" s="450" t="s">
        <v>173</v>
      </c>
      <c r="G73" s="451"/>
      <c r="H73" s="478"/>
      <c r="I73" s="425" t="str">
        <f>IF(ISNUMBER(MATCH(G73, 'MP Analysis Input'!$A$17:$A$23, 0)), "soft", IF(EXACT(F73, G73), "none", "hard"))</f>
        <v>hard</v>
      </c>
    </row>
    <row r="74" spans="1:9" ht="15" customHeight="1" x14ac:dyDescent="0.25">
      <c r="A74" s="446" t="s">
        <v>264</v>
      </c>
      <c r="B74" s="447">
        <v>300</v>
      </c>
      <c r="C74" s="448">
        <f>B74*0.0015625</f>
        <v>0.46875</v>
      </c>
      <c r="D74" s="449" t="s">
        <v>190</v>
      </c>
      <c r="E74" s="449" t="s">
        <v>190</v>
      </c>
      <c r="F74" s="450" t="s">
        <v>173</v>
      </c>
      <c r="G74" s="451"/>
      <c r="H74" s="478"/>
      <c r="I74" s="425" t="str">
        <f>IF(ISNUMBER(MATCH(G74, 'MP Analysis Input'!$A$17:$A$23, 0)), "soft", IF(EXACT(F74, G74), "none", "hard"))</f>
        <v>hard</v>
      </c>
    </row>
    <row r="75" spans="1:9" ht="15" customHeight="1" x14ac:dyDescent="0.25">
      <c r="A75" s="446" t="s">
        <v>265</v>
      </c>
      <c r="B75" s="447">
        <v>219.8</v>
      </c>
      <c r="C75" s="448">
        <f>B75*0.0015625</f>
        <v>0.34343750000000006</v>
      </c>
      <c r="D75" s="449" t="s">
        <v>194</v>
      </c>
      <c r="E75" s="449" t="s">
        <v>194</v>
      </c>
      <c r="F75" s="450" t="s">
        <v>194</v>
      </c>
      <c r="G75" s="451"/>
      <c r="H75" s="478"/>
      <c r="I75" s="425" t="str">
        <f>IF(ISNUMBER(MATCH(G75, 'MP Analysis Input'!$A$17:$A$23, 0)), "soft", IF(EXACT(F75, G75), "none", "hard"))</f>
        <v>hard</v>
      </c>
    </row>
    <row r="76" spans="1:9" ht="15" customHeight="1" x14ac:dyDescent="0.25">
      <c r="A76" s="446" t="s">
        <v>266</v>
      </c>
      <c r="B76" s="447">
        <v>479.5</v>
      </c>
      <c r="C76" s="448">
        <f>B76*0.0015625</f>
        <v>0.74921875000000004</v>
      </c>
      <c r="D76" s="449" t="s">
        <v>194</v>
      </c>
      <c r="E76" s="449" t="s">
        <v>194</v>
      </c>
      <c r="F76" s="450" t="s">
        <v>194</v>
      </c>
      <c r="G76" s="451"/>
      <c r="H76" s="478"/>
      <c r="I76" s="425" t="str">
        <f>IF(ISNUMBER(MATCH(G76, 'MP Analysis Input'!$A$17:$A$23, 0)), "soft", IF(EXACT(F76, G76), "none", "hard"))</f>
        <v>hard</v>
      </c>
    </row>
    <row r="77" spans="1:9" ht="15" customHeight="1" x14ac:dyDescent="0.25">
      <c r="A77" s="446" t="s">
        <v>267</v>
      </c>
      <c r="B77" s="447">
        <v>258.10000000000002</v>
      </c>
      <c r="C77" s="448">
        <f>B77*0.0015625</f>
        <v>0.40328125000000004</v>
      </c>
      <c r="D77" s="449" t="s">
        <v>194</v>
      </c>
      <c r="E77" s="449" t="s">
        <v>194</v>
      </c>
      <c r="F77" s="450" t="s">
        <v>194</v>
      </c>
      <c r="G77" s="451"/>
      <c r="H77" s="478"/>
      <c r="I77" s="425" t="str">
        <f>IF(ISNUMBER(MATCH(G77, 'MP Analysis Input'!$A$17:$A$23, 0)), "soft", IF(EXACT(F77, G77), "none", "hard"))</f>
        <v>hard</v>
      </c>
    </row>
    <row r="78" spans="1:9" ht="15" customHeight="1" x14ac:dyDescent="0.25">
      <c r="A78" s="446" t="s">
        <v>268</v>
      </c>
      <c r="B78" s="447">
        <v>163.30000000000001</v>
      </c>
      <c r="C78" s="448">
        <f>B78*0.0015625</f>
        <v>0.25515625000000003</v>
      </c>
      <c r="D78" s="449" t="s">
        <v>190</v>
      </c>
      <c r="E78" s="449" t="s">
        <v>190</v>
      </c>
      <c r="F78" s="450" t="s">
        <v>141</v>
      </c>
      <c r="G78" s="451"/>
      <c r="H78" s="478"/>
      <c r="I78" s="425" t="str">
        <f>IF(ISNUMBER(MATCH(G78, 'MP Analysis Input'!$A$17:$A$23, 0)), "soft", IF(EXACT(F78, G78), "none", "hard"))</f>
        <v>hard</v>
      </c>
    </row>
    <row r="79" spans="1:9" ht="15" customHeight="1" x14ac:dyDescent="0.25">
      <c r="A79" s="446" t="s">
        <v>269</v>
      </c>
      <c r="B79" s="447">
        <v>689.3</v>
      </c>
      <c r="C79" s="448">
        <f>B79*0.0015625</f>
        <v>1.0770312499999999</v>
      </c>
      <c r="D79" s="449" t="s">
        <v>190</v>
      </c>
      <c r="E79" s="449" t="s">
        <v>190</v>
      </c>
      <c r="F79" s="450" t="s">
        <v>131</v>
      </c>
      <c r="G79" s="451"/>
      <c r="H79" s="478"/>
      <c r="I79" s="425" t="str">
        <f>IF(ISNUMBER(MATCH(G79, 'MP Analysis Input'!$A$17:$A$23, 0)), "soft", IF(EXACT(F79, G79), "none", "hard"))</f>
        <v>hard</v>
      </c>
    </row>
    <row r="80" spans="1:9" ht="15" customHeight="1" x14ac:dyDescent="0.25">
      <c r="A80" s="446" t="s">
        <v>270</v>
      </c>
      <c r="B80" s="447">
        <v>316.89999999999998</v>
      </c>
      <c r="C80" s="448">
        <f>B80*0.0015625</f>
        <v>0.49515624999999996</v>
      </c>
      <c r="D80" s="449" t="s">
        <v>194</v>
      </c>
      <c r="E80" s="449" t="s">
        <v>194</v>
      </c>
      <c r="F80" s="450" t="s">
        <v>194</v>
      </c>
      <c r="G80" s="451"/>
      <c r="H80" s="478"/>
      <c r="I80" s="425" t="str">
        <f>IF(ISNUMBER(MATCH(G80, 'MP Analysis Input'!$A$17:$A$23, 0)), "soft", IF(EXACT(F80, G80), "none", "hard"))</f>
        <v>hard</v>
      </c>
    </row>
    <row r="81" spans="1:9" ht="15" customHeight="1" x14ac:dyDescent="0.25">
      <c r="A81" s="446" t="s">
        <v>271</v>
      </c>
      <c r="B81" s="447">
        <v>172.8</v>
      </c>
      <c r="C81" s="448">
        <f>B81*0.0015625</f>
        <v>0.27</v>
      </c>
      <c r="D81" s="449" t="s">
        <v>194</v>
      </c>
      <c r="E81" s="449" t="s">
        <v>194</v>
      </c>
      <c r="F81" s="450" t="s">
        <v>194</v>
      </c>
      <c r="G81" s="451"/>
      <c r="H81" s="478"/>
      <c r="I81" s="425" t="str">
        <f>IF(ISNUMBER(MATCH(G81, 'MP Analysis Input'!$A$17:$A$23, 0)), "soft", IF(EXACT(F81, G81), "none", "hard"))</f>
        <v>hard</v>
      </c>
    </row>
    <row r="82" spans="1:9" ht="15" customHeight="1" x14ac:dyDescent="0.25">
      <c r="A82" s="446" t="s">
        <v>272</v>
      </c>
      <c r="B82" s="447">
        <v>112.2</v>
      </c>
      <c r="C82" s="448">
        <f>B82*0.0015625</f>
        <v>0.17531250000000001</v>
      </c>
      <c r="D82" s="449" t="s">
        <v>168</v>
      </c>
      <c r="E82" s="449" t="s">
        <v>168</v>
      </c>
      <c r="F82" s="450" t="s">
        <v>173</v>
      </c>
      <c r="G82" s="451"/>
      <c r="H82" s="478"/>
      <c r="I82" s="425" t="str">
        <f>IF(ISNUMBER(MATCH(G82, 'MP Analysis Input'!$A$17:$A$23, 0)), "soft", IF(EXACT(F82, G82), "none", "hard"))</f>
        <v>hard</v>
      </c>
    </row>
    <row r="83" spans="1:9" ht="15" customHeight="1" x14ac:dyDescent="0.25">
      <c r="A83" s="446" t="s">
        <v>273</v>
      </c>
      <c r="B83" s="447">
        <v>67.3</v>
      </c>
      <c r="C83" s="448">
        <f>B83*0.0015625</f>
        <v>0.10515625000000001</v>
      </c>
      <c r="D83" s="449" t="s">
        <v>194</v>
      </c>
      <c r="E83" s="449" t="s">
        <v>194</v>
      </c>
      <c r="F83" s="450" t="s">
        <v>152</v>
      </c>
      <c r="G83" s="451"/>
      <c r="H83" s="478"/>
      <c r="I83" s="425" t="str">
        <f>IF(ISNUMBER(MATCH(G83, 'MP Analysis Input'!$A$17:$A$23, 0)), "soft", IF(EXACT(F83, G83), "none", "hard"))</f>
        <v>hard</v>
      </c>
    </row>
    <row r="84" spans="1:9" ht="15" customHeight="1" x14ac:dyDescent="0.25">
      <c r="A84" s="446" t="s">
        <v>274</v>
      </c>
      <c r="B84" s="447">
        <v>91.6</v>
      </c>
      <c r="C84" s="448">
        <f>B84*0.0015625</f>
        <v>0.143125</v>
      </c>
      <c r="D84" s="449" t="s">
        <v>194</v>
      </c>
      <c r="E84" s="449" t="s">
        <v>194</v>
      </c>
      <c r="F84" s="450" t="s">
        <v>152</v>
      </c>
      <c r="G84" s="451"/>
      <c r="H84" s="478"/>
      <c r="I84" s="425" t="str">
        <f>IF(ISNUMBER(MATCH(G84, 'MP Analysis Input'!$A$17:$A$23, 0)), "soft", IF(EXACT(F84, G84), "none", "hard"))</f>
        <v>hard</v>
      </c>
    </row>
    <row r="85" spans="1:9" ht="15" customHeight="1" x14ac:dyDescent="0.25">
      <c r="A85" s="446" t="s">
        <v>275</v>
      </c>
      <c r="B85" s="447">
        <v>288.39999999999998</v>
      </c>
      <c r="C85" s="448">
        <f>B85*0.0015625</f>
        <v>0.450625</v>
      </c>
      <c r="D85" s="449" t="s">
        <v>190</v>
      </c>
      <c r="E85" s="449" t="s">
        <v>190</v>
      </c>
      <c r="F85" s="450" t="s">
        <v>173</v>
      </c>
      <c r="G85" s="451"/>
      <c r="H85" s="478"/>
      <c r="I85" s="425" t="str">
        <f>IF(ISNUMBER(MATCH(G85, 'MP Analysis Input'!$A$17:$A$23, 0)), "soft", IF(EXACT(F85, G85), "none", "hard"))</f>
        <v>hard</v>
      </c>
    </row>
    <row r="86" spans="1:9" ht="15" customHeight="1" x14ac:dyDescent="0.25">
      <c r="A86" s="446" t="s">
        <v>276</v>
      </c>
      <c r="B86" s="447">
        <v>357.2</v>
      </c>
      <c r="C86" s="448">
        <f>B86*0.0015625</f>
        <v>0.55812499999999998</v>
      </c>
      <c r="D86" s="449" t="s">
        <v>190</v>
      </c>
      <c r="E86" s="449" t="s">
        <v>190</v>
      </c>
      <c r="F86" s="450" t="s">
        <v>173</v>
      </c>
      <c r="G86" s="451"/>
      <c r="H86" s="478"/>
      <c r="I86" s="425" t="str">
        <f>IF(ISNUMBER(MATCH(G86, 'MP Analysis Input'!$A$17:$A$23, 0)), "soft", IF(EXACT(F86, G86), "none", "hard"))</f>
        <v>hard</v>
      </c>
    </row>
    <row r="87" spans="1:9" ht="15" customHeight="1" x14ac:dyDescent="0.25">
      <c r="A87" s="446" t="s">
        <v>277</v>
      </c>
      <c r="B87" s="447">
        <v>275.8</v>
      </c>
      <c r="C87" s="448">
        <f>B87*0.0015625</f>
        <v>0.43093750000000003</v>
      </c>
      <c r="D87" s="449" t="s">
        <v>194</v>
      </c>
      <c r="E87" s="449" t="s">
        <v>194</v>
      </c>
      <c r="F87" s="450" t="s">
        <v>194</v>
      </c>
      <c r="G87" s="451"/>
      <c r="H87" s="478"/>
      <c r="I87" s="425" t="str">
        <f>IF(ISNUMBER(MATCH(G87, 'MP Analysis Input'!$A$17:$A$23, 0)), "soft", IF(EXACT(F87, G87), "none", "hard"))</f>
        <v>hard</v>
      </c>
    </row>
    <row r="88" spans="1:9" ht="15" customHeight="1" x14ac:dyDescent="0.25">
      <c r="A88" s="446" t="s">
        <v>278</v>
      </c>
      <c r="B88" s="447">
        <v>391.6</v>
      </c>
      <c r="C88" s="448">
        <f>B88*0.0015625</f>
        <v>0.61187500000000006</v>
      </c>
      <c r="D88" s="449" t="s">
        <v>194</v>
      </c>
      <c r="E88" s="449" t="s">
        <v>194</v>
      </c>
      <c r="F88" s="450" t="s">
        <v>194</v>
      </c>
      <c r="G88" s="451"/>
      <c r="H88" s="478"/>
      <c r="I88" s="425" t="str">
        <f>IF(ISNUMBER(MATCH(G88, 'MP Analysis Input'!$A$17:$A$23, 0)), "soft", IF(EXACT(F88, G88), "none", "hard"))</f>
        <v>hard</v>
      </c>
    </row>
    <row r="89" spans="1:9" ht="15" customHeight="1" x14ac:dyDescent="0.25">
      <c r="A89" s="446" t="s">
        <v>279</v>
      </c>
      <c r="B89" s="447">
        <v>21.4</v>
      </c>
      <c r="C89" s="448">
        <f>B89*0.0015625</f>
        <v>3.3437500000000002E-2</v>
      </c>
      <c r="D89" s="449" t="s">
        <v>141</v>
      </c>
      <c r="E89" s="449" t="s">
        <v>141</v>
      </c>
      <c r="F89" s="450" t="s">
        <v>141</v>
      </c>
      <c r="G89" s="451"/>
      <c r="H89" s="478"/>
      <c r="I89" s="425" t="str">
        <f>IF(ISNUMBER(MATCH(G89, 'MP Analysis Input'!$A$17:$A$23, 0)), "soft", IF(EXACT(F89, G89), "none", "hard"))</f>
        <v>hard</v>
      </c>
    </row>
    <row r="90" spans="1:9" ht="15" customHeight="1" x14ac:dyDescent="0.25">
      <c r="A90" s="446" t="s">
        <v>280</v>
      </c>
      <c r="B90" s="447">
        <v>143.1</v>
      </c>
      <c r="C90" s="448">
        <f>B90*0.0015625</f>
        <v>0.22359375000000001</v>
      </c>
      <c r="D90" s="449" t="s">
        <v>141</v>
      </c>
      <c r="E90" s="449" t="s">
        <v>141</v>
      </c>
      <c r="F90" s="450" t="s">
        <v>141</v>
      </c>
      <c r="G90" s="451"/>
      <c r="H90" s="478"/>
      <c r="I90" s="425" t="str">
        <f>IF(ISNUMBER(MATCH(G90, 'MP Analysis Input'!$A$17:$A$23, 0)), "soft", IF(EXACT(F90, G90), "none", "hard"))</f>
        <v>hard</v>
      </c>
    </row>
    <row r="91" spans="1:9" ht="15" customHeight="1" x14ac:dyDescent="0.25">
      <c r="A91" s="446" t="s">
        <v>281</v>
      </c>
      <c r="B91" s="447">
        <v>82.6</v>
      </c>
      <c r="C91" s="448">
        <f>B91*0.0015625</f>
        <v>0.1290625</v>
      </c>
      <c r="D91" s="449" t="s">
        <v>141</v>
      </c>
      <c r="E91" s="449" t="s">
        <v>141</v>
      </c>
      <c r="F91" s="450" t="s">
        <v>141</v>
      </c>
      <c r="G91" s="451"/>
      <c r="H91" s="478"/>
      <c r="I91" s="425" t="str">
        <f>IF(ISNUMBER(MATCH(G91, 'MP Analysis Input'!$A$17:$A$23, 0)), "soft", IF(EXACT(F91, G91), "none", "hard"))</f>
        <v>hard</v>
      </c>
    </row>
    <row r="92" spans="1:9" ht="15" customHeight="1" x14ac:dyDescent="0.25">
      <c r="A92" s="446" t="s">
        <v>282</v>
      </c>
      <c r="B92" s="447">
        <v>377.8</v>
      </c>
      <c r="C92" s="448">
        <f>B92*0.0015625</f>
        <v>0.59031250000000002</v>
      </c>
      <c r="D92" s="449" t="s">
        <v>168</v>
      </c>
      <c r="E92" s="449" t="s">
        <v>168</v>
      </c>
      <c r="F92" s="450" t="s">
        <v>156</v>
      </c>
      <c r="G92" s="451"/>
      <c r="H92" s="478"/>
      <c r="I92" s="425" t="str">
        <f>IF(ISNUMBER(MATCH(G92, 'MP Analysis Input'!$A$17:$A$23, 0)), "soft", IF(EXACT(F92, G92), "none", "hard"))</f>
        <v>hard</v>
      </c>
    </row>
    <row r="93" spans="1:9" ht="15" customHeight="1" x14ac:dyDescent="0.25">
      <c r="A93" s="446" t="s">
        <v>283</v>
      </c>
      <c r="B93" s="447">
        <v>149.19999999999999</v>
      </c>
      <c r="C93" s="448">
        <f>B93*0.0015625</f>
        <v>0.233125</v>
      </c>
      <c r="D93" s="449" t="s">
        <v>190</v>
      </c>
      <c r="E93" s="449" t="s">
        <v>190</v>
      </c>
      <c r="F93" s="450" t="s">
        <v>200</v>
      </c>
      <c r="G93" s="451"/>
      <c r="H93" s="478"/>
      <c r="I93" s="425" t="str">
        <f>IF(ISNUMBER(MATCH(G93, 'MP Analysis Input'!$A$17:$A$23, 0)), "soft", IF(EXACT(F93, G93), "none", "hard"))</f>
        <v>hard</v>
      </c>
    </row>
    <row r="94" spans="1:9" ht="15" customHeight="1" x14ac:dyDescent="0.25">
      <c r="A94" s="446" t="s">
        <v>284</v>
      </c>
      <c r="B94" s="447">
        <v>318.7</v>
      </c>
      <c r="C94" s="448">
        <f>B94*0.0015625</f>
        <v>0.49796875000000002</v>
      </c>
      <c r="D94" s="449" t="s">
        <v>190</v>
      </c>
      <c r="E94" s="449" t="s">
        <v>190</v>
      </c>
      <c r="F94" s="450" t="s">
        <v>200</v>
      </c>
      <c r="G94" s="451"/>
      <c r="H94" s="478"/>
      <c r="I94" s="425" t="str">
        <f>IF(ISNUMBER(MATCH(G94, 'MP Analysis Input'!$A$17:$A$23, 0)), "soft", IF(EXACT(F94, G94), "none", "hard"))</f>
        <v>hard</v>
      </c>
    </row>
    <row r="95" spans="1:9" ht="15" customHeight="1" x14ac:dyDescent="0.25">
      <c r="A95" s="446" t="s">
        <v>285</v>
      </c>
      <c r="B95" s="447">
        <v>77.5</v>
      </c>
      <c r="C95" s="448">
        <f>B95*0.0015625</f>
        <v>0.12109375</v>
      </c>
      <c r="D95" s="449" t="s">
        <v>190</v>
      </c>
      <c r="E95" s="449" t="s">
        <v>190</v>
      </c>
      <c r="F95" s="450" t="s">
        <v>190</v>
      </c>
      <c r="G95" s="451"/>
      <c r="H95" s="478"/>
      <c r="I95" s="425" t="str">
        <f>IF(ISNUMBER(MATCH(G95, 'MP Analysis Input'!$A$17:$A$23, 0)), "soft", IF(EXACT(F95, G95), "none", "hard"))</f>
        <v>hard</v>
      </c>
    </row>
    <row r="96" spans="1:9" ht="15" customHeight="1" x14ac:dyDescent="0.25">
      <c r="A96" s="446" t="s">
        <v>286</v>
      </c>
      <c r="B96" s="447">
        <v>386.5</v>
      </c>
      <c r="C96" s="448">
        <f>B96*0.0015625</f>
        <v>0.60390625000000009</v>
      </c>
      <c r="D96" s="449" t="s">
        <v>190</v>
      </c>
      <c r="E96" s="449" t="s">
        <v>190</v>
      </c>
      <c r="F96" s="450" t="s">
        <v>200</v>
      </c>
      <c r="G96" s="451"/>
      <c r="H96" s="478"/>
      <c r="I96" s="425" t="str">
        <f>IF(ISNUMBER(MATCH(G96, 'MP Analysis Input'!$A$17:$A$23, 0)), "soft", IF(EXACT(F96, G96), "none", "hard"))</f>
        <v>hard</v>
      </c>
    </row>
    <row r="97" spans="1:9" ht="15" customHeight="1" x14ac:dyDescent="0.25">
      <c r="A97" s="446" t="s">
        <v>287</v>
      </c>
      <c r="B97" s="447">
        <v>149.4</v>
      </c>
      <c r="C97" s="448">
        <f>B97*0.0015625</f>
        <v>0.23343750000000002</v>
      </c>
      <c r="D97" s="449" t="s">
        <v>190</v>
      </c>
      <c r="E97" s="449" t="s">
        <v>190</v>
      </c>
      <c r="F97" s="450" t="s">
        <v>190</v>
      </c>
      <c r="G97" s="451"/>
      <c r="H97" s="478"/>
      <c r="I97" s="425" t="str">
        <f>IF(ISNUMBER(MATCH(G97, 'MP Analysis Input'!$A$17:$A$23, 0)), "soft", IF(EXACT(F97, G97), "none", "hard"))</f>
        <v>hard</v>
      </c>
    </row>
    <row r="98" spans="1:9" ht="15" customHeight="1" x14ac:dyDescent="0.25">
      <c r="A98" s="446" t="s">
        <v>288</v>
      </c>
      <c r="B98" s="447">
        <v>87.4</v>
      </c>
      <c r="C98" s="448">
        <f>B98*0.0015625</f>
        <v>0.1365625</v>
      </c>
      <c r="D98" s="449" t="s">
        <v>190</v>
      </c>
      <c r="E98" s="449" t="s">
        <v>190</v>
      </c>
      <c r="F98" s="450" t="s">
        <v>190</v>
      </c>
      <c r="G98" s="451"/>
      <c r="H98" s="478"/>
      <c r="I98" s="425" t="str">
        <f>IF(ISNUMBER(MATCH(G98, 'MP Analysis Input'!$A$17:$A$23, 0)), "soft", IF(EXACT(F98, G98), "none", "hard"))</f>
        <v>hard</v>
      </c>
    </row>
    <row r="99" spans="1:9" ht="15" customHeight="1" x14ac:dyDescent="0.25">
      <c r="A99" s="446" t="s">
        <v>289</v>
      </c>
      <c r="B99" s="447">
        <v>161.5</v>
      </c>
      <c r="C99" s="448">
        <f>B99*0.0015625</f>
        <v>0.25234375000000003</v>
      </c>
      <c r="D99" s="449" t="s">
        <v>194</v>
      </c>
      <c r="E99" s="449" t="s">
        <v>194</v>
      </c>
      <c r="F99" s="450" t="s">
        <v>194</v>
      </c>
      <c r="G99" s="451"/>
      <c r="H99" s="478"/>
      <c r="I99" s="425" t="str">
        <f>IF(ISNUMBER(MATCH(G99, 'MP Analysis Input'!$A$17:$A$23, 0)), "soft", IF(EXACT(F99, G99), "none", "hard"))</f>
        <v>hard</v>
      </c>
    </row>
    <row r="100" spans="1:9" ht="15" customHeight="1" x14ac:dyDescent="0.25">
      <c r="A100" s="446" t="s">
        <v>290</v>
      </c>
      <c r="B100" s="447">
        <v>67.2</v>
      </c>
      <c r="C100" s="448">
        <f>B100*0.0015625</f>
        <v>0.10500000000000001</v>
      </c>
      <c r="D100" s="449" t="s">
        <v>194</v>
      </c>
      <c r="E100" s="449" t="s">
        <v>194</v>
      </c>
      <c r="F100" s="450" t="s">
        <v>194</v>
      </c>
      <c r="G100" s="451"/>
      <c r="H100" s="478"/>
      <c r="I100" s="425" t="str">
        <f>IF(ISNUMBER(MATCH(G100, 'MP Analysis Input'!$A$17:$A$23, 0)), "soft", IF(EXACT(F100, G100), "none", "hard"))</f>
        <v>hard</v>
      </c>
    </row>
    <row r="101" spans="1:9" ht="15" customHeight="1" x14ac:dyDescent="0.25">
      <c r="A101" s="446" t="s">
        <v>291</v>
      </c>
      <c r="B101" s="447">
        <v>86.4</v>
      </c>
      <c r="C101" s="448">
        <f>B101*0.0015625</f>
        <v>0.13500000000000001</v>
      </c>
      <c r="D101" s="449" t="s">
        <v>190</v>
      </c>
      <c r="E101" s="449" t="s">
        <v>190</v>
      </c>
      <c r="F101" s="450" t="s">
        <v>190</v>
      </c>
      <c r="G101" s="451"/>
      <c r="H101" s="478"/>
      <c r="I101" s="425" t="str">
        <f>IF(ISNUMBER(MATCH(G101, 'MP Analysis Input'!$A$17:$A$23, 0)), "soft", IF(EXACT(F101, G101), "none", "hard"))</f>
        <v>hard</v>
      </c>
    </row>
    <row r="102" spans="1:9" ht="15" customHeight="1" x14ac:dyDescent="0.25">
      <c r="A102" s="446" t="s">
        <v>292</v>
      </c>
      <c r="B102" s="447">
        <v>19.899999999999999</v>
      </c>
      <c r="C102" s="448">
        <f>B102*0.0015625</f>
        <v>3.109375E-2</v>
      </c>
      <c r="D102" s="449" t="s">
        <v>207</v>
      </c>
      <c r="E102" s="449" t="s">
        <v>207</v>
      </c>
      <c r="F102" s="450" t="s">
        <v>207</v>
      </c>
      <c r="G102" s="451"/>
      <c r="H102" s="478"/>
      <c r="I102" s="425" t="str">
        <f>IF(ISNUMBER(MATCH(G102, 'MP Analysis Input'!$A$17:$A$23, 0)), "soft", IF(EXACT(F102, G102), "none", "hard"))</f>
        <v>hard</v>
      </c>
    </row>
    <row r="103" spans="1:9" ht="15" customHeight="1" x14ac:dyDescent="0.25">
      <c r="A103" s="446" t="s">
        <v>293</v>
      </c>
      <c r="B103" s="447">
        <v>19.8</v>
      </c>
      <c r="C103" s="448">
        <f>B103*0.0015625</f>
        <v>3.0937500000000003E-2</v>
      </c>
      <c r="D103" s="449" t="s">
        <v>190</v>
      </c>
      <c r="E103" s="449" t="s">
        <v>190</v>
      </c>
      <c r="F103" s="450" t="s">
        <v>190</v>
      </c>
      <c r="G103" s="451"/>
      <c r="H103" s="478"/>
      <c r="I103" s="425" t="str">
        <f>IF(ISNUMBER(MATCH(G103, 'MP Analysis Input'!$A$17:$A$23, 0)), "soft", IF(EXACT(F103, G103), "none", "hard"))</f>
        <v>hard</v>
      </c>
    </row>
    <row r="104" spans="1:9" ht="15" customHeight="1" x14ac:dyDescent="0.25">
      <c r="A104" s="446" t="s">
        <v>294</v>
      </c>
      <c r="B104" s="447">
        <v>139.19999999999999</v>
      </c>
      <c r="C104" s="448">
        <f>B104*0.0015625</f>
        <v>0.2175</v>
      </c>
      <c r="D104" s="449" t="s">
        <v>190</v>
      </c>
      <c r="E104" s="449" t="s">
        <v>190</v>
      </c>
      <c r="F104" s="450" t="s">
        <v>190</v>
      </c>
      <c r="G104" s="451"/>
      <c r="H104" s="478"/>
      <c r="I104" s="425" t="str">
        <f>IF(ISNUMBER(MATCH(G104, 'MP Analysis Input'!$A$17:$A$23, 0)), "soft", IF(EXACT(F104, G104), "none", "hard"))</f>
        <v>hard</v>
      </c>
    </row>
    <row r="105" spans="1:9" ht="15" customHeight="1" x14ac:dyDescent="0.25">
      <c r="A105" s="446" t="s">
        <v>295</v>
      </c>
      <c r="B105" s="447">
        <v>80.599999999999994</v>
      </c>
      <c r="C105" s="448">
        <f>B105*0.0015625</f>
        <v>0.12593750000000001</v>
      </c>
      <c r="D105" s="449" t="s">
        <v>194</v>
      </c>
      <c r="E105" s="449" t="s">
        <v>194</v>
      </c>
      <c r="F105" s="450" t="s">
        <v>194</v>
      </c>
      <c r="G105" s="451"/>
      <c r="H105" s="478"/>
      <c r="I105" s="425" t="str">
        <f>IF(ISNUMBER(MATCH(G105, 'MP Analysis Input'!$A$17:$A$23, 0)), "soft", IF(EXACT(F105, G105), "none", "hard"))</f>
        <v>hard</v>
      </c>
    </row>
    <row r="106" spans="1:9" ht="15" customHeight="1" x14ac:dyDescent="0.25">
      <c r="A106" s="446" t="s">
        <v>296</v>
      </c>
      <c r="B106" s="447">
        <v>40</v>
      </c>
      <c r="C106" s="448">
        <f>B106*0.0015625</f>
        <v>6.25E-2</v>
      </c>
      <c r="D106" s="449" t="s">
        <v>204</v>
      </c>
      <c r="E106" s="449" t="s">
        <v>204</v>
      </c>
      <c r="F106" s="450" t="s">
        <v>204</v>
      </c>
      <c r="G106" s="451"/>
      <c r="H106" s="478"/>
      <c r="I106" s="425" t="str">
        <f>IF(ISNUMBER(MATCH(G106, 'MP Analysis Input'!$A$17:$A$23, 0)), "soft", IF(EXACT(F106, G106), "none", "hard"))</f>
        <v>hard</v>
      </c>
    </row>
    <row r="107" spans="1:9" ht="15" customHeight="1" x14ac:dyDescent="0.25">
      <c r="A107" s="446" t="s">
        <v>297</v>
      </c>
      <c r="B107" s="447">
        <v>19.7</v>
      </c>
      <c r="C107" s="448">
        <f>B107*0.0015625</f>
        <v>3.078125E-2</v>
      </c>
      <c r="D107" s="449" t="s">
        <v>204</v>
      </c>
      <c r="E107" s="449" t="s">
        <v>204</v>
      </c>
      <c r="F107" s="450" t="s">
        <v>204</v>
      </c>
      <c r="G107" s="451"/>
      <c r="H107" s="478"/>
      <c r="I107" s="425" t="str">
        <f>IF(ISNUMBER(MATCH(G107, 'MP Analysis Input'!$A$17:$A$23, 0)), "soft", IF(EXACT(F107, G107), "none", "hard"))</f>
        <v>hard</v>
      </c>
    </row>
    <row r="108" spans="1:9" ht="15" customHeight="1" x14ac:dyDescent="0.25">
      <c r="A108" s="446" t="s">
        <v>298</v>
      </c>
      <c r="B108" s="447">
        <v>43.4</v>
      </c>
      <c r="C108" s="448">
        <f>B108*0.0015625</f>
        <v>6.7812499999999998E-2</v>
      </c>
      <c r="D108" s="449" t="s">
        <v>194</v>
      </c>
      <c r="E108" s="449" t="s">
        <v>194</v>
      </c>
      <c r="F108" s="450" t="s">
        <v>141</v>
      </c>
      <c r="G108" s="451"/>
      <c r="H108" s="478"/>
      <c r="I108" s="425" t="str">
        <f>IF(ISNUMBER(MATCH(G108, 'MP Analysis Input'!$A$17:$A$23, 0)), "soft", IF(EXACT(F108, G108), "none", "hard"))</f>
        <v>hard</v>
      </c>
    </row>
    <row r="109" spans="1:9" ht="15" customHeight="1" x14ac:dyDescent="0.25">
      <c r="A109" s="446" t="s">
        <v>299</v>
      </c>
      <c r="B109" s="447">
        <v>40</v>
      </c>
      <c r="C109" s="448">
        <f>B109*0.0015625</f>
        <v>6.25E-2</v>
      </c>
      <c r="D109" s="449" t="s">
        <v>204</v>
      </c>
      <c r="E109" s="449" t="s">
        <v>204</v>
      </c>
      <c r="F109" s="450" t="s">
        <v>204</v>
      </c>
      <c r="G109" s="451"/>
      <c r="H109" s="478"/>
      <c r="I109" s="425" t="str">
        <f>IF(ISNUMBER(MATCH(G109, 'MP Analysis Input'!$A$17:$A$23, 0)), "soft", IF(EXACT(F109, G109), "none", "hard"))</f>
        <v>hard</v>
      </c>
    </row>
    <row r="110" spans="1:9" ht="15" customHeight="1" x14ac:dyDescent="0.25">
      <c r="A110" s="446" t="s">
        <v>300</v>
      </c>
      <c r="B110" s="447">
        <v>40</v>
      </c>
      <c r="C110" s="448">
        <f>B110*0.0015625</f>
        <v>6.25E-2</v>
      </c>
      <c r="D110" s="449" t="s">
        <v>204</v>
      </c>
      <c r="E110" s="449" t="s">
        <v>204</v>
      </c>
      <c r="F110" s="450" t="s">
        <v>204</v>
      </c>
      <c r="G110" s="451"/>
      <c r="H110" s="478"/>
      <c r="I110" s="425" t="str">
        <f>IF(ISNUMBER(MATCH(G110, 'MP Analysis Input'!$A$17:$A$23, 0)), "soft", IF(EXACT(F110, G110), "none", "hard"))</f>
        <v>hard</v>
      </c>
    </row>
    <row r="111" spans="1:9" ht="15" customHeight="1" x14ac:dyDescent="0.25">
      <c r="A111" s="446" t="s">
        <v>301</v>
      </c>
      <c r="B111" s="447">
        <v>40</v>
      </c>
      <c r="C111" s="448">
        <f>B111*0.0015625</f>
        <v>6.25E-2</v>
      </c>
      <c r="D111" s="449" t="s">
        <v>204</v>
      </c>
      <c r="E111" s="449" t="s">
        <v>204</v>
      </c>
      <c r="F111" s="450" t="s">
        <v>204</v>
      </c>
      <c r="G111" s="451"/>
      <c r="H111" s="478"/>
      <c r="I111" s="425" t="str">
        <f>IF(ISNUMBER(MATCH(G111, 'MP Analysis Input'!$A$17:$A$23, 0)), "soft", IF(EXACT(F111, G111), "none", "hard"))</f>
        <v>hard</v>
      </c>
    </row>
    <row r="112" spans="1:9" ht="15" customHeight="1" x14ac:dyDescent="0.25">
      <c r="A112" s="446" t="s">
        <v>302</v>
      </c>
      <c r="B112" s="447">
        <v>40</v>
      </c>
      <c r="C112" s="448">
        <f>B112*0.0015625</f>
        <v>6.25E-2</v>
      </c>
      <c r="D112" s="449" t="s">
        <v>204</v>
      </c>
      <c r="E112" s="449" t="s">
        <v>204</v>
      </c>
      <c r="F112" s="450" t="s">
        <v>204</v>
      </c>
      <c r="G112" s="451"/>
      <c r="H112" s="478"/>
      <c r="I112" s="425" t="str">
        <f>IF(ISNUMBER(MATCH(G112, 'MP Analysis Input'!$A$17:$A$23, 0)), "soft", IF(EXACT(F112, G112), "none", "hard"))</f>
        <v>hard</v>
      </c>
    </row>
    <row r="113" spans="1:9" ht="15" customHeight="1" x14ac:dyDescent="0.25">
      <c r="A113" s="446" t="s">
        <v>303</v>
      </c>
      <c r="B113" s="447">
        <v>40</v>
      </c>
      <c r="C113" s="448">
        <f>B113*0.0015625</f>
        <v>6.25E-2</v>
      </c>
      <c r="D113" s="449" t="s">
        <v>204</v>
      </c>
      <c r="E113" s="449" t="s">
        <v>204</v>
      </c>
      <c r="F113" s="450" t="s">
        <v>204</v>
      </c>
      <c r="G113" s="451"/>
      <c r="H113" s="478"/>
      <c r="I113" s="425" t="str">
        <f>IF(ISNUMBER(MATCH(G113, 'MP Analysis Input'!$A$17:$A$23, 0)), "soft", IF(EXACT(F113, G113), "none", "hard"))</f>
        <v>hard</v>
      </c>
    </row>
    <row r="114" spans="1:9" ht="15" customHeight="1" x14ac:dyDescent="0.25">
      <c r="A114" s="446" t="s">
        <v>304</v>
      </c>
      <c r="B114" s="447">
        <v>40</v>
      </c>
      <c r="C114" s="448">
        <f>B114*0.0015625</f>
        <v>6.25E-2</v>
      </c>
      <c r="D114" s="449" t="s">
        <v>204</v>
      </c>
      <c r="E114" s="449" t="s">
        <v>204</v>
      </c>
      <c r="F114" s="450" t="s">
        <v>204</v>
      </c>
      <c r="G114" s="451"/>
      <c r="H114" s="478"/>
      <c r="I114" s="425" t="str">
        <f>IF(ISNUMBER(MATCH(G114, 'MP Analysis Input'!$A$17:$A$23, 0)), "soft", IF(EXACT(F114, G114), "none", "hard"))</f>
        <v>hard</v>
      </c>
    </row>
    <row r="115" spans="1:9" ht="15" customHeight="1" x14ac:dyDescent="0.25">
      <c r="A115" s="446" t="s">
        <v>305</v>
      </c>
      <c r="B115" s="447">
        <v>40</v>
      </c>
      <c r="C115" s="448">
        <f>B115*0.0015625</f>
        <v>6.25E-2</v>
      </c>
      <c r="D115" s="449" t="s">
        <v>204</v>
      </c>
      <c r="E115" s="449" t="s">
        <v>204</v>
      </c>
      <c r="F115" s="450" t="s">
        <v>204</v>
      </c>
      <c r="G115" s="451"/>
      <c r="H115" s="478"/>
      <c r="I115" s="425" t="str">
        <f>IF(ISNUMBER(MATCH(G115, 'MP Analysis Input'!$A$17:$A$23, 0)), "soft", IF(EXACT(F115, G115), "none", "hard"))</f>
        <v>hard</v>
      </c>
    </row>
    <row r="116" spans="1:9" ht="15" customHeight="1" x14ac:dyDescent="0.25">
      <c r="A116" s="446" t="s">
        <v>306</v>
      </c>
      <c r="B116" s="447">
        <v>40</v>
      </c>
      <c r="C116" s="448">
        <f>B116*0.0015625</f>
        <v>6.25E-2</v>
      </c>
      <c r="D116" s="449" t="s">
        <v>204</v>
      </c>
      <c r="E116" s="449" t="s">
        <v>204</v>
      </c>
      <c r="F116" s="450" t="s">
        <v>204</v>
      </c>
      <c r="G116" s="451"/>
      <c r="H116" s="478"/>
      <c r="I116" s="425" t="str">
        <f>IF(ISNUMBER(MATCH(G116, 'MP Analysis Input'!$A$17:$A$23, 0)), "soft", IF(EXACT(F116, G116), "none", "hard"))</f>
        <v>hard</v>
      </c>
    </row>
    <row r="117" spans="1:9" ht="15" customHeight="1" x14ac:dyDescent="0.25">
      <c r="A117" s="446" t="s">
        <v>307</v>
      </c>
      <c r="B117" s="447">
        <v>40</v>
      </c>
      <c r="C117" s="448">
        <f>B117*0.0015625</f>
        <v>6.25E-2</v>
      </c>
      <c r="D117" s="449" t="s">
        <v>204</v>
      </c>
      <c r="E117" s="449" t="s">
        <v>204</v>
      </c>
      <c r="F117" s="450" t="s">
        <v>204</v>
      </c>
      <c r="G117" s="451"/>
      <c r="H117" s="478"/>
      <c r="I117" s="425" t="str">
        <f>IF(ISNUMBER(MATCH(G117, 'MP Analysis Input'!$A$17:$A$23, 0)), "soft", IF(EXACT(F117, G117), "none", "hard"))</f>
        <v>hard</v>
      </c>
    </row>
    <row r="118" spans="1:9" ht="15" customHeight="1" x14ac:dyDescent="0.25">
      <c r="A118" s="446" t="s">
        <v>308</v>
      </c>
      <c r="B118" s="447">
        <v>40</v>
      </c>
      <c r="C118" s="448">
        <f>B118*0.0015625</f>
        <v>6.25E-2</v>
      </c>
      <c r="D118" s="449" t="s">
        <v>204</v>
      </c>
      <c r="E118" s="449" t="s">
        <v>204</v>
      </c>
      <c r="F118" s="450" t="s">
        <v>204</v>
      </c>
      <c r="G118" s="451"/>
      <c r="H118" s="478"/>
      <c r="I118" s="425" t="str">
        <f>IF(ISNUMBER(MATCH(G118, 'MP Analysis Input'!$A$17:$A$23, 0)), "soft", IF(EXACT(F118, G118), "none", "hard"))</f>
        <v>hard</v>
      </c>
    </row>
    <row r="119" spans="1:9" ht="15" customHeight="1" x14ac:dyDescent="0.25">
      <c r="A119" s="446" t="s">
        <v>309</v>
      </c>
      <c r="B119" s="447">
        <v>40</v>
      </c>
      <c r="C119" s="448">
        <f>B119*0.0015625</f>
        <v>6.25E-2</v>
      </c>
      <c r="D119" s="449" t="s">
        <v>204</v>
      </c>
      <c r="E119" s="449" t="s">
        <v>204</v>
      </c>
      <c r="F119" s="450" t="s">
        <v>204</v>
      </c>
      <c r="G119" s="451"/>
      <c r="H119" s="478"/>
      <c r="I119" s="425" t="str">
        <f>IF(ISNUMBER(MATCH(G119, 'MP Analysis Input'!$A$17:$A$23, 0)), "soft", IF(EXACT(F119, G119), "none", "hard"))</f>
        <v>hard</v>
      </c>
    </row>
    <row r="120" spans="1:9" ht="15" customHeight="1" x14ac:dyDescent="0.25">
      <c r="A120" s="446" t="s">
        <v>310</v>
      </c>
      <c r="B120" s="447">
        <v>40</v>
      </c>
      <c r="C120" s="448">
        <f>B120*0.0015625</f>
        <v>6.25E-2</v>
      </c>
      <c r="D120" s="449" t="s">
        <v>204</v>
      </c>
      <c r="E120" s="449" t="s">
        <v>204</v>
      </c>
      <c r="F120" s="450" t="s">
        <v>204</v>
      </c>
      <c r="G120" s="451"/>
      <c r="H120" s="478"/>
      <c r="I120" s="425" t="str">
        <f>IF(ISNUMBER(MATCH(G120, 'MP Analysis Input'!$A$17:$A$23, 0)), "soft", IF(EXACT(F120, G120), "none", "hard"))</f>
        <v>hard</v>
      </c>
    </row>
    <row r="121" spans="1:9" ht="15" customHeight="1" x14ac:dyDescent="0.25">
      <c r="A121" s="446" t="s">
        <v>311</v>
      </c>
      <c r="B121" s="447">
        <v>40</v>
      </c>
      <c r="C121" s="448">
        <f>B121*0.0015625</f>
        <v>6.25E-2</v>
      </c>
      <c r="D121" s="449" t="s">
        <v>204</v>
      </c>
      <c r="E121" s="449" t="s">
        <v>204</v>
      </c>
      <c r="F121" s="450" t="s">
        <v>204</v>
      </c>
      <c r="G121" s="451"/>
      <c r="H121" s="478"/>
      <c r="I121" s="425" t="str">
        <f>IF(ISNUMBER(MATCH(G121, 'MP Analysis Input'!$A$17:$A$23, 0)), "soft", IF(EXACT(F121, G121), "none", "hard"))</f>
        <v>hard</v>
      </c>
    </row>
    <row r="122" spans="1:9" ht="15" customHeight="1" x14ac:dyDescent="0.25">
      <c r="A122" s="446" t="s">
        <v>312</v>
      </c>
      <c r="B122" s="447">
        <v>40</v>
      </c>
      <c r="C122" s="448">
        <f>B122*0.0015625</f>
        <v>6.25E-2</v>
      </c>
      <c r="D122" s="449" t="s">
        <v>204</v>
      </c>
      <c r="E122" s="449" t="s">
        <v>204</v>
      </c>
      <c r="F122" s="450" t="s">
        <v>204</v>
      </c>
      <c r="G122" s="451"/>
      <c r="H122" s="478"/>
      <c r="I122" s="425" t="str">
        <f>IF(ISNUMBER(MATCH(G122, 'MP Analysis Input'!$A$17:$A$23, 0)), "soft", IF(EXACT(F122, G122), "none", "hard"))</f>
        <v>hard</v>
      </c>
    </row>
    <row r="123" spans="1:9" ht="15" customHeight="1" x14ac:dyDescent="0.25">
      <c r="A123" s="446" t="s">
        <v>313</v>
      </c>
      <c r="B123" s="447">
        <v>40</v>
      </c>
      <c r="C123" s="448">
        <f>B123*0.0015625</f>
        <v>6.25E-2</v>
      </c>
      <c r="D123" s="449" t="s">
        <v>204</v>
      </c>
      <c r="E123" s="449" t="s">
        <v>204</v>
      </c>
      <c r="F123" s="450" t="s">
        <v>204</v>
      </c>
      <c r="G123" s="451"/>
      <c r="H123" s="478"/>
      <c r="I123" s="425" t="str">
        <f>IF(ISNUMBER(MATCH(G123, 'MP Analysis Input'!$A$17:$A$23, 0)), "soft", IF(EXACT(F123, G123), "none", "hard"))</f>
        <v>hard</v>
      </c>
    </row>
    <row r="124" spans="1:9" ht="15" customHeight="1" x14ac:dyDescent="0.25">
      <c r="A124" s="446" t="s">
        <v>314</v>
      </c>
      <c r="B124" s="447">
        <v>40</v>
      </c>
      <c r="C124" s="448">
        <f>B124*0.0015625</f>
        <v>6.25E-2</v>
      </c>
      <c r="D124" s="449" t="s">
        <v>204</v>
      </c>
      <c r="E124" s="449" t="s">
        <v>204</v>
      </c>
      <c r="F124" s="450" t="s">
        <v>204</v>
      </c>
      <c r="G124" s="451"/>
      <c r="H124" s="478"/>
      <c r="I124" s="425" t="str">
        <f>IF(ISNUMBER(MATCH(G124, 'MP Analysis Input'!$A$17:$A$23, 0)), "soft", IF(EXACT(F124, G124), "none", "hard"))</f>
        <v>hard</v>
      </c>
    </row>
    <row r="125" spans="1:9" ht="15" customHeight="1" x14ac:dyDescent="0.25">
      <c r="A125" s="446" t="s">
        <v>315</v>
      </c>
      <c r="B125" s="447">
        <v>40</v>
      </c>
      <c r="C125" s="448">
        <f>B125*0.0015625</f>
        <v>6.25E-2</v>
      </c>
      <c r="D125" s="449" t="s">
        <v>204</v>
      </c>
      <c r="E125" s="449" t="s">
        <v>204</v>
      </c>
      <c r="F125" s="450" t="s">
        <v>204</v>
      </c>
      <c r="G125" s="451"/>
      <c r="H125" s="478"/>
      <c r="I125" s="425" t="str">
        <f>IF(ISNUMBER(MATCH(G125, 'MP Analysis Input'!$A$17:$A$23, 0)), "soft", IF(EXACT(F125, G125), "none", "hard"))</f>
        <v>hard</v>
      </c>
    </row>
    <row r="126" spans="1:9" ht="15" customHeight="1" x14ac:dyDescent="0.25">
      <c r="A126" s="446" t="s">
        <v>316</v>
      </c>
      <c r="B126" s="447">
        <v>40</v>
      </c>
      <c r="C126" s="448">
        <f>B126*0.0015625</f>
        <v>6.25E-2</v>
      </c>
      <c r="D126" s="449" t="s">
        <v>204</v>
      </c>
      <c r="E126" s="449" t="s">
        <v>204</v>
      </c>
      <c r="F126" s="450" t="s">
        <v>204</v>
      </c>
      <c r="G126" s="451"/>
      <c r="H126" s="478"/>
      <c r="I126" s="425" t="str">
        <f>IF(ISNUMBER(MATCH(G126, 'MP Analysis Input'!$A$17:$A$23, 0)), "soft", IF(EXACT(F126, G126), "none", "hard"))</f>
        <v>hard</v>
      </c>
    </row>
    <row r="127" spans="1:9" ht="15" customHeight="1" x14ac:dyDescent="0.25">
      <c r="A127" s="446" t="s">
        <v>317</v>
      </c>
      <c r="B127" s="447">
        <v>40</v>
      </c>
      <c r="C127" s="448">
        <f>B127*0.0015625</f>
        <v>6.25E-2</v>
      </c>
      <c r="D127" s="449" t="s">
        <v>204</v>
      </c>
      <c r="E127" s="449" t="s">
        <v>204</v>
      </c>
      <c r="F127" s="450" t="s">
        <v>204</v>
      </c>
      <c r="G127" s="451"/>
      <c r="H127" s="478"/>
      <c r="I127" s="425" t="str">
        <f>IF(ISNUMBER(MATCH(G127, 'MP Analysis Input'!$A$17:$A$23, 0)), "soft", IF(EXACT(F127, G127), "none", "hard"))</f>
        <v>hard</v>
      </c>
    </row>
    <row r="128" spans="1:9" ht="15" customHeight="1" x14ac:dyDescent="0.25">
      <c r="A128" s="446" t="s">
        <v>318</v>
      </c>
      <c r="B128" s="447">
        <v>40</v>
      </c>
      <c r="C128" s="448">
        <f>B128*0.0015625</f>
        <v>6.25E-2</v>
      </c>
      <c r="D128" s="449" t="s">
        <v>204</v>
      </c>
      <c r="E128" s="449" t="s">
        <v>204</v>
      </c>
      <c r="F128" s="450" t="s">
        <v>204</v>
      </c>
      <c r="G128" s="451"/>
      <c r="H128" s="478"/>
      <c r="I128" s="425" t="str">
        <f>IF(ISNUMBER(MATCH(G128, 'MP Analysis Input'!$A$17:$A$23, 0)), "soft", IF(EXACT(F128, G128), "none", "hard"))</f>
        <v>hard</v>
      </c>
    </row>
    <row r="129" spans="1:9" ht="15" customHeight="1" x14ac:dyDescent="0.25">
      <c r="A129" s="446" t="s">
        <v>319</v>
      </c>
      <c r="B129" s="447">
        <v>40</v>
      </c>
      <c r="C129" s="448">
        <f>B129*0.0015625</f>
        <v>6.25E-2</v>
      </c>
      <c r="D129" s="449" t="s">
        <v>204</v>
      </c>
      <c r="E129" s="449" t="s">
        <v>204</v>
      </c>
      <c r="F129" s="450" t="s">
        <v>204</v>
      </c>
      <c r="G129" s="451"/>
      <c r="H129" s="478"/>
      <c r="I129" s="425" t="str">
        <f>IF(ISNUMBER(MATCH(G129, 'MP Analysis Input'!$A$17:$A$23, 0)), "soft", IF(EXACT(F129, G129), "none", "hard"))</f>
        <v>hard</v>
      </c>
    </row>
    <row r="130" spans="1:9" ht="15" customHeight="1" x14ac:dyDescent="0.25">
      <c r="A130" s="446" t="s">
        <v>320</v>
      </c>
      <c r="B130" s="447">
        <v>40</v>
      </c>
      <c r="C130" s="448">
        <f>B130*0.0015625</f>
        <v>6.25E-2</v>
      </c>
      <c r="D130" s="449" t="s">
        <v>204</v>
      </c>
      <c r="E130" s="449" t="s">
        <v>204</v>
      </c>
      <c r="F130" s="450" t="s">
        <v>204</v>
      </c>
      <c r="G130" s="451"/>
      <c r="H130" s="478"/>
      <c r="I130" s="425" t="str">
        <f>IF(ISNUMBER(MATCH(G130, 'MP Analysis Input'!$A$17:$A$23, 0)), "soft", IF(EXACT(F130, G130), "none", "hard"))</f>
        <v>hard</v>
      </c>
    </row>
    <row r="131" spans="1:9" ht="15" customHeight="1" x14ac:dyDescent="0.25">
      <c r="A131" s="446" t="s">
        <v>321</v>
      </c>
      <c r="B131" s="447">
        <v>40</v>
      </c>
      <c r="C131" s="448">
        <f>B131*0.0015625</f>
        <v>6.25E-2</v>
      </c>
      <c r="D131" s="449" t="s">
        <v>204</v>
      </c>
      <c r="E131" s="449" t="s">
        <v>204</v>
      </c>
      <c r="F131" s="450" t="s">
        <v>204</v>
      </c>
      <c r="G131" s="451"/>
      <c r="H131" s="478"/>
      <c r="I131" s="425" t="str">
        <f>IF(ISNUMBER(MATCH(G131, 'MP Analysis Input'!$A$17:$A$23, 0)), "soft", IF(EXACT(F131, G131), "none", "hard"))</f>
        <v>hard</v>
      </c>
    </row>
    <row r="132" spans="1:9" ht="15" customHeight="1" x14ac:dyDescent="0.25">
      <c r="A132" s="446" t="s">
        <v>322</v>
      </c>
      <c r="B132" s="447">
        <v>40</v>
      </c>
      <c r="C132" s="448">
        <f>B132*0.0015625</f>
        <v>6.25E-2</v>
      </c>
      <c r="D132" s="449" t="s">
        <v>204</v>
      </c>
      <c r="E132" s="449" t="s">
        <v>204</v>
      </c>
      <c r="F132" s="450" t="s">
        <v>204</v>
      </c>
      <c r="G132" s="451"/>
      <c r="H132" s="478"/>
      <c r="I132" s="425" t="str">
        <f>IF(ISNUMBER(MATCH(G132, 'MP Analysis Input'!$A$17:$A$23, 0)), "soft", IF(EXACT(F132, G132), "none", "hard"))</f>
        <v>hard</v>
      </c>
    </row>
    <row r="133" spans="1:9" ht="15" customHeight="1" x14ac:dyDescent="0.25">
      <c r="A133" s="446" t="s">
        <v>323</v>
      </c>
      <c r="B133" s="447">
        <v>40</v>
      </c>
      <c r="C133" s="448">
        <f>B133*0.0015625</f>
        <v>6.25E-2</v>
      </c>
      <c r="D133" s="449" t="s">
        <v>204</v>
      </c>
      <c r="E133" s="449" t="s">
        <v>204</v>
      </c>
      <c r="F133" s="450" t="s">
        <v>204</v>
      </c>
      <c r="G133" s="451"/>
      <c r="H133" s="478"/>
      <c r="I133" s="425" t="str">
        <f>IF(ISNUMBER(MATCH(G133, 'MP Analysis Input'!$A$17:$A$23, 0)), "soft", IF(EXACT(F133, G133), "none", "hard"))</f>
        <v>hard</v>
      </c>
    </row>
    <row r="134" spans="1:9" ht="15" customHeight="1" x14ac:dyDescent="0.25">
      <c r="A134" s="446" t="s">
        <v>324</v>
      </c>
      <c r="B134" s="447">
        <v>40</v>
      </c>
      <c r="C134" s="448">
        <f>B134*0.0015625</f>
        <v>6.25E-2</v>
      </c>
      <c r="D134" s="449" t="s">
        <v>204</v>
      </c>
      <c r="E134" s="449" t="s">
        <v>204</v>
      </c>
      <c r="F134" s="450" t="s">
        <v>204</v>
      </c>
      <c r="G134" s="451"/>
      <c r="H134" s="478"/>
      <c r="I134" s="425" t="str">
        <f>IF(ISNUMBER(MATCH(G134, 'MP Analysis Input'!$A$17:$A$23, 0)), "soft", IF(EXACT(F134, G134), "none", "hard"))</f>
        <v>hard</v>
      </c>
    </row>
    <row r="135" spans="1:9" ht="15" customHeight="1" x14ac:dyDescent="0.25">
      <c r="A135" s="446" t="s">
        <v>325</v>
      </c>
      <c r="B135" s="447">
        <v>40</v>
      </c>
      <c r="C135" s="448">
        <f>B135*0.0015625</f>
        <v>6.25E-2</v>
      </c>
      <c r="D135" s="449" t="s">
        <v>204</v>
      </c>
      <c r="E135" s="449" t="s">
        <v>204</v>
      </c>
      <c r="F135" s="450" t="s">
        <v>204</v>
      </c>
      <c r="G135" s="451"/>
      <c r="H135" s="478"/>
      <c r="I135" s="425" t="str">
        <f>IF(ISNUMBER(MATCH(G135, 'MP Analysis Input'!$A$17:$A$23, 0)), "soft", IF(EXACT(F135, G135), "none", "hard"))</f>
        <v>hard</v>
      </c>
    </row>
    <row r="136" spans="1:9" ht="15" customHeight="1" x14ac:dyDescent="0.25">
      <c r="A136" s="446" t="s">
        <v>326</v>
      </c>
      <c r="B136" s="447">
        <v>40</v>
      </c>
      <c r="C136" s="448">
        <f>B136*0.0015625</f>
        <v>6.25E-2</v>
      </c>
      <c r="D136" s="449" t="s">
        <v>204</v>
      </c>
      <c r="E136" s="449" t="s">
        <v>204</v>
      </c>
      <c r="F136" s="450" t="s">
        <v>204</v>
      </c>
      <c r="G136" s="451"/>
      <c r="H136" s="478"/>
      <c r="I136" s="425" t="str">
        <f>IF(ISNUMBER(MATCH(G136, 'MP Analysis Input'!$A$17:$A$23, 0)), "soft", IF(EXACT(F136, G136), "none", "hard"))</f>
        <v>hard</v>
      </c>
    </row>
    <row r="137" spans="1:9" ht="15" customHeight="1" x14ac:dyDescent="0.25">
      <c r="A137" s="446" t="s">
        <v>327</v>
      </c>
      <c r="B137" s="447">
        <v>40</v>
      </c>
      <c r="C137" s="448">
        <f>B137*0.0015625</f>
        <v>6.25E-2</v>
      </c>
      <c r="D137" s="449" t="s">
        <v>204</v>
      </c>
      <c r="E137" s="449" t="s">
        <v>204</v>
      </c>
      <c r="F137" s="450" t="s">
        <v>204</v>
      </c>
      <c r="G137" s="451"/>
      <c r="H137" s="478"/>
      <c r="I137" s="425" t="str">
        <f>IF(ISNUMBER(MATCH(G137, 'MP Analysis Input'!$A$17:$A$23, 0)), "soft", IF(EXACT(F137, G137), "none", "hard"))</f>
        <v>hard</v>
      </c>
    </row>
    <row r="138" spans="1:9" ht="15" customHeight="1" x14ac:dyDescent="0.25">
      <c r="A138" s="446" t="s">
        <v>328</v>
      </c>
      <c r="B138" s="447">
        <v>40</v>
      </c>
      <c r="C138" s="448">
        <f>B138*0.0015625</f>
        <v>6.25E-2</v>
      </c>
      <c r="D138" s="449" t="s">
        <v>204</v>
      </c>
      <c r="E138" s="449" t="s">
        <v>204</v>
      </c>
      <c r="F138" s="450" t="s">
        <v>204</v>
      </c>
      <c r="G138" s="451"/>
      <c r="H138" s="478"/>
      <c r="I138" s="425" t="str">
        <f>IF(ISNUMBER(MATCH(G138, 'MP Analysis Input'!$A$17:$A$23, 0)), "soft", IF(EXACT(F138, G138), "none", "hard"))</f>
        <v>hard</v>
      </c>
    </row>
    <row r="139" spans="1:9" ht="15" customHeight="1" x14ac:dyDescent="0.25">
      <c r="A139" s="446" t="s">
        <v>329</v>
      </c>
      <c r="B139" s="447">
        <v>40</v>
      </c>
      <c r="C139" s="448">
        <f>B139*0.0015625</f>
        <v>6.25E-2</v>
      </c>
      <c r="D139" s="449" t="s">
        <v>204</v>
      </c>
      <c r="E139" s="449" t="s">
        <v>204</v>
      </c>
      <c r="F139" s="450" t="s">
        <v>204</v>
      </c>
      <c r="G139" s="451"/>
      <c r="H139" s="478"/>
      <c r="I139" s="425" t="str">
        <f>IF(ISNUMBER(MATCH(G139, 'MP Analysis Input'!$A$17:$A$23, 0)), "soft", IF(EXACT(F139, G139), "none", "hard"))</f>
        <v>hard</v>
      </c>
    </row>
    <row r="140" spans="1:9" ht="15" customHeight="1" x14ac:dyDescent="0.25">
      <c r="A140" s="446" t="s">
        <v>330</v>
      </c>
      <c r="B140" s="447">
        <v>40</v>
      </c>
      <c r="C140" s="448">
        <f>B140*0.0015625</f>
        <v>6.25E-2</v>
      </c>
      <c r="D140" s="449" t="s">
        <v>204</v>
      </c>
      <c r="E140" s="449" t="s">
        <v>204</v>
      </c>
      <c r="F140" s="450" t="s">
        <v>204</v>
      </c>
      <c r="G140" s="451"/>
      <c r="H140" s="478"/>
      <c r="I140" s="425" t="str">
        <f>IF(ISNUMBER(MATCH(G140, 'MP Analysis Input'!$A$17:$A$23, 0)), "soft", IF(EXACT(F140, G140), "none", "hard"))</f>
        <v>hard</v>
      </c>
    </row>
    <row r="141" spans="1:9" ht="15" customHeight="1" x14ac:dyDescent="0.25">
      <c r="A141" s="446" t="s">
        <v>331</v>
      </c>
      <c r="B141" s="447">
        <v>40</v>
      </c>
      <c r="C141" s="448">
        <f>B141*0.0015625</f>
        <v>6.25E-2</v>
      </c>
      <c r="D141" s="449" t="s">
        <v>204</v>
      </c>
      <c r="E141" s="449" t="s">
        <v>204</v>
      </c>
      <c r="F141" s="450" t="s">
        <v>204</v>
      </c>
      <c r="G141" s="451"/>
      <c r="H141" s="478"/>
      <c r="I141" s="425" t="str">
        <f>IF(ISNUMBER(MATCH(G141, 'MP Analysis Input'!$A$17:$A$23, 0)), "soft", IF(EXACT(F141, G141), "none", "hard"))</f>
        <v>hard</v>
      </c>
    </row>
    <row r="142" spans="1:9" ht="15" customHeight="1" x14ac:dyDescent="0.25">
      <c r="A142" s="446" t="s">
        <v>332</v>
      </c>
      <c r="B142" s="447">
        <v>40</v>
      </c>
      <c r="C142" s="448">
        <f>B142*0.0015625</f>
        <v>6.25E-2</v>
      </c>
      <c r="D142" s="449" t="s">
        <v>204</v>
      </c>
      <c r="E142" s="449" t="s">
        <v>204</v>
      </c>
      <c r="F142" s="450" t="s">
        <v>204</v>
      </c>
      <c r="G142" s="451"/>
      <c r="H142" s="478"/>
      <c r="I142" s="425" t="str">
        <f>IF(ISNUMBER(MATCH(G142, 'MP Analysis Input'!$A$17:$A$23, 0)), "soft", IF(EXACT(F142, G142), "none", "hard"))</f>
        <v>hard</v>
      </c>
    </row>
    <row r="143" spans="1:9" ht="15" customHeight="1" x14ac:dyDescent="0.25">
      <c r="A143" s="446" t="s">
        <v>333</v>
      </c>
      <c r="B143" s="447">
        <v>40</v>
      </c>
      <c r="C143" s="448">
        <f>B143*0.0015625</f>
        <v>6.25E-2</v>
      </c>
      <c r="D143" s="449" t="s">
        <v>204</v>
      </c>
      <c r="E143" s="449" t="s">
        <v>204</v>
      </c>
      <c r="F143" s="450" t="s">
        <v>204</v>
      </c>
      <c r="G143" s="451"/>
      <c r="H143" s="478"/>
      <c r="I143" s="425" t="str">
        <f>IF(ISNUMBER(MATCH(G143, 'MP Analysis Input'!$A$17:$A$23, 0)), "soft", IF(EXACT(F143, G143), "none", "hard"))</f>
        <v>hard</v>
      </c>
    </row>
    <row r="144" spans="1:9" ht="15" customHeight="1" x14ac:dyDescent="0.25">
      <c r="A144" s="446" t="s">
        <v>334</v>
      </c>
      <c r="B144" s="447">
        <v>40</v>
      </c>
      <c r="C144" s="448">
        <f>B144*0.0015625</f>
        <v>6.25E-2</v>
      </c>
      <c r="D144" s="449" t="s">
        <v>204</v>
      </c>
      <c r="E144" s="449" t="s">
        <v>204</v>
      </c>
      <c r="F144" s="450" t="s">
        <v>204</v>
      </c>
      <c r="G144" s="451"/>
      <c r="H144" s="478"/>
      <c r="I144" s="425" t="str">
        <f>IF(ISNUMBER(MATCH(G144, 'MP Analysis Input'!$A$17:$A$23, 0)), "soft", IF(EXACT(F144, G144), "none", "hard"))</f>
        <v>hard</v>
      </c>
    </row>
    <row r="145" spans="1:9" ht="15" customHeight="1" x14ac:dyDescent="0.25">
      <c r="A145" s="446" t="s">
        <v>335</v>
      </c>
      <c r="B145" s="447">
        <v>40</v>
      </c>
      <c r="C145" s="448">
        <f>B145*0.0015625</f>
        <v>6.25E-2</v>
      </c>
      <c r="D145" s="449" t="s">
        <v>204</v>
      </c>
      <c r="E145" s="449" t="s">
        <v>204</v>
      </c>
      <c r="F145" s="450" t="s">
        <v>204</v>
      </c>
      <c r="G145" s="451"/>
      <c r="H145" s="478"/>
      <c r="I145" s="425" t="str">
        <f>IF(ISNUMBER(MATCH(G145, 'MP Analysis Input'!$A$17:$A$23, 0)), "soft", IF(EXACT(F145, G145), "none", "hard"))</f>
        <v>hard</v>
      </c>
    </row>
    <row r="146" spans="1:9" ht="15" customHeight="1" x14ac:dyDescent="0.25">
      <c r="A146" s="446" t="s">
        <v>336</v>
      </c>
      <c r="B146" s="447">
        <v>40</v>
      </c>
      <c r="C146" s="448">
        <f>B146*0.0015625</f>
        <v>6.25E-2</v>
      </c>
      <c r="D146" s="449" t="s">
        <v>204</v>
      </c>
      <c r="E146" s="449" t="s">
        <v>204</v>
      </c>
      <c r="F146" s="450" t="s">
        <v>204</v>
      </c>
      <c r="G146" s="451"/>
      <c r="H146" s="478"/>
      <c r="I146" s="425" t="str">
        <f>IF(ISNUMBER(MATCH(G146, 'MP Analysis Input'!$A$17:$A$23, 0)), "soft", IF(EXACT(F146, G146), "none", "hard"))</f>
        <v>hard</v>
      </c>
    </row>
    <row r="147" spans="1:9" ht="15" customHeight="1" x14ac:dyDescent="0.25">
      <c r="A147" s="446" t="s">
        <v>337</v>
      </c>
      <c r="B147" s="447">
        <v>40</v>
      </c>
      <c r="C147" s="448">
        <f>B147*0.0015625</f>
        <v>6.25E-2</v>
      </c>
      <c r="D147" s="449" t="s">
        <v>204</v>
      </c>
      <c r="E147" s="449" t="s">
        <v>204</v>
      </c>
      <c r="F147" s="450" t="s">
        <v>204</v>
      </c>
      <c r="G147" s="451"/>
      <c r="H147" s="478"/>
      <c r="I147" s="425" t="str">
        <f>IF(ISNUMBER(MATCH(G147, 'MP Analysis Input'!$A$17:$A$23, 0)), "soft", IF(EXACT(F147, G147), "none", "hard"))</f>
        <v>hard</v>
      </c>
    </row>
    <row r="148" spans="1:9" ht="15" customHeight="1" x14ac:dyDescent="0.25">
      <c r="A148" s="446" t="s">
        <v>338</v>
      </c>
      <c r="B148" s="447">
        <v>39.9</v>
      </c>
      <c r="C148" s="448">
        <f>B148*0.0015625</f>
        <v>6.2343750000000003E-2</v>
      </c>
      <c r="D148" s="449" t="s">
        <v>204</v>
      </c>
      <c r="E148" s="449" t="s">
        <v>204</v>
      </c>
      <c r="F148" s="450" t="s">
        <v>204</v>
      </c>
      <c r="G148" s="451"/>
      <c r="H148" s="478"/>
      <c r="I148" s="425" t="str">
        <f>IF(ISNUMBER(MATCH(G148, 'MP Analysis Input'!$A$17:$A$23, 0)), "soft", IF(EXACT(F148, G148), "none", "hard"))</f>
        <v>hard</v>
      </c>
    </row>
    <row r="149" spans="1:9" ht="15" customHeight="1" x14ac:dyDescent="0.25">
      <c r="A149" s="446" t="s">
        <v>339</v>
      </c>
      <c r="B149" s="447">
        <v>40</v>
      </c>
      <c r="C149" s="448">
        <f>B149*0.0015625</f>
        <v>6.25E-2</v>
      </c>
      <c r="D149" s="449" t="s">
        <v>204</v>
      </c>
      <c r="E149" s="449" t="s">
        <v>204</v>
      </c>
      <c r="F149" s="450" t="s">
        <v>204</v>
      </c>
      <c r="G149" s="451"/>
      <c r="H149" s="478"/>
      <c r="I149" s="425" t="str">
        <f>IF(ISNUMBER(MATCH(G149, 'MP Analysis Input'!$A$17:$A$23, 0)), "soft", IF(EXACT(F149, G149), "none", "hard"))</f>
        <v>hard</v>
      </c>
    </row>
    <row r="150" spans="1:9" ht="15" customHeight="1" x14ac:dyDescent="0.25">
      <c r="A150" s="446" t="s">
        <v>340</v>
      </c>
      <c r="B150" s="447">
        <v>40</v>
      </c>
      <c r="C150" s="448">
        <f>B150*0.0015625</f>
        <v>6.25E-2</v>
      </c>
      <c r="D150" s="449" t="s">
        <v>204</v>
      </c>
      <c r="E150" s="449" t="s">
        <v>204</v>
      </c>
      <c r="F150" s="450" t="s">
        <v>204</v>
      </c>
      <c r="G150" s="451"/>
      <c r="H150" s="478"/>
      <c r="I150" s="425" t="str">
        <f>IF(ISNUMBER(MATCH(G150, 'MP Analysis Input'!$A$17:$A$23, 0)), "soft", IF(EXACT(F150, G150), "none", "hard"))</f>
        <v>hard</v>
      </c>
    </row>
    <row r="151" spans="1:9" ht="15" customHeight="1" x14ac:dyDescent="0.25">
      <c r="A151" s="446" t="s">
        <v>341</v>
      </c>
      <c r="B151" s="447">
        <v>39.700000000000003</v>
      </c>
      <c r="C151" s="448">
        <f>B151*0.0015625</f>
        <v>6.203125000000001E-2</v>
      </c>
      <c r="D151" s="449" t="s">
        <v>204</v>
      </c>
      <c r="E151" s="449" t="s">
        <v>204</v>
      </c>
      <c r="F151" s="450" t="s">
        <v>204</v>
      </c>
      <c r="G151" s="451"/>
      <c r="H151" s="478"/>
      <c r="I151" s="425" t="str">
        <f>IF(ISNUMBER(MATCH(G151, 'MP Analysis Input'!$A$17:$A$23, 0)), "soft", IF(EXACT(F151, G151), "none", "hard"))</f>
        <v>hard</v>
      </c>
    </row>
    <row r="152" spans="1:9" ht="15" customHeight="1" x14ac:dyDescent="0.25">
      <c r="A152" s="446" t="s">
        <v>342</v>
      </c>
      <c r="B152" s="447">
        <v>40</v>
      </c>
      <c r="C152" s="448">
        <f>B152*0.0015625</f>
        <v>6.25E-2</v>
      </c>
      <c r="D152" s="449" t="s">
        <v>204</v>
      </c>
      <c r="E152" s="449" t="s">
        <v>204</v>
      </c>
      <c r="F152" s="450" t="s">
        <v>204</v>
      </c>
      <c r="G152" s="451"/>
      <c r="H152" s="478"/>
      <c r="I152" s="425" t="str">
        <f>IF(ISNUMBER(MATCH(G152, 'MP Analysis Input'!$A$17:$A$23, 0)), "soft", IF(EXACT(F152, G152), "none", "hard"))</f>
        <v>hard</v>
      </c>
    </row>
    <row r="153" spans="1:9" ht="15" customHeight="1" x14ac:dyDescent="0.25">
      <c r="A153" s="446" t="s">
        <v>343</v>
      </c>
      <c r="B153" s="447">
        <v>40</v>
      </c>
      <c r="C153" s="448">
        <f>B153*0.0015625</f>
        <v>6.25E-2</v>
      </c>
      <c r="D153" s="449" t="s">
        <v>204</v>
      </c>
      <c r="E153" s="449" t="s">
        <v>204</v>
      </c>
      <c r="F153" s="450" t="s">
        <v>204</v>
      </c>
      <c r="G153" s="451"/>
      <c r="H153" s="478"/>
      <c r="I153" s="425" t="str">
        <f>IF(ISNUMBER(MATCH(G153, 'MP Analysis Input'!$A$17:$A$23, 0)), "soft", IF(EXACT(F153, G153), "none", "hard"))</f>
        <v>hard</v>
      </c>
    </row>
    <row r="154" spans="1:9" ht="15" customHeight="1" x14ac:dyDescent="0.25">
      <c r="A154" s="446" t="s">
        <v>344</v>
      </c>
      <c r="B154" s="447">
        <v>40</v>
      </c>
      <c r="C154" s="448">
        <f>B154*0.0015625</f>
        <v>6.25E-2</v>
      </c>
      <c r="D154" s="449" t="s">
        <v>204</v>
      </c>
      <c r="E154" s="449" t="s">
        <v>204</v>
      </c>
      <c r="F154" s="450" t="s">
        <v>204</v>
      </c>
      <c r="G154" s="451"/>
      <c r="H154" s="478"/>
      <c r="I154" s="425" t="str">
        <f>IF(ISNUMBER(MATCH(G154, 'MP Analysis Input'!$A$17:$A$23, 0)), "soft", IF(EXACT(F154, G154), "none", "hard"))</f>
        <v>hard</v>
      </c>
    </row>
    <row r="155" spans="1:9" ht="15" customHeight="1" x14ac:dyDescent="0.25">
      <c r="A155" s="446" t="s">
        <v>345</v>
      </c>
      <c r="B155" s="447">
        <v>40.4</v>
      </c>
      <c r="C155" s="448">
        <f>B155*0.0015625</f>
        <v>6.3125000000000001E-2</v>
      </c>
      <c r="D155" s="449" t="s">
        <v>204</v>
      </c>
      <c r="E155" s="449" t="s">
        <v>204</v>
      </c>
      <c r="F155" s="450" t="s">
        <v>204</v>
      </c>
      <c r="G155" s="451"/>
      <c r="H155" s="478"/>
      <c r="I155" s="425" t="str">
        <f>IF(ISNUMBER(MATCH(G155, 'MP Analysis Input'!$A$17:$A$23, 0)), "soft", IF(EXACT(F155, G155), "none", "hard"))</f>
        <v>hard</v>
      </c>
    </row>
    <row r="156" spans="1:9" ht="15" customHeight="1" x14ac:dyDescent="0.25">
      <c r="A156" s="446" t="s">
        <v>346</v>
      </c>
      <c r="B156" s="447">
        <v>39.700000000000003</v>
      </c>
      <c r="C156" s="448">
        <f>B156*0.0015625</f>
        <v>6.203125000000001E-2</v>
      </c>
      <c r="D156" s="449" t="s">
        <v>204</v>
      </c>
      <c r="E156" s="449" t="s">
        <v>204</v>
      </c>
      <c r="F156" s="450" t="s">
        <v>204</v>
      </c>
      <c r="G156" s="451"/>
      <c r="H156" s="478"/>
      <c r="I156" s="425" t="str">
        <f>IF(ISNUMBER(MATCH(G156, 'MP Analysis Input'!$A$17:$A$23, 0)), "soft", IF(EXACT(F156, G156), "none", "hard"))</f>
        <v>hard</v>
      </c>
    </row>
    <row r="157" spans="1:9" ht="15" customHeight="1" x14ac:dyDescent="0.25">
      <c r="A157" s="446" t="s">
        <v>347</v>
      </c>
      <c r="B157" s="447">
        <v>40</v>
      </c>
      <c r="C157" s="448">
        <f>B157*0.0015625</f>
        <v>6.25E-2</v>
      </c>
      <c r="D157" s="449" t="s">
        <v>204</v>
      </c>
      <c r="E157" s="449" t="s">
        <v>204</v>
      </c>
      <c r="F157" s="450" t="s">
        <v>204</v>
      </c>
      <c r="G157" s="451"/>
      <c r="H157" s="478"/>
      <c r="I157" s="425" t="str">
        <f>IF(ISNUMBER(MATCH(G157, 'MP Analysis Input'!$A$17:$A$23, 0)), "soft", IF(EXACT(F157, G157), "none", "hard"))</f>
        <v>hard</v>
      </c>
    </row>
    <row r="158" spans="1:9" ht="15" customHeight="1" x14ac:dyDescent="0.25">
      <c r="A158" s="446" t="s">
        <v>348</v>
      </c>
      <c r="B158" s="447">
        <v>40</v>
      </c>
      <c r="C158" s="448">
        <f>B158*0.0015625</f>
        <v>6.25E-2</v>
      </c>
      <c r="D158" s="449" t="s">
        <v>204</v>
      </c>
      <c r="E158" s="449" t="s">
        <v>204</v>
      </c>
      <c r="F158" s="450" t="s">
        <v>204</v>
      </c>
      <c r="G158" s="451"/>
      <c r="H158" s="478"/>
      <c r="I158" s="425" t="str">
        <f>IF(ISNUMBER(MATCH(G158, 'MP Analysis Input'!$A$17:$A$23, 0)), "soft", IF(EXACT(F158, G158), "none", "hard"))</f>
        <v>hard</v>
      </c>
    </row>
    <row r="159" spans="1:9" ht="15" customHeight="1" x14ac:dyDescent="0.25">
      <c r="A159" s="446" t="s">
        <v>349</v>
      </c>
      <c r="B159" s="447">
        <v>40</v>
      </c>
      <c r="C159" s="448">
        <f>B159*0.0015625</f>
        <v>6.25E-2</v>
      </c>
      <c r="D159" s="449" t="s">
        <v>204</v>
      </c>
      <c r="E159" s="449" t="s">
        <v>204</v>
      </c>
      <c r="F159" s="450" t="s">
        <v>204</v>
      </c>
      <c r="G159" s="451"/>
      <c r="H159" s="478"/>
      <c r="I159" s="425" t="str">
        <f>IF(ISNUMBER(MATCH(G159, 'MP Analysis Input'!$A$17:$A$23, 0)), "soft", IF(EXACT(F159, G159), "none", "hard"))</f>
        <v>hard</v>
      </c>
    </row>
    <row r="160" spans="1:9" ht="15" customHeight="1" x14ac:dyDescent="0.25">
      <c r="A160" s="446" t="s">
        <v>350</v>
      </c>
      <c r="B160" s="447">
        <v>40</v>
      </c>
      <c r="C160" s="448">
        <f>B160*0.0015625</f>
        <v>6.25E-2</v>
      </c>
      <c r="D160" s="449" t="s">
        <v>204</v>
      </c>
      <c r="E160" s="449" t="s">
        <v>204</v>
      </c>
      <c r="F160" s="450" t="s">
        <v>204</v>
      </c>
      <c r="G160" s="451"/>
      <c r="H160" s="478"/>
      <c r="I160" s="425" t="str">
        <f>IF(ISNUMBER(MATCH(G160, 'MP Analysis Input'!$A$17:$A$23, 0)), "soft", IF(EXACT(F160, G160), "none", "hard"))</f>
        <v>hard</v>
      </c>
    </row>
    <row r="161" spans="1:9" ht="15" customHeight="1" x14ac:dyDescent="0.25">
      <c r="A161" s="446" t="s">
        <v>351</v>
      </c>
      <c r="B161" s="447">
        <v>40</v>
      </c>
      <c r="C161" s="448">
        <f>B161*0.0015625</f>
        <v>6.25E-2</v>
      </c>
      <c r="D161" s="449" t="s">
        <v>204</v>
      </c>
      <c r="E161" s="449" t="s">
        <v>204</v>
      </c>
      <c r="F161" s="450" t="s">
        <v>204</v>
      </c>
      <c r="G161" s="451"/>
      <c r="H161" s="478"/>
      <c r="I161" s="425" t="str">
        <f>IF(ISNUMBER(MATCH(G161, 'MP Analysis Input'!$A$17:$A$23, 0)), "soft", IF(EXACT(F161, G161), "none", "hard"))</f>
        <v>hard</v>
      </c>
    </row>
    <row r="162" spans="1:9" ht="15" customHeight="1" x14ac:dyDescent="0.25">
      <c r="A162" s="446" t="s">
        <v>352</v>
      </c>
      <c r="B162" s="447">
        <v>41.5</v>
      </c>
      <c r="C162" s="448">
        <f>B162*0.0015625</f>
        <v>6.4843750000000006E-2</v>
      </c>
      <c r="D162" s="449" t="s">
        <v>204</v>
      </c>
      <c r="E162" s="449" t="s">
        <v>204</v>
      </c>
      <c r="F162" s="450" t="s">
        <v>204</v>
      </c>
      <c r="G162" s="451"/>
      <c r="H162" s="478"/>
      <c r="I162" s="425" t="str">
        <f>IF(ISNUMBER(MATCH(G162, 'MP Analysis Input'!$A$17:$A$23, 0)), "soft", IF(EXACT(F162, G162), "none", "hard"))</f>
        <v>hard</v>
      </c>
    </row>
    <row r="163" spans="1:9" ht="15" customHeight="1" x14ac:dyDescent="0.25">
      <c r="A163" s="446" t="s">
        <v>353</v>
      </c>
      <c r="B163" s="447">
        <v>43</v>
      </c>
      <c r="C163" s="448">
        <f>B163*0.0015625</f>
        <v>6.7187499999999997E-2</v>
      </c>
      <c r="D163" s="449" t="s">
        <v>204</v>
      </c>
      <c r="E163" s="449" t="s">
        <v>204</v>
      </c>
      <c r="F163" s="450" t="s">
        <v>204</v>
      </c>
      <c r="G163" s="451"/>
      <c r="H163" s="478"/>
      <c r="I163" s="425" t="str">
        <f>IF(ISNUMBER(MATCH(G163, 'MP Analysis Input'!$A$17:$A$23, 0)), "soft", IF(EXACT(F163, G163), "none", "hard"))</f>
        <v>hard</v>
      </c>
    </row>
    <row r="164" spans="1:9" ht="15" customHeight="1" x14ac:dyDescent="0.25">
      <c r="A164" s="446" t="s">
        <v>354</v>
      </c>
      <c r="B164" s="447">
        <v>124.6</v>
      </c>
      <c r="C164" s="448">
        <f>B164*0.0015625</f>
        <v>0.19468750000000001</v>
      </c>
      <c r="D164" s="449" t="s">
        <v>141</v>
      </c>
      <c r="E164" s="449" t="s">
        <v>141</v>
      </c>
      <c r="F164" s="450" t="s">
        <v>141</v>
      </c>
      <c r="G164" s="451"/>
      <c r="H164" s="478"/>
      <c r="I164" s="425" t="str">
        <f>IF(ISNUMBER(MATCH(G164, 'MP Analysis Input'!$A$17:$A$23, 0)), "soft", IF(EXACT(F164, G164), "none", "hard"))</f>
        <v>hard</v>
      </c>
    </row>
    <row r="165" spans="1:9" ht="15" customHeight="1" x14ac:dyDescent="0.25">
      <c r="A165" s="446" t="s">
        <v>355</v>
      </c>
      <c r="B165" s="447">
        <v>292.8</v>
      </c>
      <c r="C165" s="448">
        <f>B165*0.0015625</f>
        <v>0.45750000000000002</v>
      </c>
      <c r="D165" s="449" t="s">
        <v>194</v>
      </c>
      <c r="E165" s="449" t="s">
        <v>149</v>
      </c>
      <c r="F165" s="450" t="s">
        <v>149</v>
      </c>
      <c r="G165" s="451"/>
      <c r="H165" s="478"/>
      <c r="I165" s="425" t="str">
        <f>IF(ISNUMBER(MATCH(G165, 'MP Analysis Input'!$A$17:$A$23, 0)), "soft", IF(EXACT(F165, G165), "none", "hard"))</f>
        <v>hard</v>
      </c>
    </row>
    <row r="166" spans="1:9" ht="15" customHeight="1" x14ac:dyDescent="0.25">
      <c r="A166" s="446" t="s">
        <v>356</v>
      </c>
      <c r="B166" s="447">
        <v>50.171183999999997</v>
      </c>
      <c r="C166" s="448">
        <f>B166*0.0015625</f>
        <v>7.8392475000000003E-2</v>
      </c>
      <c r="D166" s="449" t="s">
        <v>168</v>
      </c>
      <c r="E166" s="449" t="s">
        <v>168</v>
      </c>
      <c r="F166" s="450" t="s">
        <v>207</v>
      </c>
      <c r="G166" s="451"/>
      <c r="H166" s="478"/>
      <c r="I166" s="425" t="str">
        <f>IF(ISNUMBER(MATCH(G166, 'MP Analysis Input'!$A$17:$A$23, 0)), "soft", IF(EXACT(F166, G166), "none", "hard"))</f>
        <v>hard</v>
      </c>
    </row>
    <row r="167" spans="1:9" ht="15" customHeight="1" x14ac:dyDescent="0.25">
      <c r="A167" s="446" t="s">
        <v>357</v>
      </c>
      <c r="B167" s="447">
        <v>110.435041</v>
      </c>
      <c r="C167" s="448">
        <f>B167*0.0015625</f>
        <v>0.1725547515625</v>
      </c>
      <c r="D167" s="449" t="s">
        <v>168</v>
      </c>
      <c r="E167" s="449" t="s">
        <v>168</v>
      </c>
      <c r="F167" s="450" t="s">
        <v>207</v>
      </c>
      <c r="G167" s="451"/>
      <c r="H167" s="478"/>
      <c r="I167" s="425" t="str">
        <f>IF(ISNUMBER(MATCH(G167, 'MP Analysis Input'!$A$17:$A$23, 0)), "soft", IF(EXACT(F167, G167), "none", "hard"))</f>
        <v>hard</v>
      </c>
    </row>
    <row r="168" spans="1:9" ht="15" customHeight="1" x14ac:dyDescent="0.25">
      <c r="A168" s="446" t="s">
        <v>358</v>
      </c>
      <c r="B168" s="447">
        <v>41.073974</v>
      </c>
      <c r="C168" s="448">
        <f>B168*0.0015625</f>
        <v>6.4178084375E-2</v>
      </c>
      <c r="D168" s="449" t="s">
        <v>168</v>
      </c>
      <c r="E168" s="449" t="s">
        <v>156</v>
      </c>
      <c r="F168" s="450" t="s">
        <v>156</v>
      </c>
      <c r="G168" s="451"/>
      <c r="H168" s="478"/>
      <c r="I168" s="425" t="str">
        <f>IF(ISNUMBER(MATCH(G168, 'MP Analysis Input'!$A$17:$A$23, 0)), "soft", IF(EXACT(F168, G168), "none", "hard"))</f>
        <v>hard</v>
      </c>
    </row>
    <row r="169" spans="1:9" ht="15" customHeight="1" x14ac:dyDescent="0.25">
      <c r="A169" s="446" t="s">
        <v>359</v>
      </c>
      <c r="B169" s="447">
        <v>76.115142000000006</v>
      </c>
      <c r="C169" s="448">
        <f>B169*0.0015625</f>
        <v>0.11892990937500002</v>
      </c>
      <c r="D169" s="449" t="s">
        <v>168</v>
      </c>
      <c r="E169" s="449" t="s">
        <v>168</v>
      </c>
      <c r="F169" s="450" t="s">
        <v>152</v>
      </c>
      <c r="G169" s="451"/>
      <c r="H169" s="478"/>
      <c r="I169" s="425" t="str">
        <f>IF(ISNUMBER(MATCH(G169, 'MP Analysis Input'!$A$17:$A$23, 0)), "soft", IF(EXACT(F169, G169), "none", "hard"))</f>
        <v>hard</v>
      </c>
    </row>
    <row r="170" spans="1:9" ht="15" customHeight="1" x14ac:dyDescent="0.25">
      <c r="A170" s="446" t="s">
        <v>360</v>
      </c>
      <c r="B170" s="447">
        <v>366.048768</v>
      </c>
      <c r="C170" s="448">
        <f>B170*0.0015625</f>
        <v>0.57195119999999999</v>
      </c>
      <c r="D170" s="449" t="s">
        <v>168</v>
      </c>
      <c r="E170" s="449" t="s">
        <v>168</v>
      </c>
      <c r="F170" s="450" t="s">
        <v>152</v>
      </c>
      <c r="G170" s="451"/>
      <c r="H170" s="478"/>
      <c r="I170" s="425" t="str">
        <f>IF(ISNUMBER(MATCH(G170, 'MP Analysis Input'!$A$17:$A$23, 0)), "soft", IF(EXACT(F170, G170), "none", "hard"))</f>
        <v>hard</v>
      </c>
    </row>
    <row r="171" spans="1:9" ht="15" customHeight="1" x14ac:dyDescent="0.25">
      <c r="A171" s="446" t="s">
        <v>361</v>
      </c>
      <c r="B171" s="447">
        <v>138.452519</v>
      </c>
      <c r="C171" s="448">
        <f>B171*0.0015625</f>
        <v>0.21633206093750001</v>
      </c>
      <c r="D171" s="449" t="s">
        <v>168</v>
      </c>
      <c r="E171" s="449" t="s">
        <v>168</v>
      </c>
      <c r="F171" s="450" t="s">
        <v>152</v>
      </c>
      <c r="G171" s="451"/>
      <c r="H171" s="478"/>
      <c r="I171" s="425" t="str">
        <f>IF(ISNUMBER(MATCH(G171, 'MP Analysis Input'!$A$17:$A$23, 0)), "soft", IF(EXACT(F171, G171), "none", "hard"))</f>
        <v>hard</v>
      </c>
    </row>
    <row r="172" spans="1:9" ht="15" customHeight="1" x14ac:dyDescent="0.25">
      <c r="A172" s="446" t="s">
        <v>362</v>
      </c>
      <c r="B172" s="447">
        <v>601.16265199999998</v>
      </c>
      <c r="C172" s="448">
        <f>B172*0.0015625</f>
        <v>0.93931664375000001</v>
      </c>
      <c r="D172" s="449" t="s">
        <v>168</v>
      </c>
      <c r="E172" s="449" t="s">
        <v>168</v>
      </c>
      <c r="F172" s="450" t="s">
        <v>152</v>
      </c>
      <c r="G172" s="451"/>
      <c r="H172" s="478"/>
      <c r="I172" s="425" t="str">
        <f>IF(ISNUMBER(MATCH(G172, 'MP Analysis Input'!$A$17:$A$23, 0)), "soft", IF(EXACT(F172, G172), "none", "hard"))</f>
        <v>hard</v>
      </c>
    </row>
    <row r="173" spans="1:9" ht="15" customHeight="1" x14ac:dyDescent="0.25">
      <c r="A173" s="446" t="s">
        <v>363</v>
      </c>
      <c r="B173" s="447">
        <v>30.981491999999999</v>
      </c>
      <c r="C173" s="448">
        <f>B173*0.0015625</f>
        <v>4.8408581249999999E-2</v>
      </c>
      <c r="D173" s="449" t="s">
        <v>168</v>
      </c>
      <c r="E173" s="449" t="s">
        <v>168</v>
      </c>
      <c r="F173" s="450" t="s">
        <v>152</v>
      </c>
      <c r="G173" s="451"/>
      <c r="H173" s="478"/>
      <c r="I173" s="425" t="str">
        <f>IF(ISNUMBER(MATCH(G173, 'MP Analysis Input'!$A$17:$A$23, 0)), "soft", IF(EXACT(F173, G173), "none", "hard"))</f>
        <v>hard</v>
      </c>
    </row>
    <row r="174" spans="1:9" ht="15" customHeight="1" x14ac:dyDescent="0.25">
      <c r="A174" s="446" t="s">
        <v>364</v>
      </c>
      <c r="B174" s="447">
        <v>115.6</v>
      </c>
      <c r="C174" s="448">
        <f>B174*0.0015625</f>
        <v>0.18062500000000001</v>
      </c>
      <c r="D174" s="449" t="s">
        <v>168</v>
      </c>
      <c r="E174" s="449" t="s">
        <v>168</v>
      </c>
      <c r="F174" s="450" t="s">
        <v>152</v>
      </c>
      <c r="G174" s="451"/>
      <c r="H174" s="478"/>
      <c r="I174" s="425" t="str">
        <f>IF(ISNUMBER(MATCH(G174, 'MP Analysis Input'!$A$17:$A$23, 0)), "soft", IF(EXACT(F174, G174), "none", "hard"))</f>
        <v>hard</v>
      </c>
    </row>
    <row r="175" spans="1:9" ht="15" customHeight="1" x14ac:dyDescent="0.25">
      <c r="A175" s="446" t="s">
        <v>365</v>
      </c>
      <c r="B175" s="447">
        <v>116.251661</v>
      </c>
      <c r="C175" s="448">
        <f>B175*0.0015625</f>
        <v>0.18164322031250002</v>
      </c>
      <c r="D175" s="449" t="s">
        <v>168</v>
      </c>
      <c r="E175" s="449" t="s">
        <v>168</v>
      </c>
      <c r="F175" s="450" t="s">
        <v>159</v>
      </c>
      <c r="G175" s="451"/>
      <c r="H175" s="478"/>
      <c r="I175" s="425" t="str">
        <f>IF(ISNUMBER(MATCH(G175, 'MP Analysis Input'!$A$17:$A$23, 0)), "soft", IF(EXACT(F175, G175), "none", "hard"))</f>
        <v>hard</v>
      </c>
    </row>
    <row r="176" spans="1:9" ht="15" customHeight="1" x14ac:dyDescent="0.25">
      <c r="A176" s="446" t="s">
        <v>366</v>
      </c>
      <c r="B176" s="447">
        <v>41.566608000000002</v>
      </c>
      <c r="C176" s="448">
        <f>B176*0.0015625</f>
        <v>6.4947825000000001E-2</v>
      </c>
      <c r="D176" s="449" t="s">
        <v>168</v>
      </c>
      <c r="E176" s="449" t="s">
        <v>168</v>
      </c>
      <c r="F176" s="450" t="s">
        <v>156</v>
      </c>
      <c r="G176" s="451"/>
      <c r="H176" s="478"/>
      <c r="I176" s="425" t="str">
        <f>IF(ISNUMBER(MATCH(G176, 'MP Analysis Input'!$A$17:$A$23, 0)), "soft", IF(EXACT(F176, G176), "none", "hard"))</f>
        <v>hard</v>
      </c>
    </row>
    <row r="177" spans="1:9" ht="15" customHeight="1" x14ac:dyDescent="0.25">
      <c r="A177" s="446" t="s">
        <v>367</v>
      </c>
      <c r="B177" s="447">
        <v>31.267749999999999</v>
      </c>
      <c r="C177" s="448">
        <f>B177*0.0015625</f>
        <v>4.8855859375000005E-2</v>
      </c>
      <c r="D177" s="449" t="s">
        <v>168</v>
      </c>
      <c r="E177" s="449" t="s">
        <v>168</v>
      </c>
      <c r="F177" s="450" t="s">
        <v>156</v>
      </c>
      <c r="G177" s="451"/>
      <c r="H177" s="478"/>
      <c r="I177" s="425" t="str">
        <f>IF(ISNUMBER(MATCH(G177, 'MP Analysis Input'!$A$17:$A$23, 0)), "soft", IF(EXACT(F177, G177), "none", "hard"))</f>
        <v>hard</v>
      </c>
    </row>
    <row r="178" spans="1:9" ht="15" customHeight="1" x14ac:dyDescent="0.25">
      <c r="A178" s="446" t="s">
        <v>368</v>
      </c>
      <c r="B178" s="447">
        <v>120.05146499999999</v>
      </c>
      <c r="C178" s="448">
        <f>B178*0.0015625</f>
        <v>0.18758041406250001</v>
      </c>
      <c r="D178" s="449" t="s">
        <v>168</v>
      </c>
      <c r="E178" s="449" t="s">
        <v>168</v>
      </c>
      <c r="F178" s="450" t="s">
        <v>156</v>
      </c>
      <c r="G178" s="451"/>
      <c r="H178" s="478"/>
      <c r="I178" s="425" t="str">
        <f>IF(ISNUMBER(MATCH(G178, 'MP Analysis Input'!$A$17:$A$23, 0)), "soft", IF(EXACT(F178, G178), "none", "hard"))</f>
        <v>hard</v>
      </c>
    </row>
    <row r="179" spans="1:9" ht="15" customHeight="1" x14ac:dyDescent="0.25">
      <c r="A179" s="446" t="s">
        <v>369</v>
      </c>
      <c r="B179" s="447">
        <v>315.03304400000002</v>
      </c>
      <c r="C179" s="448">
        <f>B179*0.0015625</f>
        <v>0.49223913125000007</v>
      </c>
      <c r="D179" s="449" t="s">
        <v>168</v>
      </c>
      <c r="E179" s="449" t="s">
        <v>168</v>
      </c>
      <c r="F179" s="450" t="s">
        <v>152</v>
      </c>
      <c r="G179" s="451"/>
      <c r="H179" s="478"/>
      <c r="I179" s="425" t="str">
        <f>IF(ISNUMBER(MATCH(G179, 'MP Analysis Input'!$A$17:$A$23, 0)), "soft", IF(EXACT(F179, G179), "none", "hard"))</f>
        <v>hard</v>
      </c>
    </row>
    <row r="180" spans="1:9" ht="15" customHeight="1" x14ac:dyDescent="0.25">
      <c r="A180" s="446" t="s">
        <v>370</v>
      </c>
      <c r="B180" s="447">
        <v>103.825344</v>
      </c>
      <c r="C180" s="448">
        <f>B180*0.0015625</f>
        <v>0.16222710000000001</v>
      </c>
      <c r="D180" s="449" t="s">
        <v>168</v>
      </c>
      <c r="E180" s="449" t="s">
        <v>168</v>
      </c>
      <c r="F180" s="450" t="s">
        <v>152</v>
      </c>
      <c r="G180" s="451"/>
      <c r="H180" s="478"/>
      <c r="I180" s="425" t="str">
        <f>IF(ISNUMBER(MATCH(G180, 'MP Analysis Input'!$A$17:$A$23, 0)), "soft", IF(EXACT(F180, G180), "none", "hard"))</f>
        <v>hard</v>
      </c>
    </row>
    <row r="181" spans="1:9" ht="15" customHeight="1" x14ac:dyDescent="0.25">
      <c r="A181" s="454" t="s">
        <v>371</v>
      </c>
      <c r="B181" s="447">
        <v>55.579112000000002</v>
      </c>
      <c r="C181" s="448">
        <f>B181*0.0015625</f>
        <v>8.6842362500000006E-2</v>
      </c>
      <c r="D181" s="449" t="s">
        <v>168</v>
      </c>
      <c r="E181" s="449" t="s">
        <v>168</v>
      </c>
      <c r="F181" s="450" t="s">
        <v>152</v>
      </c>
      <c r="G181" s="451"/>
      <c r="H181" s="478"/>
      <c r="I181" s="425"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zoomScale="85" zoomScaleNormal="85" workbookViewId="0">
      <selection activeCell="S26" sqref="S26"/>
    </sheetView>
    <sheetView workbookViewId="1"/>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41" t="s">
        <v>0</v>
      </c>
      <c r="Y1"/>
      <c r="Z1"/>
      <c r="BR1" s="9"/>
      <c r="BS1" s="9"/>
    </row>
    <row r="2" spans="1:71" ht="15.75" customHeight="1" thickBot="1" x14ac:dyDescent="0.3">
      <c r="B2" s="578" t="s">
        <v>1</v>
      </c>
      <c r="C2" s="604"/>
      <c r="D2" s="604"/>
      <c r="E2" s="604"/>
      <c r="F2" s="604"/>
      <c r="G2" s="604"/>
      <c r="H2" s="604"/>
      <c r="I2" s="604"/>
      <c r="J2" s="604"/>
      <c r="K2" s="604"/>
      <c r="L2" s="604"/>
      <c r="M2" s="604"/>
      <c r="N2" s="604"/>
      <c r="O2" s="604"/>
      <c r="P2" s="604"/>
      <c r="Q2" s="604"/>
      <c r="R2" s="604"/>
      <c r="Y2"/>
      <c r="Z2"/>
      <c r="BR2" s="9"/>
      <c r="BS2" s="9"/>
    </row>
    <row r="3" spans="1:71" s="56" customFormat="1" ht="24" customHeight="1" x14ac:dyDescent="0.25">
      <c r="B3" s="125"/>
      <c r="C3" s="126"/>
      <c r="D3" s="595" t="s">
        <v>2</v>
      </c>
      <c r="E3" s="596"/>
      <c r="F3" s="580" t="s">
        <v>3</v>
      </c>
      <c r="G3" s="580"/>
      <c r="H3" s="587"/>
      <c r="I3" s="590" t="s">
        <v>4</v>
      </c>
      <c r="J3" s="591"/>
      <c r="K3" s="592"/>
      <c r="L3" s="587" t="s">
        <v>5</v>
      </c>
      <c r="M3" s="588"/>
      <c r="N3" s="589"/>
      <c r="O3" s="593" t="s">
        <v>6</v>
      </c>
      <c r="P3" s="594"/>
      <c r="Q3" s="579" t="s">
        <v>7</v>
      </c>
      <c r="R3" s="674"/>
    </row>
    <row r="4" spans="1:71" s="56" customFormat="1" ht="51.75" customHeight="1" thickBot="1" x14ac:dyDescent="0.3">
      <c r="B4" s="108" t="s">
        <v>8</v>
      </c>
      <c r="C4" s="109" t="s">
        <v>9</v>
      </c>
      <c r="D4" s="99" t="s">
        <v>10</v>
      </c>
      <c r="E4" s="113" t="s">
        <v>11</v>
      </c>
      <c r="F4" s="110" t="s">
        <v>12</v>
      </c>
      <c r="G4" s="98" t="s">
        <v>13</v>
      </c>
      <c r="H4" s="98" t="s">
        <v>14</v>
      </c>
      <c r="I4" s="108" t="s">
        <v>15</v>
      </c>
      <c r="J4" s="97" t="s">
        <v>16</v>
      </c>
      <c r="K4" s="109" t="s">
        <v>17</v>
      </c>
      <c r="L4" s="101" t="s">
        <v>18</v>
      </c>
      <c r="M4" s="93" t="s">
        <v>19</v>
      </c>
      <c r="N4" s="100" t="s">
        <v>20</v>
      </c>
      <c r="O4" s="108" t="s">
        <v>21</v>
      </c>
      <c r="P4" s="109" t="s">
        <v>22</v>
      </c>
      <c r="Q4" s="122" t="s">
        <v>23</v>
      </c>
      <c r="R4" s="123" t="s">
        <v>24</v>
      </c>
    </row>
    <row r="5" spans="1:71" s="56" customFormat="1" ht="15.75" customHeight="1" thickBot="1" x14ac:dyDescent="0.3">
      <c r="B5" s="116">
        <v>2018</v>
      </c>
      <c r="C5" s="116">
        <v>2018</v>
      </c>
      <c r="D5" s="111">
        <v>2018</v>
      </c>
      <c r="E5" s="154">
        <v>0.04</v>
      </c>
      <c r="F5" s="154">
        <v>2.1999999999999999E-2</v>
      </c>
      <c r="G5" s="154">
        <v>0.03</v>
      </c>
      <c r="H5" s="154">
        <v>0.04</v>
      </c>
      <c r="I5" s="112">
        <v>0</v>
      </c>
      <c r="J5" s="96">
        <v>30</v>
      </c>
      <c r="K5" s="155">
        <v>0.05</v>
      </c>
      <c r="L5" s="156" t="s">
        <v>25</v>
      </c>
      <c r="M5" s="106">
        <v>475</v>
      </c>
      <c r="N5" s="102">
        <v>15</v>
      </c>
      <c r="O5" s="107" t="s">
        <v>26</v>
      </c>
      <c r="P5" s="155">
        <v>3.5999999999999997E-2</v>
      </c>
      <c r="Q5" s="157" t="s">
        <v>485</v>
      </c>
      <c r="R5" s="124">
        <v>73</v>
      </c>
    </row>
    <row r="6" spans="1:71" s="56" customFormat="1" ht="15" customHeight="1" thickBot="1" x14ac:dyDescent="0.3">
      <c r="A6" s="103"/>
      <c r="B6" s="57"/>
      <c r="C6" s="57"/>
      <c r="D6" s="158"/>
      <c r="E6" s="158"/>
      <c r="F6" s="158"/>
      <c r="G6" s="158"/>
      <c r="H6" s="158"/>
      <c r="I6" s="57"/>
      <c r="J6" s="57"/>
      <c r="K6" s="103"/>
      <c r="L6" s="103"/>
      <c r="M6" s="91"/>
      <c r="N6" s="58"/>
      <c r="O6" s="158"/>
      <c r="P6" s="57"/>
      <c r="Q6" s="159"/>
      <c r="R6" s="159"/>
      <c r="T6" s="159"/>
      <c r="U6" s="92"/>
    </row>
    <row r="7" spans="1:71" s="56" customFormat="1" ht="20.25" customHeight="1" thickBot="1" x14ac:dyDescent="0.3">
      <c r="A7" s="103"/>
      <c r="B7" s="603" t="s">
        <v>27</v>
      </c>
      <c r="C7" s="604"/>
      <c r="D7" s="604"/>
      <c r="E7" s="604"/>
      <c r="F7" s="604"/>
      <c r="G7"/>
      <c r="H7"/>
      <c r="I7"/>
      <c r="K7" s="600" t="s">
        <v>28</v>
      </c>
      <c r="L7" s="601"/>
      <c r="M7" s="601"/>
      <c r="N7" s="602"/>
      <c r="O7" s="159"/>
      <c r="W7" s="9"/>
    </row>
    <row r="8" spans="1:71" s="56" customFormat="1" ht="20.25" customHeight="1" thickBot="1" x14ac:dyDescent="0.3">
      <c r="B8" s="584" t="s">
        <v>29</v>
      </c>
      <c r="C8" s="586"/>
      <c r="D8" s="584" t="str">
        <f>D5 &amp;" NPV Benefit ($Million)"</f>
        <v>2018 NPV Benefit ($Million)</v>
      </c>
      <c r="E8" s="585"/>
      <c r="F8" s="586"/>
      <c r="G8"/>
      <c r="H8"/>
      <c r="I8"/>
      <c r="K8" s="120"/>
      <c r="L8" s="581" t="s">
        <v>31</v>
      </c>
      <c r="M8" s="582"/>
      <c r="N8" s="583"/>
      <c r="Y8" s="9"/>
    </row>
    <row r="9" spans="1:71" s="56" customFormat="1" ht="20.25" customHeight="1" thickBot="1" x14ac:dyDescent="0.3">
      <c r="B9" s="575" t="s">
        <v>32</v>
      </c>
      <c r="C9" s="576"/>
      <c r="D9" s="575" t="e">
        <f>SUM(#REF!-#REF!)</f>
        <v>#REF!</v>
      </c>
      <c r="E9" s="577"/>
      <c r="F9" s="576"/>
      <c r="G9"/>
      <c r="H9"/>
      <c r="I9"/>
      <c r="K9" s="95"/>
      <c r="L9" s="581" t="s">
        <v>33</v>
      </c>
      <c r="M9" s="582"/>
      <c r="N9" s="583"/>
      <c r="O9" s="159"/>
      <c r="Z9" s="103"/>
    </row>
    <row r="10" spans="1:71" s="56" customFormat="1" ht="20.25" customHeight="1" thickBot="1" x14ac:dyDescent="0.3">
      <c r="B10" s="575" t="s">
        <v>34</v>
      </c>
      <c r="C10" s="576"/>
      <c r="D10" s="575" t="e">
        <f>SUM(#REF!-#REF!)</f>
        <v>#REF!</v>
      </c>
      <c r="E10" s="577"/>
      <c r="F10" s="576"/>
      <c r="G10"/>
      <c r="H10"/>
      <c r="I10"/>
      <c r="K10" s="94"/>
      <c r="L10" s="597" t="s">
        <v>35</v>
      </c>
      <c r="M10" s="598"/>
      <c r="N10" s="599"/>
      <c r="O10" s="159"/>
      <c r="Z10" s="103"/>
    </row>
    <row r="11" spans="1:71" s="56" customFormat="1" ht="20.25" customHeight="1" thickBot="1" x14ac:dyDescent="0.3">
      <c r="B11" s="575" t="s">
        <v>36</v>
      </c>
      <c r="C11" s="576"/>
      <c r="D11" s="575" t="e">
        <f>SUM(#REF!-#REF!)</f>
        <v>#REF!</v>
      </c>
      <c r="E11" s="577"/>
      <c r="F11" s="576"/>
      <c r="G11"/>
      <c r="H11"/>
      <c r="I11"/>
      <c r="K11" s="128"/>
      <c r="L11" s="581" t="s">
        <v>37</v>
      </c>
      <c r="M11" s="582"/>
      <c r="N11" s="583"/>
      <c r="O11" s="160" t="s">
        <v>38</v>
      </c>
      <c r="Z11" s="103"/>
    </row>
    <row r="12" spans="1:71" s="56" customFormat="1" ht="20.25" customHeight="1" thickBot="1" x14ac:dyDescent="0.3">
      <c r="B12" s="575" t="s">
        <v>39</v>
      </c>
      <c r="C12" s="576"/>
      <c r="D12" s="575" t="e">
        <f>SUM(#REF!-#REF!)</f>
        <v>#REF!</v>
      </c>
      <c r="E12" s="577"/>
      <c r="F12" s="576"/>
      <c r="G12"/>
      <c r="H12"/>
      <c r="I12"/>
      <c r="O12" s="159"/>
      <c r="Z12" s="103"/>
    </row>
    <row r="13" spans="1:71" s="56" customFormat="1" ht="20.25" customHeight="1" thickBot="1" x14ac:dyDescent="0.3">
      <c r="B13" s="575" t="s">
        <v>40</v>
      </c>
      <c r="C13" s="576"/>
      <c r="D13" s="575" t="e">
        <f>SUM(#REF!-#REF!)</f>
        <v>#REF!</v>
      </c>
      <c r="E13" s="577"/>
      <c r="F13" s="576"/>
      <c r="G13"/>
      <c r="H13"/>
      <c r="I13"/>
      <c r="K13" s="600" t="s">
        <v>41</v>
      </c>
      <c r="L13" s="601"/>
      <c r="M13" s="601"/>
      <c r="N13" s="602"/>
      <c r="O13" s="159"/>
      <c r="Z13" s="103"/>
    </row>
    <row r="14" spans="1:71" s="56" customFormat="1" ht="20.25" customHeight="1" thickBot="1" x14ac:dyDescent="0.3">
      <c r="B14" s="575" t="s">
        <v>42</v>
      </c>
      <c r="C14" s="576"/>
      <c r="D14" s="575">
        <f>SUM(Step5!W55-Step5!Q55)</f>
        <v>-272.93495333097053</v>
      </c>
      <c r="E14" s="577"/>
      <c r="F14" s="576"/>
      <c r="G14"/>
      <c r="H14"/>
      <c r="I14"/>
      <c r="K14" s="605" t="s">
        <v>43</v>
      </c>
      <c r="L14" s="606"/>
      <c r="M14" s="606"/>
      <c r="N14" s="607"/>
      <c r="O14" s="160" t="s">
        <v>44</v>
      </c>
      <c r="Z14" s="103"/>
    </row>
    <row r="15" spans="1:71" s="56" customFormat="1" ht="20.25" customHeight="1" thickBot="1" x14ac:dyDescent="0.25">
      <c r="B15" s="9"/>
      <c r="C15" s="9"/>
      <c r="D15" s="9"/>
      <c r="E15" s="9"/>
      <c r="F15" s="9"/>
      <c r="G15" s="9"/>
      <c r="H15" s="9"/>
      <c r="I15" s="9"/>
      <c r="K15" s="608" t="s">
        <v>45</v>
      </c>
      <c r="L15" s="609"/>
      <c r="M15" s="609"/>
      <c r="N15" s="610"/>
      <c r="O15" s="160" t="s">
        <v>46</v>
      </c>
      <c r="Z15" s="103"/>
    </row>
    <row r="16" spans="1:71" s="56" customFormat="1" ht="20.25" customHeight="1" thickBot="1" x14ac:dyDescent="0.25">
      <c r="A16" s="161"/>
      <c r="B16" s="149">
        <f>MP_new!G4</f>
        <v>65409.8401116928</v>
      </c>
      <c r="C16" s="9" t="s">
        <v>47</v>
      </c>
      <c r="D16" s="9"/>
      <c r="E16" s="9"/>
      <c r="F16" s="9"/>
      <c r="G16" s="9"/>
      <c r="H16" s="9"/>
      <c r="I16" s="9"/>
      <c r="K16" s="597" t="s">
        <v>48</v>
      </c>
      <c r="L16" s="598"/>
      <c r="M16" s="598"/>
      <c r="N16" s="599"/>
      <c r="O16" s="160" t="s">
        <v>49</v>
      </c>
      <c r="Z16" s="162"/>
    </row>
    <row r="17" spans="2:15" ht="17.25" customHeight="1" thickBot="1" x14ac:dyDescent="0.3">
      <c r="K17" s="581" t="s">
        <v>50</v>
      </c>
      <c r="L17" s="582"/>
      <c r="M17" s="582"/>
      <c r="N17" s="583"/>
      <c r="O17" s="160" t="s">
        <v>51</v>
      </c>
    </row>
    <row r="18" spans="2:15" ht="17.25" customHeight="1" thickBot="1" x14ac:dyDescent="0.3">
      <c r="B18" s="9" t="s">
        <v>52</v>
      </c>
      <c r="K18" s="581" t="s">
        <v>53</v>
      </c>
      <c r="L18" s="582"/>
      <c r="M18" s="582"/>
      <c r="N18" s="583"/>
      <c r="O18" s="131" t="s">
        <v>54</v>
      </c>
    </row>
    <row r="19" spans="2:15" ht="17.25" customHeight="1" thickBot="1" x14ac:dyDescent="0.3">
      <c r="B19" t="s">
        <v>55</v>
      </c>
      <c r="K19" s="581" t="s">
        <v>56</v>
      </c>
      <c r="L19" s="582"/>
      <c r="M19" s="582"/>
      <c r="N19" s="583"/>
      <c r="O19" s="131" t="s">
        <v>54</v>
      </c>
    </row>
    <row r="20" spans="2:15" ht="17.25" customHeight="1" x14ac:dyDescent="0.25"/>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34">
    <mergeCell ref="Q3:R3"/>
    <mergeCell ref="B2:R2"/>
    <mergeCell ref="K14:N14"/>
    <mergeCell ref="K19:N19"/>
    <mergeCell ref="K18:N18"/>
    <mergeCell ref="K17:N17"/>
    <mergeCell ref="K16:N16"/>
    <mergeCell ref="K15:N15"/>
    <mergeCell ref="D13:F13"/>
    <mergeCell ref="B12:C12"/>
    <mergeCell ref="D12:F12"/>
    <mergeCell ref="B13:C13"/>
    <mergeCell ref="K13:N13"/>
    <mergeCell ref="K7:N7"/>
    <mergeCell ref="B10:C10"/>
    <mergeCell ref="D10:F10"/>
    <mergeCell ref="B7:F7"/>
    <mergeCell ref="B11:C11"/>
    <mergeCell ref="D11:F11"/>
    <mergeCell ref="B9:C9"/>
    <mergeCell ref="B14:C14"/>
    <mergeCell ref="D14:F14"/>
    <mergeCell ref="L11:N11"/>
    <mergeCell ref="D8:F8"/>
    <mergeCell ref="B8:C8"/>
    <mergeCell ref="L3:N3"/>
    <mergeCell ref="I3:K3"/>
    <mergeCell ref="O3:P3"/>
    <mergeCell ref="D9:F9"/>
    <mergeCell ref="D3:E3"/>
    <mergeCell ref="L10:N10"/>
    <mergeCell ref="L9:N9"/>
    <mergeCell ref="L8:N8"/>
    <mergeCell ref="F3:H3"/>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tabSelected="1" topLeftCell="A31" workbookViewId="0">
      <selection activeCell="D18" sqref="D18"/>
    </sheetView>
    <sheetView topLeftCell="A31" workbookViewId="1"/>
  </sheetViews>
  <sheetFormatPr defaultRowHeight="15" x14ac:dyDescent="0.25"/>
  <cols>
    <col min="1" max="1" width="18.5703125" customWidth="1"/>
    <col min="2" max="7" width="12.85546875" style="138" customWidth="1"/>
    <col min="8" max="8" width="7.85546875" customWidth="1"/>
    <col min="9" max="9" width="17.7109375" style="140" customWidth="1"/>
    <col min="10" max="15" width="12.85546875" customWidth="1"/>
  </cols>
  <sheetData>
    <row r="1" spans="1:22" ht="37.5" customHeight="1" x14ac:dyDescent="0.25">
      <c r="A1" s="142" t="s">
        <v>60</v>
      </c>
    </row>
    <row r="2" spans="1:22" ht="15.75" customHeight="1" thickBot="1" x14ac:dyDescent="0.3">
      <c r="B2" s="403" t="s">
        <v>533</v>
      </c>
      <c r="C2" s="403" t="str">
        <f>'10 YEAR PROJECTION'!L4</f>
        <v>21/22</v>
      </c>
      <c r="D2" s="403" t="str">
        <f>'10 YEAR PROJECTION'!O4</f>
        <v>24/25</v>
      </c>
      <c r="E2" s="403" t="str">
        <f>'10 YEAR PROJECTION'!R4</f>
        <v>27/28</v>
      </c>
      <c r="F2" s="403" t="str">
        <f>'10 YEAR PROJECTION'!U4</f>
        <v>30/31</v>
      </c>
      <c r="G2" s="403" t="str">
        <f>'10 YEAR PROJECTION'!W4</f>
        <v>32/33</v>
      </c>
    </row>
    <row r="3" spans="1:22" ht="26.25" customHeight="1" x14ac:dyDescent="0.25">
      <c r="A3" s="658" t="s">
        <v>57</v>
      </c>
      <c r="B3" s="656" t="s">
        <v>61</v>
      </c>
      <c r="C3" s="656" t="s">
        <v>62</v>
      </c>
      <c r="D3" s="656" t="s">
        <v>63</v>
      </c>
      <c r="E3" s="656" t="s">
        <v>64</v>
      </c>
      <c r="F3" s="656" t="s">
        <v>65</v>
      </c>
      <c r="G3" s="656" t="s">
        <v>66</v>
      </c>
      <c r="I3" s="658" t="s">
        <v>58</v>
      </c>
      <c r="J3" s="656" t="s">
        <v>61</v>
      </c>
      <c r="K3" s="656" t="s">
        <v>62</v>
      </c>
      <c r="L3" s="656" t="s">
        <v>63</v>
      </c>
      <c r="M3" s="656" t="s">
        <v>64</v>
      </c>
      <c r="N3" s="656" t="s">
        <v>65</v>
      </c>
      <c r="O3" s="656" t="s">
        <v>66</v>
      </c>
      <c r="Q3" s="417" t="s">
        <v>500</v>
      </c>
      <c r="R3" s="417"/>
      <c r="S3" s="417"/>
      <c r="T3" s="417"/>
      <c r="U3" s="417"/>
      <c r="V3" s="417"/>
    </row>
    <row r="4" spans="1:22" ht="26.25" customHeight="1" thickBot="1" x14ac:dyDescent="0.3">
      <c r="A4" s="659"/>
      <c r="B4" s="657"/>
      <c r="C4" s="657"/>
      <c r="D4" s="657"/>
      <c r="E4" s="657"/>
      <c r="F4" s="657"/>
      <c r="G4" s="657"/>
      <c r="I4" s="659"/>
      <c r="J4" s="657"/>
      <c r="K4" s="657"/>
      <c r="L4" s="657"/>
      <c r="M4" s="657"/>
      <c r="N4" s="657"/>
      <c r="O4" s="657"/>
      <c r="Q4" s="484" t="s">
        <v>547</v>
      </c>
      <c r="R4" s="484"/>
      <c r="S4" s="484"/>
      <c r="T4" s="484"/>
      <c r="U4" s="484"/>
      <c r="V4" s="484"/>
    </row>
    <row r="5" spans="1:22" s="139" customFormat="1" ht="32.25" customHeight="1" thickBot="1" x14ac:dyDescent="0.3">
      <c r="A5" s="150" t="str">
        <f>'Cost Analysis Input'!E2</f>
        <v>Traditional Shallow Flood</v>
      </c>
      <c r="B5" s="479">
        <v>11037</v>
      </c>
      <c r="C5" s="660">
        <v>7907</v>
      </c>
      <c r="D5" s="660">
        <v>7183</v>
      </c>
      <c r="E5" s="660">
        <v>6317</v>
      </c>
      <c r="F5" s="660">
        <v>4591</v>
      </c>
      <c r="G5" s="660">
        <v>1790</v>
      </c>
      <c r="I5" s="150" t="str">
        <f>'Cost Analysis Input'!I2</f>
        <v>Breeding Waterfowl &amp; Meadow</v>
      </c>
      <c r="J5" s="665">
        <v>689</v>
      </c>
      <c r="K5" s="665">
        <v>689</v>
      </c>
      <c r="L5" s="665">
        <v>689</v>
      </c>
      <c r="M5" s="665">
        <v>689</v>
      </c>
      <c r="N5" s="665">
        <v>689</v>
      </c>
      <c r="O5" s="665">
        <v>689</v>
      </c>
      <c r="Q5" s="421" t="s">
        <v>503</v>
      </c>
      <c r="R5" s="422"/>
      <c r="S5" s="421"/>
      <c r="T5" s="422"/>
      <c r="U5" s="421"/>
      <c r="V5" s="421"/>
    </row>
    <row r="6" spans="1:22" s="139" customFormat="1" ht="32.25" customHeight="1" thickBot="1" x14ac:dyDescent="0.3">
      <c r="A6" s="150" t="str">
        <f>'Cost Analysis Input'!E3</f>
        <v>Sprinkler Shallow Flood</v>
      </c>
      <c r="B6" s="480">
        <v>7915</v>
      </c>
      <c r="C6" s="661">
        <v>7699</v>
      </c>
      <c r="D6" s="661">
        <v>5570</v>
      </c>
      <c r="E6" s="661">
        <v>4719</v>
      </c>
      <c r="F6" s="661">
        <v>3951</v>
      </c>
      <c r="G6" s="661">
        <v>3726</v>
      </c>
      <c r="I6" s="150" t="str">
        <f>'Cost Analysis Input'!I3</f>
        <v>Brine</v>
      </c>
      <c r="J6" s="666">
        <v>746</v>
      </c>
      <c r="K6" s="666">
        <v>746</v>
      </c>
      <c r="L6" s="666">
        <v>746</v>
      </c>
      <c r="M6" s="666">
        <v>746</v>
      </c>
      <c r="N6" s="666">
        <v>1005</v>
      </c>
      <c r="O6" s="666">
        <v>1005</v>
      </c>
      <c r="Q6" s="424" t="s">
        <v>505</v>
      </c>
      <c r="R6" s="425"/>
      <c r="S6" s="424"/>
      <c r="T6" s="425"/>
      <c r="U6" s="424"/>
      <c r="V6" s="424"/>
    </row>
    <row r="7" spans="1:22" s="139" customFormat="1" ht="32.25" customHeight="1" thickBot="1" x14ac:dyDescent="0.25">
      <c r="A7" s="150" t="str">
        <f>'Cost Analysis Input'!E4</f>
        <v>Managed Vegetation Farm</v>
      </c>
      <c r="B7" s="480">
        <v>2264</v>
      </c>
      <c r="C7" s="661">
        <v>2182</v>
      </c>
      <c r="D7" s="661">
        <v>1403</v>
      </c>
      <c r="E7" s="661">
        <v>1083</v>
      </c>
      <c r="F7" s="661">
        <v>1083</v>
      </c>
      <c r="G7" s="661">
        <v>1083</v>
      </c>
      <c r="I7" s="150" t="str">
        <f>'Cost Analysis Input'!I4</f>
        <v>BWF</v>
      </c>
      <c r="J7" s="666">
        <v>701</v>
      </c>
      <c r="K7" s="666">
        <v>701</v>
      </c>
      <c r="L7" s="666">
        <v>701</v>
      </c>
      <c r="M7" s="666">
        <v>701</v>
      </c>
      <c r="N7" s="666">
        <v>701</v>
      </c>
      <c r="O7" s="666">
        <v>701</v>
      </c>
    </row>
    <row r="8" spans="1:22" s="139" customFormat="1" ht="32.25" customHeight="1" thickBot="1" x14ac:dyDescent="0.25">
      <c r="A8" s="150" t="str">
        <f>'Cost Analysis Input'!E5</f>
        <v>Managed Vegetation Phase 7a, 9 and 10</v>
      </c>
      <c r="B8" s="480">
        <v>1691</v>
      </c>
      <c r="C8" s="661">
        <v>1641</v>
      </c>
      <c r="D8" s="661">
        <v>1621</v>
      </c>
      <c r="E8" s="661">
        <v>1621</v>
      </c>
      <c r="F8" s="661">
        <v>1621</v>
      </c>
      <c r="G8" s="661">
        <v>1621</v>
      </c>
      <c r="I8" s="150" t="str">
        <f>'Cost Analysis Input'!I5</f>
        <v>DWM_Dec</v>
      </c>
      <c r="J8" s="666">
        <v>893</v>
      </c>
      <c r="K8" s="666">
        <v>893</v>
      </c>
      <c r="L8" s="666">
        <v>893</v>
      </c>
      <c r="M8" s="666">
        <v>893</v>
      </c>
      <c r="N8" s="666">
        <v>741</v>
      </c>
      <c r="O8" s="666">
        <v>0</v>
      </c>
    </row>
    <row r="9" spans="1:22" s="139" customFormat="1" ht="32.25" customHeight="1" thickBot="1" x14ac:dyDescent="0.25">
      <c r="A9" s="150" t="str">
        <f>'Cost Analysis Input'!E6</f>
        <v>Gravel</v>
      </c>
      <c r="B9" s="480">
        <v>3847</v>
      </c>
      <c r="C9" s="661">
        <v>5111</v>
      </c>
      <c r="D9" s="661">
        <v>5111</v>
      </c>
      <c r="E9" s="661">
        <v>5963</v>
      </c>
      <c r="F9" s="661">
        <v>5963</v>
      </c>
      <c r="G9" s="661">
        <v>5963</v>
      </c>
      <c r="I9" s="150" t="str">
        <f>'Cost Analysis Input'!I6</f>
        <v>DWM_Dust Control</v>
      </c>
      <c r="J9" s="666">
        <v>0</v>
      </c>
      <c r="K9" s="666">
        <v>0</v>
      </c>
      <c r="L9" s="666">
        <v>0</v>
      </c>
      <c r="M9" s="666">
        <v>0</v>
      </c>
      <c r="N9" s="666">
        <v>0</v>
      </c>
      <c r="O9" s="666">
        <v>0</v>
      </c>
    </row>
    <row r="10" spans="1:22" s="139" customFormat="1" ht="32.25" customHeight="1" thickBot="1" x14ac:dyDescent="0.25">
      <c r="A10" s="150" t="str">
        <f>'Cost Analysis Input'!E7</f>
        <v>Brine with BACM Backup</v>
      </c>
      <c r="B10" s="480">
        <v>746</v>
      </c>
      <c r="C10" s="661">
        <v>746</v>
      </c>
      <c r="D10" s="661">
        <v>746</v>
      </c>
      <c r="E10" s="661">
        <v>746</v>
      </c>
      <c r="F10" s="661">
        <v>1005</v>
      </c>
      <c r="G10" s="661">
        <v>1005</v>
      </c>
      <c r="I10" s="150" t="str">
        <f>'Cost Analysis Input'!I7</f>
        <v>DWM_Jan</v>
      </c>
      <c r="J10" s="666">
        <v>2323</v>
      </c>
      <c r="K10" s="666">
        <v>1957</v>
      </c>
      <c r="L10" s="666">
        <v>1779</v>
      </c>
      <c r="M10" s="666">
        <v>1282</v>
      </c>
      <c r="N10" s="666">
        <v>1282</v>
      </c>
      <c r="O10" s="666">
        <v>383</v>
      </c>
    </row>
    <row r="11" spans="1:22" s="139" customFormat="1" ht="32.25" customHeight="1" thickBot="1" x14ac:dyDescent="0.25">
      <c r="A11" s="150" t="str">
        <f>'Cost Analysis Input'!E8</f>
        <v>Tillage with BACM Backup</v>
      </c>
      <c r="B11" s="480">
        <v>1367</v>
      </c>
      <c r="C11" s="661">
        <v>2939</v>
      </c>
      <c r="D11" s="661">
        <v>4697</v>
      </c>
      <c r="E11" s="661">
        <v>4948</v>
      </c>
      <c r="F11" s="661">
        <v>5623</v>
      </c>
      <c r="G11" s="661">
        <v>6785</v>
      </c>
      <c r="I11" s="150" t="str">
        <f>'Cost Analysis Input'!I8</f>
        <v>DWM_Oct</v>
      </c>
      <c r="J11" s="666">
        <v>116</v>
      </c>
      <c r="K11" s="666">
        <v>116</v>
      </c>
      <c r="L11" s="666">
        <v>116</v>
      </c>
      <c r="M11" s="666">
        <v>0</v>
      </c>
      <c r="N11" s="666">
        <v>0</v>
      </c>
      <c r="O11" s="666">
        <v>0</v>
      </c>
    </row>
    <row r="12" spans="1:22" s="139" customFormat="1" ht="32.25" customHeight="1" thickBot="1" x14ac:dyDescent="0.25">
      <c r="A12" s="150" t="str">
        <f>'Cost Analysis Input'!E9</f>
        <v>Channel Areas Reduced MDCE BACM</v>
      </c>
      <c r="B12" s="480">
        <v>330</v>
      </c>
      <c r="C12" s="661">
        <v>330</v>
      </c>
      <c r="D12" s="661">
        <v>330</v>
      </c>
      <c r="E12" s="661">
        <v>330</v>
      </c>
      <c r="F12" s="661">
        <v>330</v>
      </c>
      <c r="G12" s="661">
        <v>330</v>
      </c>
      <c r="I12" s="150" t="str">
        <f>'Cost Analysis Input'!I9</f>
        <v>DWM_Plovers</v>
      </c>
      <c r="J12" s="666">
        <v>1125</v>
      </c>
      <c r="K12" s="666">
        <v>0</v>
      </c>
      <c r="L12" s="666">
        <v>0</v>
      </c>
      <c r="M12" s="666">
        <v>0</v>
      </c>
      <c r="N12" s="666">
        <v>0</v>
      </c>
      <c r="O12" s="666">
        <v>0</v>
      </c>
    </row>
    <row r="13" spans="1:22" s="139" customFormat="1" ht="32.25" customHeight="1" thickBot="1" x14ac:dyDescent="0.25">
      <c r="A13" s="150" t="str">
        <f>'Cost Analysis Input'!E10</f>
        <v>Sand Fences</v>
      </c>
      <c r="B13" s="480">
        <v>248</v>
      </c>
      <c r="C13" s="661">
        <v>248</v>
      </c>
      <c r="D13" s="661">
        <v>248</v>
      </c>
      <c r="E13" s="661">
        <v>248</v>
      </c>
      <c r="F13" s="661">
        <v>248</v>
      </c>
      <c r="G13" s="661">
        <v>248</v>
      </c>
      <c r="I13" s="150" t="str">
        <f>'Cost Analysis Input'!I10</f>
        <v>DWM_Spring_only</v>
      </c>
      <c r="J13" s="666">
        <v>0</v>
      </c>
      <c r="K13" s="666">
        <v>0</v>
      </c>
      <c r="L13" s="666">
        <v>0</v>
      </c>
      <c r="M13" s="666">
        <v>0</v>
      </c>
      <c r="N13" s="666">
        <v>0</v>
      </c>
      <c r="O13" s="666">
        <v>0</v>
      </c>
    </row>
    <row r="14" spans="1:22" s="139" customFormat="1" ht="32.25" customHeight="1" thickBot="1" x14ac:dyDescent="0.25">
      <c r="A14" s="150" t="str">
        <f>'Cost Analysis Input'!E11</f>
        <v>None</v>
      </c>
      <c r="B14" s="480">
        <v>0</v>
      </c>
      <c r="C14" s="661">
        <v>0</v>
      </c>
      <c r="D14" s="661">
        <v>0</v>
      </c>
      <c r="E14" s="661">
        <v>0</v>
      </c>
      <c r="F14" s="661">
        <v>0</v>
      </c>
      <c r="G14" s="661">
        <v>0</v>
      </c>
      <c r="I14" s="150" t="str">
        <f>'Cost Analysis Input'!I11</f>
        <v>ENV</v>
      </c>
      <c r="J14" s="666">
        <v>330</v>
      </c>
      <c r="K14" s="666">
        <v>330</v>
      </c>
      <c r="L14" s="666">
        <v>330</v>
      </c>
      <c r="M14" s="666">
        <v>330</v>
      </c>
      <c r="N14" s="666">
        <v>330</v>
      </c>
      <c r="O14" s="666">
        <v>330</v>
      </c>
    </row>
    <row r="15" spans="1:22" s="139" customFormat="1" ht="32.25" customHeight="1" thickBot="1" x14ac:dyDescent="0.25">
      <c r="A15" s="150" t="str">
        <f>'Cost Analysis Input'!E12</f>
        <v>Habitat DCM</v>
      </c>
      <c r="B15" s="481">
        <v>1772</v>
      </c>
      <c r="C15" s="662">
        <v>2414</v>
      </c>
      <c r="D15" s="662">
        <v>4309</v>
      </c>
      <c r="E15" s="662">
        <v>5243</v>
      </c>
      <c r="F15" s="662">
        <v>6803</v>
      </c>
      <c r="G15" s="662">
        <v>8669</v>
      </c>
      <c r="I15" s="150" t="str">
        <f>'Cost Analysis Input'!I12</f>
        <v>Gravel</v>
      </c>
      <c r="J15" s="666">
        <v>3847</v>
      </c>
      <c r="K15" s="666">
        <v>5111</v>
      </c>
      <c r="L15" s="666">
        <v>5111</v>
      </c>
      <c r="M15" s="666">
        <v>5963</v>
      </c>
      <c r="N15" s="666">
        <v>5963</v>
      </c>
      <c r="O15" s="666">
        <v>5963</v>
      </c>
    </row>
    <row r="16" spans="1:22" ht="32.25" customHeight="1" thickBot="1" x14ac:dyDescent="0.3">
      <c r="A16" s="150" t="s">
        <v>59</v>
      </c>
      <c r="B16" s="482">
        <v>31219</v>
      </c>
      <c r="C16" s="663">
        <v>31219</v>
      </c>
      <c r="D16" s="663">
        <v>31219</v>
      </c>
      <c r="E16" s="663">
        <v>31219</v>
      </c>
      <c r="F16" s="663">
        <v>31219</v>
      </c>
      <c r="G16" s="664">
        <v>31219</v>
      </c>
      <c r="I16" s="150" t="str">
        <f>'Cost Analysis Input'!I13</f>
        <v>Meadow</v>
      </c>
      <c r="J16" s="666">
        <v>1511</v>
      </c>
      <c r="K16" s="666">
        <v>1511</v>
      </c>
      <c r="L16" s="666">
        <v>1511</v>
      </c>
      <c r="M16" s="666">
        <v>1511</v>
      </c>
      <c r="N16" s="666">
        <v>1511</v>
      </c>
      <c r="O16" s="666">
        <v>1511</v>
      </c>
    </row>
    <row r="17" spans="1:15" ht="32.25" customHeight="1" thickBot="1" x14ac:dyDescent="0.4">
      <c r="A17" s="613" t="s">
        <v>490</v>
      </c>
      <c r="B17" s="614"/>
      <c r="C17" s="614"/>
      <c r="D17" s="614"/>
      <c r="E17" s="614"/>
      <c r="F17" s="614"/>
      <c r="G17" s="614"/>
      <c r="I17" s="150" t="str">
        <f>'Cost Analysis Input'!I14</f>
        <v>MSB</v>
      </c>
      <c r="J17" s="666">
        <v>0</v>
      </c>
      <c r="K17" s="666">
        <v>642</v>
      </c>
      <c r="L17" s="666">
        <v>1967</v>
      </c>
      <c r="M17" s="666">
        <v>2901</v>
      </c>
      <c r="N17" s="666">
        <v>4462</v>
      </c>
      <c r="O17" s="666">
        <v>5678</v>
      </c>
    </row>
    <row r="18" spans="1:15" ht="32.25" customHeight="1" thickBot="1" x14ac:dyDescent="0.3">
      <c r="A18" s="404"/>
      <c r="B18" s="405" t="s">
        <v>482</v>
      </c>
      <c r="C18" s="406" t="s">
        <v>486</v>
      </c>
      <c r="D18" s="406" t="s">
        <v>487</v>
      </c>
      <c r="E18" s="406" t="s">
        <v>488</v>
      </c>
      <c r="F18" s="406" t="s">
        <v>489</v>
      </c>
      <c r="G18" s="407" t="s">
        <v>491</v>
      </c>
      <c r="I18" s="150" t="str">
        <f>'Cost Analysis Input'!I15</f>
        <v>MSB and SNPL</v>
      </c>
      <c r="J18" s="666">
        <v>0</v>
      </c>
      <c r="K18" s="666">
        <v>0</v>
      </c>
      <c r="L18" s="666">
        <v>0</v>
      </c>
      <c r="M18" s="666">
        <v>0</v>
      </c>
      <c r="N18" s="666">
        <v>0</v>
      </c>
      <c r="O18" s="666">
        <v>0</v>
      </c>
    </row>
    <row r="19" spans="1:15" ht="32.25" customHeight="1" thickBot="1" x14ac:dyDescent="0.3">
      <c r="A19" s="408" t="s">
        <v>130</v>
      </c>
      <c r="B19" s="668">
        <f>'Cost Analysis Input'!F2</f>
        <v>25</v>
      </c>
      <c r="C19" s="671">
        <f>IF((C5-B5)&gt;0,((C5-B5)/640)*$B19,0)</f>
        <v>0</v>
      </c>
      <c r="D19" s="671">
        <f t="shared" ref="D19:G19" si="0">IF((D5-C5)&gt;0,((D5-C5)/640)*$B19,0)</f>
        <v>0</v>
      </c>
      <c r="E19" s="671">
        <f t="shared" si="0"/>
        <v>0</v>
      </c>
      <c r="F19" s="671">
        <f t="shared" si="0"/>
        <v>0</v>
      </c>
      <c r="G19" s="671">
        <f t="shared" si="0"/>
        <v>0</v>
      </c>
      <c r="I19" s="150" t="str">
        <f>'Cost Analysis Input'!I16</f>
        <v>MSB and SNPL_gravel</v>
      </c>
      <c r="J19" s="666">
        <v>0</v>
      </c>
      <c r="K19" s="666">
        <v>0</v>
      </c>
      <c r="L19" s="666">
        <v>0</v>
      </c>
      <c r="M19" s="666">
        <v>0</v>
      </c>
      <c r="N19" s="666">
        <v>0</v>
      </c>
      <c r="O19" s="666">
        <v>0</v>
      </c>
    </row>
    <row r="20" spans="1:15" ht="32.25" customHeight="1" thickBot="1" x14ac:dyDescent="0.3">
      <c r="A20" s="408" t="s">
        <v>140</v>
      </c>
      <c r="B20" s="668">
        <f>'Cost Analysis Input'!F3</f>
        <v>32</v>
      </c>
      <c r="C20" s="671">
        <f>IF((C6-B6)&gt;0,((C6-B6)/640)*$B20,0)</f>
        <v>0</v>
      </c>
      <c r="D20" s="671">
        <f t="shared" ref="D20:G20" si="1">IF((D6-C6)&gt;0,((D6-C6)/640)*$B20,0)</f>
        <v>0</v>
      </c>
      <c r="E20" s="671">
        <f t="shared" si="1"/>
        <v>0</v>
      </c>
      <c r="F20" s="671">
        <f t="shared" si="1"/>
        <v>0</v>
      </c>
      <c r="G20" s="671">
        <f t="shared" si="1"/>
        <v>0</v>
      </c>
      <c r="I20" s="150" t="str">
        <f>'Cost Analysis Input'!I17</f>
        <v>MSB and SNPL_gravel_MWF</v>
      </c>
      <c r="J20" s="666">
        <v>0</v>
      </c>
      <c r="K20" s="666">
        <v>0</v>
      </c>
      <c r="L20" s="666">
        <v>0</v>
      </c>
      <c r="M20" s="666">
        <v>0</v>
      </c>
      <c r="N20" s="666">
        <v>0</v>
      </c>
      <c r="O20" s="666">
        <v>0</v>
      </c>
    </row>
    <row r="21" spans="1:15" ht="32.25" customHeight="1" thickBot="1" x14ac:dyDescent="0.3">
      <c r="A21" s="408" t="s">
        <v>144</v>
      </c>
      <c r="B21" s="668">
        <f>'Cost Analysis Input'!F4</f>
        <v>36</v>
      </c>
      <c r="C21" s="671">
        <f t="shared" ref="C21:G21" si="2">IF((C7-B7)&gt;0,((C7-B7)/640)*$B21,0)</f>
        <v>0</v>
      </c>
      <c r="D21" s="671">
        <f t="shared" si="2"/>
        <v>0</v>
      </c>
      <c r="E21" s="671">
        <f t="shared" si="2"/>
        <v>0</v>
      </c>
      <c r="F21" s="671">
        <f t="shared" si="2"/>
        <v>0</v>
      </c>
      <c r="G21" s="671">
        <f t="shared" si="2"/>
        <v>0</v>
      </c>
      <c r="I21" s="150" t="str">
        <f>'Cost Analysis Input'!I18</f>
        <v>MWF</v>
      </c>
      <c r="J21" s="666">
        <v>0</v>
      </c>
      <c r="K21" s="666">
        <v>0</v>
      </c>
      <c r="L21" s="666">
        <v>569</v>
      </c>
      <c r="M21" s="666">
        <v>569</v>
      </c>
      <c r="N21" s="666">
        <v>569</v>
      </c>
      <c r="O21" s="666">
        <v>1218</v>
      </c>
    </row>
    <row r="22" spans="1:15" ht="32.25" customHeight="1" thickBot="1" x14ac:dyDescent="0.3">
      <c r="A22" s="408" t="s">
        <v>148</v>
      </c>
      <c r="B22" s="668">
        <f>'Cost Analysis Input'!F5</f>
        <v>36</v>
      </c>
      <c r="C22" s="671">
        <f t="shared" ref="C22:G22" si="3">IF((C8-B8)&gt;0,((C8-B8)/640)*$B22,0)</f>
        <v>0</v>
      </c>
      <c r="D22" s="671">
        <f t="shared" si="3"/>
        <v>0</v>
      </c>
      <c r="E22" s="671">
        <f t="shared" si="3"/>
        <v>0</v>
      </c>
      <c r="F22" s="671">
        <f t="shared" si="3"/>
        <v>0</v>
      </c>
      <c r="G22" s="671">
        <f t="shared" si="3"/>
        <v>0</v>
      </c>
      <c r="I22" s="150" t="str">
        <f>'Cost Analysis Input'!I19</f>
        <v>MWF and MSB</v>
      </c>
      <c r="J22" s="666">
        <v>1082</v>
      </c>
      <c r="K22" s="666">
        <v>1082</v>
      </c>
      <c r="L22" s="666">
        <v>1082</v>
      </c>
      <c r="M22" s="666">
        <v>1082</v>
      </c>
      <c r="N22" s="666">
        <v>1082</v>
      </c>
      <c r="O22" s="666">
        <v>1082</v>
      </c>
    </row>
    <row r="23" spans="1:15" ht="32.25" customHeight="1" thickBot="1" x14ac:dyDescent="0.3">
      <c r="A23" s="408" t="s">
        <v>152</v>
      </c>
      <c r="B23" s="668">
        <f>'Cost Analysis Input'!F6</f>
        <v>37</v>
      </c>
      <c r="C23" s="671">
        <f>IF((C9-B9)&gt;0,((C9-B9)/640)*$B23,0)</f>
        <v>73.075000000000003</v>
      </c>
      <c r="D23" s="671">
        <f>IF((D9-C9)&gt;0,((D9-C9)/640)*$B23,0)</f>
        <v>0</v>
      </c>
      <c r="E23" s="671">
        <f t="shared" ref="E23:G23" si="4">IF((E9-D9)&gt;0,((E9-D9)/640)*$B23,0)</f>
        <v>49.256250000000001</v>
      </c>
      <c r="F23" s="671">
        <f t="shared" si="4"/>
        <v>0</v>
      </c>
      <c r="G23" s="671">
        <f t="shared" si="4"/>
        <v>0</v>
      </c>
      <c r="I23" s="150" t="str">
        <f>'Cost Analysis Input'!I20</f>
        <v>MWF and SNPL</v>
      </c>
      <c r="J23" s="666">
        <v>0</v>
      </c>
      <c r="K23" s="666">
        <v>0</v>
      </c>
      <c r="L23" s="666">
        <v>0</v>
      </c>
      <c r="M23" s="666">
        <v>0</v>
      </c>
      <c r="N23" s="666">
        <v>0</v>
      </c>
      <c r="O23" s="666">
        <v>0</v>
      </c>
    </row>
    <row r="24" spans="1:15" ht="32.25" customHeight="1" thickBot="1" x14ac:dyDescent="0.3">
      <c r="A24" s="408" t="s">
        <v>142</v>
      </c>
      <c r="B24" s="668">
        <f>'Cost Analysis Input'!F7</f>
        <v>22</v>
      </c>
      <c r="C24" s="671">
        <f t="shared" ref="C24:C28" si="5">IF((C10-B10)&gt;0,((C10-B10)/640)*$B24,0)</f>
        <v>0</v>
      </c>
      <c r="D24" s="671">
        <f t="shared" ref="D24:G24" si="6">IF((D10-C10)&gt;0,((D10-C10)/640)*$B24,0)</f>
        <v>0</v>
      </c>
      <c r="E24" s="671">
        <f t="shared" si="6"/>
        <v>0</v>
      </c>
      <c r="F24" s="671">
        <f t="shared" si="6"/>
        <v>8.9031249999999993</v>
      </c>
      <c r="G24" s="671">
        <f t="shared" si="6"/>
        <v>0</v>
      </c>
      <c r="I24" s="150" t="str">
        <f>'Cost Analysis Input'!I21</f>
        <v>MWF and SNPL_with gravel</v>
      </c>
      <c r="J24" s="666">
        <v>0</v>
      </c>
      <c r="K24" s="666">
        <v>0</v>
      </c>
      <c r="L24" s="666">
        <v>0</v>
      </c>
      <c r="M24" s="666">
        <v>0</v>
      </c>
      <c r="N24" s="666">
        <v>0</v>
      </c>
      <c r="O24" s="666">
        <v>0</v>
      </c>
    </row>
    <row r="25" spans="1:15" ht="32.25" customHeight="1" thickBot="1" x14ac:dyDescent="0.3">
      <c r="A25" s="408" t="s">
        <v>158</v>
      </c>
      <c r="B25" s="668">
        <f>'Cost Analysis Input'!F8</f>
        <v>1</v>
      </c>
      <c r="C25" s="671">
        <f>IF((C11-B11)&gt;0,((C11-B11)/640)*$B25,0)</f>
        <v>2.4562499999999998</v>
      </c>
      <c r="D25" s="671">
        <f t="shared" ref="D25:G25" si="7">IF((D11-C11)&gt;0,((D11-C11)/640)*$B25,0)</f>
        <v>2.7468750000000002</v>
      </c>
      <c r="E25" s="671">
        <f t="shared" si="7"/>
        <v>0.39218750000000002</v>
      </c>
      <c r="F25" s="671">
        <f t="shared" si="7"/>
        <v>1.0546875</v>
      </c>
      <c r="G25" s="671">
        <f t="shared" si="7"/>
        <v>1.815625</v>
      </c>
      <c r="I25" s="150" t="str">
        <f>'Cost Analysis Input'!I22</f>
        <v>None</v>
      </c>
      <c r="J25" s="666">
        <v>0</v>
      </c>
      <c r="K25" s="666">
        <v>0</v>
      </c>
      <c r="L25" s="666">
        <v>0</v>
      </c>
      <c r="M25" s="666">
        <v>0</v>
      </c>
      <c r="N25" s="666">
        <v>0</v>
      </c>
      <c r="O25" s="666">
        <v>0</v>
      </c>
    </row>
    <row r="26" spans="1:15" ht="32.25" customHeight="1" thickBot="1" x14ac:dyDescent="0.3">
      <c r="A26" s="408" t="s">
        <v>161</v>
      </c>
      <c r="B26" s="668">
        <f>'Cost Analysis Input'!F9</f>
        <v>10</v>
      </c>
      <c r="C26" s="671">
        <f t="shared" si="5"/>
        <v>0</v>
      </c>
      <c r="D26" s="671">
        <f t="shared" ref="D26:G26" si="8">IF((D12-C12)&gt;0,((D12-C12)/640)*$B26,0)</f>
        <v>0</v>
      </c>
      <c r="E26" s="671">
        <f t="shared" si="8"/>
        <v>0</v>
      </c>
      <c r="F26" s="671">
        <f t="shared" si="8"/>
        <v>0</v>
      </c>
      <c r="G26" s="671">
        <f t="shared" si="8"/>
        <v>0</v>
      </c>
      <c r="I26" s="150" t="str">
        <f>'Cost Analysis Input'!I23</f>
        <v>Sand Fences</v>
      </c>
      <c r="J26" s="666">
        <v>248</v>
      </c>
      <c r="K26" s="666">
        <v>248</v>
      </c>
      <c r="L26" s="666">
        <v>248</v>
      </c>
      <c r="M26" s="666">
        <v>248</v>
      </c>
      <c r="N26" s="666">
        <v>248</v>
      </c>
      <c r="O26" s="666">
        <v>248</v>
      </c>
    </row>
    <row r="27" spans="1:15" ht="32.25" customHeight="1" thickBot="1" x14ac:dyDescent="0.3">
      <c r="A27" s="408" t="s">
        <v>165</v>
      </c>
      <c r="B27" s="668">
        <f>'Cost Analysis Input'!F10</f>
        <v>15</v>
      </c>
      <c r="C27" s="671">
        <f t="shared" si="5"/>
        <v>0</v>
      </c>
      <c r="D27" s="671">
        <f t="shared" ref="D27:G27" si="9">IF((D13-C13)&gt;0,((D13-C13)/640)*$B27,0)</f>
        <v>0</v>
      </c>
      <c r="E27" s="671">
        <f t="shared" si="9"/>
        <v>0</v>
      </c>
      <c r="F27" s="671">
        <f t="shared" si="9"/>
        <v>0</v>
      </c>
      <c r="G27" s="671">
        <f t="shared" si="9"/>
        <v>0</v>
      </c>
      <c r="I27" s="150" t="str">
        <f>'Cost Analysis Input'!I24</f>
        <v>SFL</v>
      </c>
      <c r="J27" s="666">
        <v>7300</v>
      </c>
      <c r="K27" s="666">
        <v>7084</v>
      </c>
      <c r="L27" s="666">
        <v>4955</v>
      </c>
      <c r="M27" s="666">
        <v>4104</v>
      </c>
      <c r="N27" s="666">
        <v>3336</v>
      </c>
      <c r="O27" s="666">
        <v>3111</v>
      </c>
    </row>
    <row r="28" spans="1:15" ht="32.25" customHeight="1" thickBot="1" x14ac:dyDescent="0.3">
      <c r="A28" s="408" t="s">
        <v>168</v>
      </c>
      <c r="B28" s="668">
        <f>'Cost Analysis Input'!F11</f>
        <v>0</v>
      </c>
      <c r="C28" s="671">
        <f t="shared" si="5"/>
        <v>0</v>
      </c>
      <c r="D28" s="671">
        <f t="shared" ref="D28:G28" si="10">IF((D14-C14)&gt;0,((D14-C14)/640)*$B28,0)</f>
        <v>0</v>
      </c>
      <c r="E28" s="671">
        <f t="shared" si="10"/>
        <v>0</v>
      </c>
      <c r="F28" s="671">
        <f t="shared" si="10"/>
        <v>0</v>
      </c>
      <c r="G28" s="671">
        <f t="shared" si="10"/>
        <v>0</v>
      </c>
      <c r="I28" s="150" t="str">
        <f>'Cost Analysis Input'!I25</f>
        <v>SFLS</v>
      </c>
      <c r="J28" s="666">
        <v>615</v>
      </c>
      <c r="K28" s="666">
        <v>615</v>
      </c>
      <c r="L28" s="666">
        <v>615</v>
      </c>
      <c r="M28" s="666">
        <v>615</v>
      </c>
      <c r="N28" s="666">
        <v>615</v>
      </c>
      <c r="O28" s="666">
        <v>615</v>
      </c>
    </row>
    <row r="29" spans="1:15" ht="32.25" customHeight="1" thickBot="1" x14ac:dyDescent="0.3">
      <c r="A29" s="408" t="s">
        <v>133</v>
      </c>
      <c r="B29" s="668">
        <f>'Cost Analysis Input'!F12</f>
        <v>35</v>
      </c>
      <c r="C29" s="671">
        <f>IF((C15-B15)&gt;0,((C15-B15)/640)*$B29,0)</f>
        <v>35.109375</v>
      </c>
      <c r="D29" s="671">
        <f>IF((D15-C15)&gt;0,((D15-C15)/640)*$B29,0)</f>
        <v>103.6328125</v>
      </c>
      <c r="E29" s="671">
        <f t="shared" ref="E29:G29" si="11">IF((E15-D15)&gt;0,((E15-D15)/640)*$B29,0)</f>
        <v>51.078125</v>
      </c>
      <c r="F29" s="671">
        <f t="shared" si="11"/>
        <v>85.3125</v>
      </c>
      <c r="G29" s="671">
        <f t="shared" si="11"/>
        <v>102.046875</v>
      </c>
      <c r="I29" s="150" t="str">
        <f>'Cost Analysis Input'!I26</f>
        <v>SFP</v>
      </c>
      <c r="J29" s="666">
        <v>5879</v>
      </c>
      <c r="K29" s="666">
        <v>4240</v>
      </c>
      <c r="L29" s="666">
        <v>3693</v>
      </c>
      <c r="M29" s="666">
        <v>3442</v>
      </c>
      <c r="N29" s="666">
        <v>1868</v>
      </c>
      <c r="O29" s="666">
        <v>706</v>
      </c>
    </row>
    <row r="30" spans="1:15" ht="32.25" customHeight="1" thickBot="1" x14ac:dyDescent="0.3">
      <c r="A30" s="611" t="s">
        <v>490</v>
      </c>
      <c r="B30" s="612"/>
      <c r="C30" s="669">
        <f>SUM(C19:C29)</f>
        <v>110.640625</v>
      </c>
      <c r="D30" s="669">
        <f t="shared" ref="D30:G30" si="12">SUM(D19:D29)</f>
        <v>106.3796875</v>
      </c>
      <c r="E30" s="669">
        <f t="shared" si="12"/>
        <v>100.7265625</v>
      </c>
      <c r="F30" s="669">
        <f t="shared" si="12"/>
        <v>95.270312500000003</v>
      </c>
      <c r="G30" s="670">
        <f t="shared" si="12"/>
        <v>103.8625</v>
      </c>
      <c r="I30" s="150" t="str">
        <f>'Cost Analysis Input'!I27</f>
        <v>SNPL_realistic</v>
      </c>
      <c r="J30" s="666">
        <v>0</v>
      </c>
      <c r="K30" s="666">
        <v>0</v>
      </c>
      <c r="L30" s="666">
        <v>0</v>
      </c>
      <c r="M30" s="666">
        <v>0</v>
      </c>
      <c r="N30" s="666">
        <v>0</v>
      </c>
      <c r="O30" s="666">
        <v>0</v>
      </c>
    </row>
    <row r="31" spans="1:15" ht="32.25" customHeight="1" thickBot="1" x14ac:dyDescent="0.4">
      <c r="A31" s="615" t="s">
        <v>492</v>
      </c>
      <c r="B31" s="616"/>
      <c r="C31" s="616"/>
      <c r="D31" s="616"/>
      <c r="E31" s="616"/>
      <c r="F31" s="616"/>
      <c r="G31" s="616"/>
      <c r="I31" s="150" t="str">
        <f>'Cost Analysis Input'!I28</f>
        <v>SNPL_with gravel</v>
      </c>
      <c r="J31" s="666">
        <v>0</v>
      </c>
      <c r="K31" s="666">
        <v>0</v>
      </c>
      <c r="L31" s="666">
        <v>0</v>
      </c>
      <c r="M31" s="666">
        <v>0</v>
      </c>
      <c r="N31" s="666">
        <v>0</v>
      </c>
      <c r="O31" s="666">
        <v>0</v>
      </c>
    </row>
    <row r="32" spans="1:15" ht="32.25" customHeight="1" thickBot="1" x14ac:dyDescent="0.3">
      <c r="A32" s="404"/>
      <c r="B32" s="405" t="s">
        <v>482</v>
      </c>
      <c r="C32" s="406" t="s">
        <v>486</v>
      </c>
      <c r="D32" s="406" t="s">
        <v>487</v>
      </c>
      <c r="E32" s="406" t="s">
        <v>488</v>
      </c>
      <c r="F32" s="406" t="s">
        <v>489</v>
      </c>
      <c r="G32" s="407" t="s">
        <v>491</v>
      </c>
      <c r="I32" s="150" t="str">
        <f>'Cost Analysis Input'!I29</f>
        <v>Tillage</v>
      </c>
      <c r="J32" s="666">
        <v>1367</v>
      </c>
      <c r="K32" s="666">
        <v>2939</v>
      </c>
      <c r="L32" s="666">
        <v>4697</v>
      </c>
      <c r="M32" s="666">
        <v>4948</v>
      </c>
      <c r="N32" s="666">
        <v>5623</v>
      </c>
      <c r="O32" s="666">
        <v>6785</v>
      </c>
    </row>
    <row r="33" spans="1:15" ht="32.25" customHeight="1" thickBot="1" x14ac:dyDescent="0.3">
      <c r="A33" s="408" t="s">
        <v>130</v>
      </c>
      <c r="B33" s="668">
        <f>'Cost Analysis Input'!S3</f>
        <v>0.25224245718945365</v>
      </c>
      <c r="C33" s="671">
        <f>IF((C5-B5)&gt;0,((C5-B5)/640)*$B33,0)</f>
        <v>0</v>
      </c>
      <c r="D33" s="671">
        <f>IF((D5-C5)&gt;0,((D5-C5)/640)*$B33,0)+C33</f>
        <v>0</v>
      </c>
      <c r="E33" s="671">
        <f>IF((E5-D5)&gt;0,((E5-D5)/640)*$B33,0)+D33</f>
        <v>0</v>
      </c>
      <c r="F33" s="671">
        <f>IF((F5-E5)&gt;0,((F5-E5)/640)*$B33,0)+E33</f>
        <v>0</v>
      </c>
      <c r="G33" s="671">
        <f>IF((G5-F5)&gt;0,((G5-F5)/640)*$B33,0)+F33</f>
        <v>0</v>
      </c>
      <c r="I33" s="150" t="str">
        <f>'Cost Analysis Input'!I30</f>
        <v>Till-Brine</v>
      </c>
      <c r="J33" s="666">
        <v>0</v>
      </c>
      <c r="K33" s="666">
        <v>0</v>
      </c>
      <c r="L33" s="666">
        <v>0</v>
      </c>
      <c r="M33" s="666">
        <v>0</v>
      </c>
      <c r="N33" s="666">
        <v>0</v>
      </c>
      <c r="O33" s="666">
        <v>0</v>
      </c>
    </row>
    <row r="34" spans="1:15" ht="33" customHeight="1" thickBot="1" x14ac:dyDescent="0.3">
      <c r="A34" s="408" t="s">
        <v>140</v>
      </c>
      <c r="B34" s="668">
        <f>'Cost Analysis Input'!S4</f>
        <v>0.32828806064434624</v>
      </c>
      <c r="C34" s="671">
        <f>IF((C6-B6)&gt;0,((C6-B6)/640)*$B34,0)</f>
        <v>0</v>
      </c>
      <c r="D34" s="671">
        <f>IF((D6-C6)&gt;0,((D6-C6)/640)*$B34,0)+C34</f>
        <v>0</v>
      </c>
      <c r="E34" s="671">
        <f>IF((E6-D6)&gt;0,((E6-D6)/640)*$B34,0)+D34</f>
        <v>0</v>
      </c>
      <c r="F34" s="671">
        <f>IF((F6-E6)&gt;0,((F6-E6)/640)*$B34,0)+E34</f>
        <v>0</v>
      </c>
      <c r="G34" s="671">
        <f>IF((G6-F6)&gt;0,((G6-F6)/640)*$B34,0)+F34</f>
        <v>0</v>
      </c>
      <c r="I34" s="150" t="str">
        <f>'Cost Analysis Input'!I31</f>
        <v>Veg 08</v>
      </c>
      <c r="J34" s="666">
        <v>2264</v>
      </c>
      <c r="K34" s="666">
        <v>2182</v>
      </c>
      <c r="L34" s="666">
        <v>1403</v>
      </c>
      <c r="M34" s="666">
        <v>1083</v>
      </c>
      <c r="N34" s="666">
        <v>1083</v>
      </c>
      <c r="O34" s="666">
        <v>1083</v>
      </c>
    </row>
    <row r="35" spans="1:15" ht="33" customHeight="1" thickBot="1" x14ac:dyDescent="0.3">
      <c r="A35" s="408" t="s">
        <v>144</v>
      </c>
      <c r="B35" s="668">
        <f>'Cost Analysis Input'!S5</f>
        <v>1.6395759717314489</v>
      </c>
      <c r="C35" s="671">
        <f>IF((C7-B7)&gt;0,((C7-B7)/640)*$B35,0)</f>
        <v>0</v>
      </c>
      <c r="D35" s="671">
        <f>IF((D7-C7)&gt;0,((D7-C7)/640)*$B35,0)+C35</f>
        <v>0</v>
      </c>
      <c r="E35" s="671">
        <f>IF((E7-D7)&gt;0,((E7-D7)/640)*$B35,0)+D35</f>
        <v>0</v>
      </c>
      <c r="F35" s="671">
        <f>IF((F7-E7)&gt;0,((F7-E7)/640)*$B35,0)+E35</f>
        <v>0</v>
      </c>
      <c r="G35" s="671">
        <f>IF((G7-F7)&gt;0,((G7-F7)/640)*$B35,0)+F35</f>
        <v>0</v>
      </c>
      <c r="I35" s="150" t="str">
        <f>'Cost Analysis Input'!I32</f>
        <v>Veg 11</v>
      </c>
      <c r="J35" s="666">
        <v>181</v>
      </c>
      <c r="K35" s="666">
        <v>130</v>
      </c>
      <c r="L35" s="666">
        <v>110</v>
      </c>
      <c r="M35" s="666">
        <v>110</v>
      </c>
      <c r="N35" s="666">
        <v>110</v>
      </c>
      <c r="O35" s="666">
        <v>110</v>
      </c>
    </row>
    <row r="36" spans="1:15" ht="33" customHeight="1" thickBot="1" x14ac:dyDescent="0.3">
      <c r="A36" s="408" t="s">
        <v>148</v>
      </c>
      <c r="B36" s="668">
        <f>'Cost Analysis Input'!S6</f>
        <v>2.0203859475507171</v>
      </c>
      <c r="C36" s="671">
        <f>IF((C8-B8)&gt;0,((C8-B8)/640)*$B36,0)</f>
        <v>0</v>
      </c>
      <c r="D36" s="671">
        <f>IF((D8-C8)&gt;0,((D8-C8)/640)*$B36,0)+C36</f>
        <v>0</v>
      </c>
      <c r="E36" s="671">
        <f>IF((E8-D8)&gt;0,((E8-D8)/640)*$B36,0)+D36</f>
        <v>0</v>
      </c>
      <c r="F36" s="671">
        <f>IF((F8-E8)&gt;0,((F8-E8)/640)*$B36,0)+E36</f>
        <v>0</v>
      </c>
      <c r="G36" s="671">
        <f>IF((G8-F8)&gt;0,((G8-F8)/640)*$B36,0)+F36</f>
        <v>0</v>
      </c>
      <c r="I36" s="150" t="s">
        <v>59</v>
      </c>
      <c r="J36" s="667">
        <v>31219</v>
      </c>
      <c r="K36" s="667">
        <v>31219</v>
      </c>
      <c r="L36" s="667">
        <v>31219</v>
      </c>
      <c r="M36" s="667">
        <v>31219</v>
      </c>
      <c r="N36" s="667">
        <v>31219</v>
      </c>
      <c r="O36" s="667">
        <v>31219</v>
      </c>
    </row>
    <row r="37" spans="1:15" ht="33" customHeight="1" x14ac:dyDescent="0.25">
      <c r="A37" s="408" t="s">
        <v>152</v>
      </c>
      <c r="B37" s="668">
        <f>'Cost Analysis Input'!S7</f>
        <v>0.24122693007538343</v>
      </c>
      <c r="C37" s="671">
        <f>IF((C9-B9)&gt;0,((C9-B9)/640)*$B37,0)</f>
        <v>0.4764231868988823</v>
      </c>
      <c r="D37" s="671">
        <f>IF((D9-C9)&gt;0,((D9-C9)/640)*$B37,0)+C37</f>
        <v>0.4764231868988823</v>
      </c>
      <c r="E37" s="671">
        <f>IF((E9-D9)&gt;0,((E9-D9)/640)*$B37,0)+D37</f>
        <v>0.7975565375617365</v>
      </c>
      <c r="F37" s="671">
        <f>IF((F9-E9)&gt;0,((F9-E9)/640)*$B37,0)+E37</f>
        <v>0.7975565375617365</v>
      </c>
      <c r="G37" s="671">
        <f>IF((G9-F9)&gt;0,((G9-F9)/640)*$B37,0)+F37</f>
        <v>0.7975565375617365</v>
      </c>
    </row>
    <row r="38" spans="1:15" ht="33" customHeight="1" x14ac:dyDescent="0.25">
      <c r="A38" s="408" t="s">
        <v>142</v>
      </c>
      <c r="B38" s="668">
        <f>'Cost Analysis Input'!S8</f>
        <v>1.9903485254691686</v>
      </c>
      <c r="C38" s="671">
        <f>IF((C10-B10)&gt;0,((C10-B10)/640)*$B38,0)</f>
        <v>0</v>
      </c>
      <c r="D38" s="671">
        <f>IF((D10-C10)&gt;0,((D10-C10)/640)*$B38,0)+C38</f>
        <v>0</v>
      </c>
      <c r="E38" s="671">
        <f>IF((E10-D10)&gt;0,((E10-D10)/640)*$B38,0)+D38</f>
        <v>0</v>
      </c>
      <c r="F38" s="671">
        <f>IF((F10-E10)&gt;0,((F10-E10)/640)*$B38,0)+E38</f>
        <v>0.80546916890080411</v>
      </c>
      <c r="G38" s="671">
        <f>IF((G10-F10)&gt;0,((G10-F10)/640)*$B38,0)+F38</f>
        <v>0.80546916890080411</v>
      </c>
    </row>
    <row r="39" spans="1:15" ht="33" customHeight="1" x14ac:dyDescent="0.25">
      <c r="A39" s="408" t="s">
        <v>158</v>
      </c>
      <c r="B39" s="668">
        <f>'Cost Analysis Input'!S9</f>
        <v>1.3577176298463789</v>
      </c>
      <c r="C39" s="671">
        <f>IF((C11-B11)&gt;0,((C11-B11)/640)*$B39,0)</f>
        <v>3.334893928310168</v>
      </c>
      <c r="D39" s="671">
        <f>IF((D11-C11)&gt;0,((D11-C11)/640)*$B39,0)+C39</f>
        <v>7.0643745427944404</v>
      </c>
      <c r="E39" s="671">
        <f>IF((E11-D11)&gt;0,((E11-D11)/640)*$B39,0)+D39</f>
        <v>7.5968544257498172</v>
      </c>
      <c r="F39" s="671">
        <f>IF((F11-E11)&gt;0,((F11-E11)/640)*$B39,0)+E39</f>
        <v>9.0288222384784191</v>
      </c>
      <c r="G39" s="671">
        <f>IF((G11-F11)&gt;0,((G11-F11)/640)*$B39,0)+F39</f>
        <v>11.493928310168251</v>
      </c>
    </row>
    <row r="40" spans="1:15" ht="33" customHeight="1" x14ac:dyDescent="0.25">
      <c r="A40" s="408" t="s">
        <v>161</v>
      </c>
      <c r="B40" s="668">
        <f>'Cost Analysis Input'!S10</f>
        <v>0.11248484848484849</v>
      </c>
      <c r="C40" s="671">
        <f>IF((C12-B12)&gt;0,((C12-B12)/640)*$B40,0)</f>
        <v>0</v>
      </c>
      <c r="D40" s="671">
        <f>IF((D12-C12)&gt;0,((D12-C12)/640)*$B40,0)+C40</f>
        <v>0</v>
      </c>
      <c r="E40" s="671">
        <f>IF((E12-D12)&gt;0,((E12-D12)/640)*$B40,0)+D40</f>
        <v>0</v>
      </c>
      <c r="F40" s="671">
        <f>IF((F12-E12)&gt;0,((F12-E12)/640)*$B40,0)+E40</f>
        <v>0</v>
      </c>
      <c r="G40" s="671">
        <f>IF((G12-F12)&gt;0,((G12-F12)/640)*$B40,0)+F40</f>
        <v>0</v>
      </c>
    </row>
    <row r="41" spans="1:15" ht="33" customHeight="1" x14ac:dyDescent="0.25">
      <c r="A41" s="408" t="s">
        <v>165</v>
      </c>
      <c r="B41" s="668">
        <f>'Cost Analysis Input'!S11</f>
        <v>0.59870967741935488</v>
      </c>
      <c r="C41" s="671">
        <f>IF((C13-B13)&gt;0,((C13-B13)/640)*$B41,0)</f>
        <v>0</v>
      </c>
      <c r="D41" s="671">
        <f>IF((D13-C13)&gt;0,((D13-C13)/640)*$B41,0)+C41</f>
        <v>0</v>
      </c>
      <c r="E41" s="671">
        <f>IF((E13-D13)&gt;0,((E13-D13)/640)*$B41,0)+D41</f>
        <v>0</v>
      </c>
      <c r="F41" s="671">
        <f>IF((F13-E13)&gt;0,((F13-E13)/640)*$B41,0)+E41</f>
        <v>0</v>
      </c>
      <c r="G41" s="671">
        <f>IF((G13-F13)&gt;0,((G13-F13)/640)*$B41,0)+F41</f>
        <v>0</v>
      </c>
    </row>
    <row r="42" spans="1:15" ht="33" customHeight="1" x14ac:dyDescent="0.25">
      <c r="A42" s="408" t="s">
        <v>168</v>
      </c>
      <c r="B42" s="668">
        <f>'Cost Analysis Input'!S12</f>
        <v>0</v>
      </c>
      <c r="C42" s="671">
        <f>IF((C14-B14)&gt;0,((C14-B14)/640)*$B42,0)</f>
        <v>0</v>
      </c>
      <c r="D42" s="671">
        <f>IF((D14-C14)&gt;0,((D14-C14)/640)*$B42,0)+C42</f>
        <v>0</v>
      </c>
      <c r="E42" s="671">
        <f>IF((E14-D14)&gt;0,((E14-D14)/640)*$B42,0)+D42</f>
        <v>0</v>
      </c>
      <c r="F42" s="671">
        <f>IF((F14-E14)&gt;0,((F14-E14)/640)*$B42,0)+E42</f>
        <v>0</v>
      </c>
      <c r="G42" s="671">
        <f>IF((G14-F14)&gt;0,((G14-F14)/640)*$B42,0)+F42</f>
        <v>0</v>
      </c>
    </row>
    <row r="43" spans="1:15" ht="33" customHeight="1" x14ac:dyDescent="0.25">
      <c r="A43" s="408" t="s">
        <v>133</v>
      </c>
      <c r="B43" s="668">
        <f>'Cost Analysis Input'!S13</f>
        <v>0.52370203160270878</v>
      </c>
      <c r="C43" s="671">
        <f>IF((C15-B15)&gt;0,((C15-B15)/640)*$B43,0)</f>
        <v>0.5253386004514673</v>
      </c>
      <c r="D43" s="671">
        <f>IF((D15-C15)&gt;0,((D15-C15)/640)*$B43,0)+C43</f>
        <v>2.0759875846501128</v>
      </c>
      <c r="E43" s="671">
        <f>IF((E15-D15)&gt;0,((E15-D15)/640)*$B43,0)+D43</f>
        <v>2.8402652370203159</v>
      </c>
      <c r="F43" s="671">
        <f>IF((F15-E15)&gt;0,((F15-E15)/640)*$B43,0)+E43</f>
        <v>4.1167889390519186</v>
      </c>
      <c r="G43" s="671">
        <f>IF((G15-F15)&gt;0,((G15-F15)/640)*$B43,0)+F43</f>
        <v>5.6437076749435668</v>
      </c>
    </row>
    <row r="44" spans="1:15" ht="33" customHeight="1" thickBot="1" x14ac:dyDescent="0.3">
      <c r="A44" s="611" t="s">
        <v>615</v>
      </c>
      <c r="B44" s="612"/>
      <c r="C44" s="669">
        <f>SUM(C33:C43)</f>
        <v>4.3366557156605179</v>
      </c>
      <c r="D44" s="669">
        <f t="shared" ref="D44" si="13">SUM(D33:D43)</f>
        <v>9.616785314343435</v>
      </c>
      <c r="E44" s="669">
        <f t="shared" ref="E44" si="14">SUM(E33:E43)</f>
        <v>11.234676200331869</v>
      </c>
      <c r="F44" s="669">
        <f t="shared" ref="F44" si="15">SUM(F33:F43)</f>
        <v>14.748636883992878</v>
      </c>
      <c r="G44" s="670">
        <f t="shared" ref="G44" si="16">SUM(G33:G43)</f>
        <v>18.74066169157436</v>
      </c>
    </row>
    <row r="45" spans="1:15" ht="33" customHeight="1" x14ac:dyDescent="0.25"/>
  </sheetData>
  <mergeCells count="18">
    <mergeCell ref="O3:O4"/>
    <mergeCell ref="E3:E4"/>
    <mergeCell ref="F3:F4"/>
    <mergeCell ref="G3:G4"/>
    <mergeCell ref="I3:I4"/>
    <mergeCell ref="J3:J4"/>
    <mergeCell ref="K3:K4"/>
    <mergeCell ref="L3:L4"/>
    <mergeCell ref="M3:M4"/>
    <mergeCell ref="N3:N4"/>
    <mergeCell ref="A30:B30"/>
    <mergeCell ref="A17:G17"/>
    <mergeCell ref="A31:G31"/>
    <mergeCell ref="A44:B44"/>
    <mergeCell ref="D3:D4"/>
    <mergeCell ref="A3:A4"/>
    <mergeCell ref="B3:B4"/>
    <mergeCell ref="C3: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election activeCell="E20" sqref="E20"/>
    </sheetView>
    <sheetView workbookViewId="1"/>
  </sheetViews>
  <sheetFormatPr defaultRowHeight="15" x14ac:dyDescent="0.25"/>
  <cols>
    <col min="1" max="1" width="22.85546875" style="174" customWidth="1"/>
    <col min="2" max="3" width="10.42578125" style="174" customWidth="1"/>
  </cols>
  <sheetData>
    <row r="1" spans="1:5" x14ac:dyDescent="0.25">
      <c r="A1" s="417" t="s">
        <v>500</v>
      </c>
      <c r="B1" s="417"/>
      <c r="C1" s="417"/>
      <c r="D1" s="417"/>
      <c r="E1" s="417"/>
    </row>
    <row r="3" spans="1:5" x14ac:dyDescent="0.25">
      <c r="A3" s="572" t="s">
        <v>498</v>
      </c>
      <c r="B3" s="573"/>
    </row>
    <row r="4" spans="1:5" x14ac:dyDescent="0.25">
      <c r="A4" s="418" t="s">
        <v>501</v>
      </c>
      <c r="B4" s="419">
        <v>3</v>
      </c>
      <c r="C4" s="174" t="s">
        <v>502</v>
      </c>
    </row>
    <row r="5" spans="1:5" x14ac:dyDescent="0.25">
      <c r="A5" s="418" t="s">
        <v>504</v>
      </c>
      <c r="B5" s="419">
        <v>3</v>
      </c>
      <c r="C5" s="174" t="s">
        <v>502</v>
      </c>
    </row>
    <row r="6" spans="1:5" x14ac:dyDescent="0.25">
      <c r="A6" s="418" t="s">
        <v>506</v>
      </c>
      <c r="B6" s="419">
        <v>100</v>
      </c>
      <c r="C6" s="174" t="s">
        <v>502</v>
      </c>
    </row>
    <row r="7" spans="1:5" x14ac:dyDescent="0.25">
      <c r="A7" s="418" t="s">
        <v>507</v>
      </c>
      <c r="B7" s="419">
        <v>0</v>
      </c>
      <c r="C7" s="174" t="s">
        <v>508</v>
      </c>
    </row>
    <row r="9" spans="1:5" x14ac:dyDescent="0.25">
      <c r="A9" s="572" t="s">
        <v>509</v>
      </c>
      <c r="B9" s="573"/>
      <c r="C9" s="426" t="s">
        <v>510</v>
      </c>
    </row>
    <row r="10" spans="1:5" x14ac:dyDescent="0.25">
      <c r="A10" s="418" t="s">
        <v>145</v>
      </c>
      <c r="B10" s="419">
        <v>0.9</v>
      </c>
      <c r="C10" s="427"/>
    </row>
    <row r="11" spans="1:5" x14ac:dyDescent="0.25">
      <c r="A11" s="418" t="s">
        <v>182</v>
      </c>
      <c r="B11" s="419">
        <v>0.9</v>
      </c>
      <c r="C11" s="427"/>
    </row>
    <row r="12" spans="1:5" x14ac:dyDescent="0.25">
      <c r="A12" s="418" t="s">
        <v>494</v>
      </c>
      <c r="B12" s="419">
        <v>0.9</v>
      </c>
      <c r="C12" s="427"/>
    </row>
    <row r="13" spans="1:5" x14ac:dyDescent="0.25">
      <c r="A13" s="418" t="s">
        <v>175</v>
      </c>
      <c r="B13" s="419">
        <v>0.9</v>
      </c>
      <c r="C13" s="427"/>
    </row>
    <row r="14" spans="1:5" x14ac:dyDescent="0.25">
      <c r="A14" s="418" t="s">
        <v>173</v>
      </c>
      <c r="B14" s="419">
        <v>0.9</v>
      </c>
    </row>
    <row r="16" spans="1:5" x14ac:dyDescent="0.25">
      <c r="A16" s="436" t="s">
        <v>512</v>
      </c>
    </row>
    <row r="17" spans="1:3" x14ac:dyDescent="0.25">
      <c r="A17" s="437" t="s">
        <v>200</v>
      </c>
    </row>
    <row r="18" spans="1:3" x14ac:dyDescent="0.25">
      <c r="A18" s="437" t="s">
        <v>165</v>
      </c>
    </row>
    <row r="19" spans="1:3" x14ac:dyDescent="0.25">
      <c r="A19" s="437" t="s">
        <v>168</v>
      </c>
    </row>
    <row r="20" spans="1:3" x14ac:dyDescent="0.25">
      <c r="A20" s="437" t="s">
        <v>168</v>
      </c>
    </row>
    <row r="21" spans="1:3" x14ac:dyDescent="0.25">
      <c r="A21" s="437" t="s">
        <v>168</v>
      </c>
    </row>
    <row r="22" spans="1:3" x14ac:dyDescent="0.25">
      <c r="A22" s="437" t="s">
        <v>168</v>
      </c>
      <c r="B22" s="440"/>
      <c r="C22" s="440"/>
    </row>
    <row r="23" spans="1:3" ht="15.75" x14ac:dyDescent="0.25">
      <c r="A23" s="437" t="s">
        <v>168</v>
      </c>
      <c r="B23" s="439"/>
      <c r="C23" s="439"/>
    </row>
    <row r="25" spans="1:3" x14ac:dyDescent="0.25">
      <c r="A25" s="574" t="s">
        <v>520</v>
      </c>
      <c r="B25" s="573"/>
      <c r="C25" t="s">
        <v>521</v>
      </c>
    </row>
    <row r="26" spans="1:3" x14ac:dyDescent="0.25">
      <c r="A26" s="452" t="s">
        <v>200</v>
      </c>
      <c r="B26" s="172" t="s">
        <v>522</v>
      </c>
      <c r="C26" t="s">
        <v>523</v>
      </c>
    </row>
    <row r="27" spans="1:3" x14ac:dyDescent="0.25">
      <c r="A27" s="452" t="s">
        <v>152</v>
      </c>
      <c r="B27" s="172" t="s">
        <v>524</v>
      </c>
      <c r="C27" t="s">
        <v>525</v>
      </c>
    </row>
    <row r="28" spans="1:3" x14ac:dyDescent="0.25">
      <c r="A28" s="452" t="s">
        <v>141</v>
      </c>
      <c r="B28" s="172" t="s">
        <v>526</v>
      </c>
      <c r="C28" t="s">
        <v>527</v>
      </c>
    </row>
    <row r="29" spans="1:3" x14ac:dyDescent="0.25">
      <c r="A29" s="452" t="s">
        <v>165</v>
      </c>
      <c r="B29" s="172" t="s">
        <v>528</v>
      </c>
      <c r="C29" t="s">
        <v>529</v>
      </c>
    </row>
    <row r="30" spans="1:3" x14ac:dyDescent="0.25">
      <c r="A30" s="452" t="s">
        <v>202</v>
      </c>
      <c r="B30" s="172" t="s">
        <v>530</v>
      </c>
      <c r="C30" t="s">
        <v>531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N171"/>
  <sheetViews>
    <sheetView topLeftCell="A4" zoomScale="85" zoomScaleNormal="85" workbookViewId="0">
      <selection activeCell="A33" sqref="A33"/>
    </sheetView>
    <sheetView workbookViewId="1"/>
  </sheetViews>
  <sheetFormatPr defaultRowHeight="15" x14ac:dyDescent="0.25"/>
  <cols>
    <col min="1" max="1" width="18.28515625" customWidth="1"/>
  </cols>
  <sheetData>
    <row r="1" spans="1:40" x14ac:dyDescent="0.25">
      <c r="A1" t="s">
        <v>585</v>
      </c>
    </row>
    <row r="2" spans="1:40" x14ac:dyDescent="0.25">
      <c r="A2" t="s">
        <v>586</v>
      </c>
    </row>
    <row r="3" spans="1:40" x14ac:dyDescent="0.25">
      <c r="A3" t="s">
        <v>587</v>
      </c>
    </row>
    <row r="4" spans="1:40" x14ac:dyDescent="0.25">
      <c r="A4" s="513" t="s">
        <v>588</v>
      </c>
      <c r="L4" s="514"/>
      <c r="M4" s="514"/>
      <c r="N4" s="514"/>
      <c r="O4" s="514"/>
      <c r="P4" s="514"/>
      <c r="Q4" s="514"/>
      <c r="R4" s="514"/>
      <c r="S4" s="514"/>
      <c r="T4" s="514"/>
      <c r="U4" s="514"/>
      <c r="V4" s="514"/>
      <c r="W4" s="514"/>
      <c r="X4" s="514"/>
      <c r="Y4" s="514"/>
      <c r="Z4" s="514"/>
      <c r="AA4" s="514"/>
      <c r="AB4" s="514"/>
      <c r="AC4" s="514"/>
      <c r="AD4" s="514"/>
      <c r="AE4" s="514"/>
      <c r="AF4" s="514"/>
      <c r="AG4" s="514"/>
      <c r="AH4" s="514"/>
      <c r="AI4" s="514"/>
      <c r="AJ4" s="514"/>
      <c r="AK4" s="514"/>
    </row>
    <row r="5" spans="1:40" x14ac:dyDescent="0.25">
      <c r="L5" s="514"/>
      <c r="M5" s="514"/>
      <c r="N5" s="514"/>
      <c r="O5" s="514"/>
      <c r="P5" s="514"/>
      <c r="Q5" s="514"/>
      <c r="R5" s="514"/>
      <c r="S5" s="514"/>
      <c r="T5" s="514"/>
      <c r="U5" s="514"/>
      <c r="V5" s="514"/>
      <c r="W5" s="514"/>
      <c r="X5" s="514"/>
      <c r="Y5" s="514"/>
      <c r="Z5" s="514"/>
      <c r="AA5" s="514"/>
      <c r="AB5" s="514"/>
      <c r="AC5" s="514"/>
      <c r="AD5" s="514"/>
      <c r="AE5" s="514"/>
      <c r="AF5" s="514"/>
      <c r="AG5" s="514" t="s">
        <v>589</v>
      </c>
      <c r="AH5" s="514"/>
      <c r="AI5" s="514"/>
      <c r="AJ5" s="514"/>
      <c r="AK5" s="514"/>
    </row>
    <row r="6" spans="1:40" x14ac:dyDescent="0.25">
      <c r="L6" s="514"/>
      <c r="M6" s="514"/>
      <c r="N6" s="514"/>
      <c r="O6" s="514"/>
      <c r="P6" s="514"/>
      <c r="Q6" s="514"/>
      <c r="R6" s="514"/>
      <c r="S6" s="514"/>
      <c r="T6" s="514"/>
      <c r="U6" s="514"/>
      <c r="V6" s="514"/>
      <c r="W6" s="514"/>
      <c r="X6" s="514"/>
      <c r="Y6" s="514"/>
      <c r="Z6" s="514"/>
      <c r="AA6" s="514"/>
      <c r="AB6" s="514"/>
      <c r="AC6" s="514"/>
      <c r="AD6" s="514"/>
      <c r="AE6" s="514"/>
      <c r="AF6" s="514"/>
      <c r="AG6" s="514" t="s">
        <v>590</v>
      </c>
      <c r="AH6" s="514"/>
      <c r="AI6" s="514"/>
      <c r="AJ6" s="514"/>
      <c r="AK6" s="514"/>
    </row>
    <row r="7" spans="1:40" x14ac:dyDescent="0.25">
      <c r="A7" s="515"/>
      <c r="B7" s="514"/>
      <c r="C7" s="514"/>
      <c r="D7" s="514"/>
      <c r="E7" s="514"/>
      <c r="F7" s="514"/>
      <c r="G7" s="514"/>
      <c r="H7" s="514"/>
      <c r="I7" s="514"/>
      <c r="J7" s="514"/>
      <c r="K7" s="514"/>
      <c r="L7" s="514"/>
      <c r="M7" s="514"/>
      <c r="N7" s="514"/>
      <c r="O7" s="514"/>
      <c r="P7" s="514"/>
      <c r="Q7" s="514"/>
      <c r="R7" s="514"/>
      <c r="S7" s="514"/>
      <c r="T7" s="514"/>
      <c r="U7" s="514"/>
      <c r="V7" s="514"/>
      <c r="W7" s="514"/>
      <c r="X7" s="514"/>
      <c r="Y7" s="514"/>
      <c r="Z7" s="514"/>
      <c r="AA7" s="514"/>
      <c r="AB7" s="514"/>
      <c r="AC7" s="514"/>
      <c r="AD7" s="514"/>
      <c r="AE7" s="514"/>
      <c r="AF7" s="514"/>
      <c r="AG7" s="514" t="s">
        <v>591</v>
      </c>
      <c r="AH7" s="514"/>
      <c r="AI7" s="514"/>
      <c r="AJ7" s="514"/>
      <c r="AK7" s="514"/>
    </row>
    <row r="8" spans="1:40" ht="15.75" thickBot="1" x14ac:dyDescent="0.3">
      <c r="A8" s="516"/>
      <c r="B8" s="516"/>
      <c r="C8" s="516"/>
      <c r="D8" s="516"/>
      <c r="E8" s="516"/>
      <c r="F8" s="516"/>
      <c r="G8" s="516"/>
      <c r="H8" s="516"/>
      <c r="I8" s="516"/>
      <c r="J8" s="516"/>
      <c r="K8" s="516"/>
      <c r="L8" s="516"/>
      <c r="M8" s="516"/>
      <c r="N8" s="516"/>
      <c r="O8" s="516"/>
      <c r="P8" s="516"/>
      <c r="Q8" s="516"/>
      <c r="R8" s="516"/>
      <c r="S8" s="516"/>
      <c r="T8" s="516"/>
      <c r="U8" s="516"/>
      <c r="V8" s="516"/>
      <c r="W8" s="516"/>
      <c r="X8" s="516"/>
      <c r="Y8" s="516"/>
      <c r="Z8" s="516"/>
      <c r="AA8" s="516"/>
      <c r="AB8" s="516"/>
      <c r="AC8" s="516"/>
      <c r="AD8" s="516"/>
      <c r="AE8" s="516"/>
      <c r="AF8" s="516"/>
      <c r="AG8" s="515"/>
      <c r="AH8" s="515"/>
      <c r="AI8" s="515"/>
      <c r="AJ8" s="515"/>
      <c r="AK8" s="515"/>
    </row>
    <row r="9" spans="1:40" ht="60.75" thickBot="1" x14ac:dyDescent="0.3">
      <c r="A9" s="517"/>
      <c r="B9" s="518" t="s">
        <v>194</v>
      </c>
      <c r="C9" s="518" t="s">
        <v>204</v>
      </c>
      <c r="D9" s="518" t="s">
        <v>207</v>
      </c>
      <c r="E9" s="518" t="s">
        <v>169</v>
      </c>
      <c r="F9" s="518" t="s">
        <v>190</v>
      </c>
      <c r="G9" s="518" t="s">
        <v>156</v>
      </c>
      <c r="H9" s="518" t="s">
        <v>159</v>
      </c>
      <c r="I9" s="518" t="s">
        <v>149</v>
      </c>
      <c r="J9" s="518" t="s">
        <v>145</v>
      </c>
      <c r="K9" s="518" t="s">
        <v>182</v>
      </c>
      <c r="L9" s="518" t="s">
        <v>196</v>
      </c>
      <c r="M9" s="518" t="s">
        <v>198</v>
      </c>
      <c r="N9" s="518" t="s">
        <v>175</v>
      </c>
      <c r="O9" s="518" t="s">
        <v>173</v>
      </c>
      <c r="P9" s="518" t="s">
        <v>184</v>
      </c>
      <c r="Q9" s="518" t="s">
        <v>178</v>
      </c>
      <c r="R9" s="518" t="s">
        <v>180</v>
      </c>
      <c r="S9" s="518" t="s">
        <v>181</v>
      </c>
      <c r="T9" s="518" t="s">
        <v>186</v>
      </c>
      <c r="U9" s="518" t="s">
        <v>187</v>
      </c>
      <c r="V9" s="518" t="s">
        <v>153</v>
      </c>
      <c r="W9" s="518" t="s">
        <v>162</v>
      </c>
      <c r="X9" s="518" t="s">
        <v>166</v>
      </c>
      <c r="Y9" s="518" t="s">
        <v>192</v>
      </c>
      <c r="Z9" s="518" t="s">
        <v>152</v>
      </c>
      <c r="AA9" s="518" t="s">
        <v>200</v>
      </c>
      <c r="AB9" s="518" t="s">
        <v>202</v>
      </c>
      <c r="AC9" s="518" t="s">
        <v>165</v>
      </c>
      <c r="AD9" s="518" t="s">
        <v>141</v>
      </c>
      <c r="AE9" s="518" t="s">
        <v>131</v>
      </c>
      <c r="AF9" s="519" t="s">
        <v>168</v>
      </c>
      <c r="AG9" s="520" t="s">
        <v>592</v>
      </c>
      <c r="AH9" s="518" t="s">
        <v>593</v>
      </c>
      <c r="AI9" s="518" t="s">
        <v>594</v>
      </c>
      <c r="AJ9" s="518" t="s">
        <v>595</v>
      </c>
      <c r="AK9" s="518" t="s">
        <v>596</v>
      </c>
      <c r="AM9" s="131" t="s">
        <v>521</v>
      </c>
    </row>
    <row r="10" spans="1:40" ht="15.75" thickBot="1" x14ac:dyDescent="0.3">
      <c r="A10" s="521" t="s">
        <v>212</v>
      </c>
      <c r="B10" s="172">
        <v>0</v>
      </c>
      <c r="C10" s="172">
        <v>0</v>
      </c>
      <c r="D10" s="172">
        <v>0</v>
      </c>
      <c r="E10" s="172">
        <v>1</v>
      </c>
      <c r="F10" s="172">
        <v>0</v>
      </c>
      <c r="G10" s="172">
        <v>0</v>
      </c>
      <c r="H10" s="172">
        <v>0</v>
      </c>
      <c r="I10" s="172">
        <v>0</v>
      </c>
      <c r="J10" s="172">
        <v>0</v>
      </c>
      <c r="K10" s="172">
        <v>0</v>
      </c>
      <c r="L10" s="172">
        <v>0</v>
      </c>
      <c r="M10" s="172">
        <v>0</v>
      </c>
      <c r="N10" s="172">
        <v>0</v>
      </c>
      <c r="O10" s="172">
        <v>0</v>
      </c>
      <c r="P10" s="172">
        <v>0</v>
      </c>
      <c r="Q10" s="172">
        <v>0</v>
      </c>
      <c r="R10" s="172">
        <v>0</v>
      </c>
      <c r="S10" s="172">
        <v>0</v>
      </c>
      <c r="T10" s="172">
        <v>0</v>
      </c>
      <c r="U10" s="172">
        <v>0</v>
      </c>
      <c r="V10" s="172">
        <v>0</v>
      </c>
      <c r="W10" s="172">
        <v>0</v>
      </c>
      <c r="X10" s="172">
        <v>0</v>
      </c>
      <c r="Y10" s="172">
        <v>0</v>
      </c>
      <c r="Z10" s="172">
        <v>0</v>
      </c>
      <c r="AA10" s="172">
        <v>0</v>
      </c>
      <c r="AB10" s="172">
        <v>0</v>
      </c>
      <c r="AC10" s="172">
        <v>0</v>
      </c>
      <c r="AD10" s="172">
        <v>0</v>
      </c>
      <c r="AE10" s="172">
        <v>0</v>
      </c>
      <c r="AF10" s="522">
        <v>0</v>
      </c>
      <c r="AG10" s="523">
        <v>1</v>
      </c>
      <c r="AH10" s="172">
        <v>1</v>
      </c>
      <c r="AI10" s="172">
        <v>1</v>
      </c>
      <c r="AJ10" s="172">
        <v>1</v>
      </c>
      <c r="AK10" s="172">
        <v>1</v>
      </c>
      <c r="AM10" s="131">
        <v>1</v>
      </c>
      <c r="AN10" t="s">
        <v>597</v>
      </c>
    </row>
    <row r="11" spans="1:40" s="527" customFormat="1" ht="15.75" thickBot="1" x14ac:dyDescent="0.3">
      <c r="A11" s="524" t="s">
        <v>213</v>
      </c>
      <c r="B11" s="525">
        <v>0</v>
      </c>
      <c r="C11" s="525">
        <v>0</v>
      </c>
      <c r="D11" s="525">
        <v>0</v>
      </c>
      <c r="E11" s="525">
        <v>1</v>
      </c>
      <c r="F11" s="525">
        <v>0</v>
      </c>
      <c r="G11" s="525">
        <v>0</v>
      </c>
      <c r="H11" s="525">
        <v>0</v>
      </c>
      <c r="I11" s="525">
        <v>0</v>
      </c>
      <c r="J11" s="525">
        <v>0</v>
      </c>
      <c r="K11" s="525">
        <v>0</v>
      </c>
      <c r="L11" s="525">
        <v>0</v>
      </c>
      <c r="M11" s="525">
        <v>0</v>
      </c>
      <c r="N11" s="525">
        <v>0</v>
      </c>
      <c r="O11" s="525">
        <v>0</v>
      </c>
      <c r="P11" s="525">
        <v>0</v>
      </c>
      <c r="Q11" s="525">
        <v>0</v>
      </c>
      <c r="R11" s="525">
        <v>0</v>
      </c>
      <c r="S11" s="525">
        <v>0</v>
      </c>
      <c r="T11" s="525">
        <v>0</v>
      </c>
      <c r="U11" s="525">
        <v>0</v>
      </c>
      <c r="V11" s="525">
        <v>0</v>
      </c>
      <c r="W11" s="525">
        <v>0</v>
      </c>
      <c r="X11" s="525">
        <v>0</v>
      </c>
      <c r="Y11" s="525">
        <v>0</v>
      </c>
      <c r="Z11" s="525">
        <v>0</v>
      </c>
      <c r="AA11" s="525">
        <v>0</v>
      </c>
      <c r="AB11" s="525">
        <v>0</v>
      </c>
      <c r="AC11" s="525">
        <v>0</v>
      </c>
      <c r="AD11" s="525">
        <v>0</v>
      </c>
      <c r="AE11" s="525">
        <v>0</v>
      </c>
      <c r="AF11" s="526">
        <v>0</v>
      </c>
      <c r="AG11" s="523">
        <v>1</v>
      </c>
      <c r="AH11" s="172">
        <v>1</v>
      </c>
      <c r="AI11" s="172">
        <v>1</v>
      </c>
      <c r="AJ11" s="172">
        <v>1</v>
      </c>
      <c r="AK11" s="172">
        <v>1</v>
      </c>
      <c r="AM11" s="528">
        <v>2</v>
      </c>
      <c r="AN11" s="527" t="s">
        <v>598</v>
      </c>
    </row>
    <row r="12" spans="1:40" s="527" customFormat="1" ht="15.75" thickBot="1" x14ac:dyDescent="0.3">
      <c r="A12" s="524" t="s">
        <v>214</v>
      </c>
      <c r="B12" s="525">
        <v>0</v>
      </c>
      <c r="C12" s="525">
        <v>0</v>
      </c>
      <c r="D12" s="525">
        <v>0</v>
      </c>
      <c r="E12" s="525">
        <v>0</v>
      </c>
      <c r="F12" s="525">
        <v>0</v>
      </c>
      <c r="G12" s="525">
        <v>0</v>
      </c>
      <c r="H12" s="525">
        <v>0</v>
      </c>
      <c r="I12" s="525">
        <v>0</v>
      </c>
      <c r="J12" s="525">
        <v>0</v>
      </c>
      <c r="K12" s="525">
        <v>0</v>
      </c>
      <c r="L12" s="525">
        <v>0</v>
      </c>
      <c r="M12" s="525">
        <v>0</v>
      </c>
      <c r="N12" s="525">
        <v>0</v>
      </c>
      <c r="O12" s="525">
        <v>0</v>
      </c>
      <c r="P12" s="525">
        <v>0</v>
      </c>
      <c r="Q12" s="525">
        <v>0</v>
      </c>
      <c r="R12" s="525">
        <v>0</v>
      </c>
      <c r="S12" s="525">
        <v>0</v>
      </c>
      <c r="T12" s="525">
        <v>0</v>
      </c>
      <c r="U12" s="525">
        <v>0</v>
      </c>
      <c r="V12" s="525">
        <v>0</v>
      </c>
      <c r="W12" s="525">
        <v>0</v>
      </c>
      <c r="X12" s="525">
        <v>0</v>
      </c>
      <c r="Y12" s="525">
        <v>0</v>
      </c>
      <c r="Z12" s="525">
        <v>1</v>
      </c>
      <c r="AA12" s="525">
        <v>0</v>
      </c>
      <c r="AB12" s="525">
        <v>0</v>
      </c>
      <c r="AC12" s="525">
        <v>0</v>
      </c>
      <c r="AD12" s="525">
        <v>0</v>
      </c>
      <c r="AE12" s="525">
        <v>0</v>
      </c>
      <c r="AF12" s="526">
        <v>0</v>
      </c>
      <c r="AG12" s="523">
        <v>1</v>
      </c>
      <c r="AH12" s="172">
        <v>1</v>
      </c>
      <c r="AI12" s="172">
        <v>1</v>
      </c>
      <c r="AJ12" s="172">
        <v>1</v>
      </c>
      <c r="AK12" s="172">
        <v>1</v>
      </c>
      <c r="AM12" s="528">
        <v>3</v>
      </c>
      <c r="AN12" s="527" t="s">
        <v>599</v>
      </c>
    </row>
    <row r="13" spans="1:40" s="527" customFormat="1" ht="15.75" thickBot="1" x14ac:dyDescent="0.3">
      <c r="A13" s="524" t="s">
        <v>215</v>
      </c>
      <c r="B13" s="525">
        <v>0</v>
      </c>
      <c r="C13" s="525">
        <v>0</v>
      </c>
      <c r="D13" s="525">
        <v>0</v>
      </c>
      <c r="E13" s="525">
        <v>0</v>
      </c>
      <c r="F13" s="525">
        <v>0</v>
      </c>
      <c r="G13" s="525">
        <v>0</v>
      </c>
      <c r="H13" s="525">
        <v>0</v>
      </c>
      <c r="I13" s="525">
        <v>0</v>
      </c>
      <c r="J13" s="525">
        <v>0</v>
      </c>
      <c r="K13" s="525">
        <v>0</v>
      </c>
      <c r="L13" s="525">
        <v>0</v>
      </c>
      <c r="M13" s="525">
        <v>0</v>
      </c>
      <c r="N13" s="525">
        <v>0</v>
      </c>
      <c r="O13" s="525">
        <v>0</v>
      </c>
      <c r="P13" s="525">
        <v>0</v>
      </c>
      <c r="Q13" s="525">
        <v>0</v>
      </c>
      <c r="R13" s="525">
        <v>0</v>
      </c>
      <c r="S13" s="525">
        <v>0</v>
      </c>
      <c r="T13" s="525">
        <v>0</v>
      </c>
      <c r="U13" s="525">
        <v>0</v>
      </c>
      <c r="V13" s="525">
        <v>0</v>
      </c>
      <c r="W13" s="525">
        <v>0</v>
      </c>
      <c r="X13" s="525">
        <v>0</v>
      </c>
      <c r="Y13" s="525">
        <v>0</v>
      </c>
      <c r="Z13" s="525">
        <v>1</v>
      </c>
      <c r="AA13" s="525">
        <v>0</v>
      </c>
      <c r="AB13" s="525">
        <v>0</v>
      </c>
      <c r="AC13" s="525">
        <v>0</v>
      </c>
      <c r="AD13" s="525">
        <v>0</v>
      </c>
      <c r="AE13" s="525">
        <v>0</v>
      </c>
      <c r="AF13" s="526">
        <v>0</v>
      </c>
      <c r="AG13" s="523">
        <v>1</v>
      </c>
      <c r="AH13" s="172">
        <v>1</v>
      </c>
      <c r="AI13" s="172">
        <v>1</v>
      </c>
      <c r="AJ13" s="172">
        <v>1</v>
      </c>
      <c r="AK13" s="172">
        <v>1</v>
      </c>
      <c r="AM13" s="528">
        <v>4</v>
      </c>
      <c r="AN13" s="527" t="s">
        <v>600</v>
      </c>
    </row>
    <row r="14" spans="1:40" s="527" customFormat="1" ht="15.75" thickBot="1" x14ac:dyDescent="0.3">
      <c r="A14" s="524" t="s">
        <v>216</v>
      </c>
      <c r="B14" s="525">
        <v>1</v>
      </c>
      <c r="C14" s="525">
        <v>1</v>
      </c>
      <c r="D14" s="525">
        <v>1</v>
      </c>
      <c r="E14" s="525">
        <v>0</v>
      </c>
      <c r="F14" s="525">
        <v>1</v>
      </c>
      <c r="G14" s="525">
        <v>1</v>
      </c>
      <c r="H14" s="525">
        <v>1</v>
      </c>
      <c r="I14" s="525">
        <v>1</v>
      </c>
      <c r="J14" s="525">
        <v>1</v>
      </c>
      <c r="K14" s="525">
        <v>1</v>
      </c>
      <c r="L14" s="525">
        <v>1</v>
      </c>
      <c r="M14" s="525">
        <v>1</v>
      </c>
      <c r="N14" s="525">
        <v>1</v>
      </c>
      <c r="O14" s="525">
        <v>1</v>
      </c>
      <c r="P14" s="525">
        <v>1</v>
      </c>
      <c r="Q14" s="525">
        <v>1</v>
      </c>
      <c r="R14" s="525">
        <v>1</v>
      </c>
      <c r="S14" s="525">
        <v>1</v>
      </c>
      <c r="T14" s="525">
        <v>1</v>
      </c>
      <c r="U14" s="525">
        <v>1</v>
      </c>
      <c r="V14" s="525">
        <v>1</v>
      </c>
      <c r="W14" s="525">
        <v>1</v>
      </c>
      <c r="X14" s="525">
        <v>1</v>
      </c>
      <c r="Y14" s="525">
        <v>1</v>
      </c>
      <c r="Z14" s="525">
        <v>1</v>
      </c>
      <c r="AA14" s="525">
        <v>1</v>
      </c>
      <c r="AB14" s="525">
        <v>1</v>
      </c>
      <c r="AC14" s="525">
        <v>1</v>
      </c>
      <c r="AD14" s="525">
        <v>1</v>
      </c>
      <c r="AE14" s="525">
        <v>1</v>
      </c>
      <c r="AF14" s="526">
        <v>0</v>
      </c>
      <c r="AG14" s="523">
        <v>1</v>
      </c>
      <c r="AH14" s="172">
        <v>1</v>
      </c>
      <c r="AI14" s="172">
        <v>1</v>
      </c>
      <c r="AJ14" s="172">
        <v>1</v>
      </c>
      <c r="AK14" s="172">
        <v>1</v>
      </c>
      <c r="AM14" s="528">
        <v>5</v>
      </c>
      <c r="AN14" s="527" t="s">
        <v>601</v>
      </c>
    </row>
    <row r="15" spans="1:40" s="527" customFormat="1" ht="15.75" thickBot="1" x14ac:dyDescent="0.3">
      <c r="A15" s="524" t="s">
        <v>217</v>
      </c>
      <c r="B15" s="525">
        <v>1</v>
      </c>
      <c r="C15" s="525">
        <v>1</v>
      </c>
      <c r="D15" s="525">
        <v>1</v>
      </c>
      <c r="E15" s="525">
        <v>0</v>
      </c>
      <c r="F15" s="525">
        <v>1</v>
      </c>
      <c r="G15" s="525">
        <v>1</v>
      </c>
      <c r="H15" s="525">
        <v>1</v>
      </c>
      <c r="I15" s="525">
        <v>1</v>
      </c>
      <c r="J15" s="525">
        <v>1</v>
      </c>
      <c r="K15" s="525">
        <v>1</v>
      </c>
      <c r="L15" s="525">
        <v>1</v>
      </c>
      <c r="M15" s="525">
        <v>1</v>
      </c>
      <c r="N15" s="525">
        <v>1</v>
      </c>
      <c r="O15" s="525">
        <v>1</v>
      </c>
      <c r="P15" s="525">
        <v>1</v>
      </c>
      <c r="Q15" s="525">
        <v>1</v>
      </c>
      <c r="R15" s="525">
        <v>1</v>
      </c>
      <c r="S15" s="525">
        <v>1</v>
      </c>
      <c r="T15" s="525">
        <v>1</v>
      </c>
      <c r="U15" s="525">
        <v>1</v>
      </c>
      <c r="V15" s="525">
        <v>1</v>
      </c>
      <c r="W15" s="525">
        <v>1</v>
      </c>
      <c r="X15" s="525">
        <v>1</v>
      </c>
      <c r="Y15" s="525">
        <v>1</v>
      </c>
      <c r="Z15" s="525">
        <v>1</v>
      </c>
      <c r="AA15" s="525">
        <v>1</v>
      </c>
      <c r="AB15" s="525">
        <v>1</v>
      </c>
      <c r="AC15" s="525">
        <v>1</v>
      </c>
      <c r="AD15" s="525">
        <v>1</v>
      </c>
      <c r="AE15" s="525">
        <v>1</v>
      </c>
      <c r="AF15" s="526">
        <v>0</v>
      </c>
      <c r="AG15" s="523">
        <v>1</v>
      </c>
      <c r="AH15" s="172">
        <v>1</v>
      </c>
      <c r="AI15" s="172">
        <v>1</v>
      </c>
      <c r="AJ15" s="172">
        <v>1</v>
      </c>
      <c r="AK15" s="172">
        <v>1</v>
      </c>
      <c r="AM15" s="528">
        <v>6</v>
      </c>
      <c r="AN15" s="527" t="s">
        <v>602</v>
      </c>
    </row>
    <row r="16" spans="1:40" s="527" customFormat="1" ht="15.75" thickBot="1" x14ac:dyDescent="0.3">
      <c r="A16" s="524" t="s">
        <v>218</v>
      </c>
      <c r="B16" s="525">
        <v>1</v>
      </c>
      <c r="C16" s="525">
        <v>1</v>
      </c>
      <c r="D16" s="525">
        <v>1</v>
      </c>
      <c r="E16" s="525">
        <v>0</v>
      </c>
      <c r="F16" s="525">
        <v>1</v>
      </c>
      <c r="G16" s="525">
        <v>1</v>
      </c>
      <c r="H16" s="525">
        <v>1</v>
      </c>
      <c r="I16" s="525">
        <v>1</v>
      </c>
      <c r="J16" s="525">
        <v>1</v>
      </c>
      <c r="K16" s="525">
        <v>1</v>
      </c>
      <c r="L16" s="525">
        <v>1</v>
      </c>
      <c r="M16" s="525">
        <v>1</v>
      </c>
      <c r="N16" s="525">
        <v>1</v>
      </c>
      <c r="O16" s="525">
        <v>1</v>
      </c>
      <c r="P16" s="525">
        <v>1</v>
      </c>
      <c r="Q16" s="525">
        <v>1</v>
      </c>
      <c r="R16" s="525">
        <v>1</v>
      </c>
      <c r="S16" s="525">
        <v>1</v>
      </c>
      <c r="T16" s="525">
        <v>1</v>
      </c>
      <c r="U16" s="525">
        <v>1</v>
      </c>
      <c r="V16" s="525">
        <v>1</v>
      </c>
      <c r="W16" s="525">
        <v>1</v>
      </c>
      <c r="X16" s="525">
        <v>1</v>
      </c>
      <c r="Y16" s="525">
        <v>1</v>
      </c>
      <c r="Z16" s="525">
        <v>1</v>
      </c>
      <c r="AA16" s="525">
        <v>1</v>
      </c>
      <c r="AB16" s="525">
        <v>1</v>
      </c>
      <c r="AC16" s="525">
        <v>1</v>
      </c>
      <c r="AD16" s="525">
        <v>1</v>
      </c>
      <c r="AE16" s="525">
        <v>1</v>
      </c>
      <c r="AF16" s="526">
        <v>0</v>
      </c>
      <c r="AG16" s="523">
        <v>1</v>
      </c>
      <c r="AH16" s="172">
        <v>1</v>
      </c>
      <c r="AI16" s="172">
        <v>1</v>
      </c>
      <c r="AJ16" s="172">
        <v>1</v>
      </c>
      <c r="AK16" s="172">
        <v>1</v>
      </c>
      <c r="AM16" s="528">
        <v>7</v>
      </c>
      <c r="AN16" s="527" t="s">
        <v>603</v>
      </c>
    </row>
    <row r="17" spans="1:40" s="527" customFormat="1" ht="15.75" thickBot="1" x14ac:dyDescent="0.3">
      <c r="A17" s="524" t="s">
        <v>219</v>
      </c>
      <c r="B17" s="525">
        <v>1</v>
      </c>
      <c r="C17" s="525">
        <v>1</v>
      </c>
      <c r="D17" s="525">
        <v>1</v>
      </c>
      <c r="E17" s="525">
        <v>0</v>
      </c>
      <c r="F17" s="525">
        <v>1</v>
      </c>
      <c r="G17" s="525">
        <v>1</v>
      </c>
      <c r="H17" s="525">
        <v>1</v>
      </c>
      <c r="I17" s="525">
        <v>1</v>
      </c>
      <c r="J17" s="525">
        <v>1</v>
      </c>
      <c r="K17" s="525">
        <v>1</v>
      </c>
      <c r="L17" s="525">
        <v>1</v>
      </c>
      <c r="M17" s="525">
        <v>1</v>
      </c>
      <c r="N17" s="525">
        <v>1</v>
      </c>
      <c r="O17" s="525">
        <v>1</v>
      </c>
      <c r="P17" s="525">
        <v>1</v>
      </c>
      <c r="Q17" s="525">
        <v>1</v>
      </c>
      <c r="R17" s="525">
        <v>1</v>
      </c>
      <c r="S17" s="525">
        <v>1</v>
      </c>
      <c r="T17" s="525">
        <v>1</v>
      </c>
      <c r="U17" s="525">
        <v>1</v>
      </c>
      <c r="V17" s="525">
        <v>1</v>
      </c>
      <c r="W17" s="525">
        <v>1</v>
      </c>
      <c r="X17" s="525">
        <v>1</v>
      </c>
      <c r="Y17" s="525">
        <v>1</v>
      </c>
      <c r="Z17" s="525">
        <v>1</v>
      </c>
      <c r="AA17" s="525">
        <v>1</v>
      </c>
      <c r="AB17" s="525">
        <v>1</v>
      </c>
      <c r="AC17" s="525">
        <v>1</v>
      </c>
      <c r="AD17" s="525">
        <v>1</v>
      </c>
      <c r="AE17" s="525">
        <v>1</v>
      </c>
      <c r="AF17" s="526">
        <v>0</v>
      </c>
      <c r="AG17" s="523">
        <v>1</v>
      </c>
      <c r="AH17" s="172">
        <v>1</v>
      </c>
      <c r="AI17" s="172">
        <v>1</v>
      </c>
      <c r="AJ17" s="172">
        <v>1</v>
      </c>
      <c r="AK17" s="172">
        <v>1</v>
      </c>
      <c r="AM17" s="528">
        <v>8</v>
      </c>
      <c r="AN17" s="527" t="s">
        <v>604</v>
      </c>
    </row>
    <row r="18" spans="1:40" s="527" customFormat="1" ht="15.75" thickBot="1" x14ac:dyDescent="0.3">
      <c r="A18" s="524" t="s">
        <v>220</v>
      </c>
      <c r="B18" s="525">
        <v>0</v>
      </c>
      <c r="C18" s="525">
        <v>0</v>
      </c>
      <c r="D18" s="525">
        <v>0</v>
      </c>
      <c r="E18" s="525">
        <v>0</v>
      </c>
      <c r="F18" s="525">
        <v>0</v>
      </c>
      <c r="G18" s="525">
        <v>0</v>
      </c>
      <c r="H18" s="525">
        <v>0</v>
      </c>
      <c r="I18" s="525">
        <v>0</v>
      </c>
      <c r="J18" s="525">
        <v>0</v>
      </c>
      <c r="K18" s="525">
        <v>0</v>
      </c>
      <c r="L18" s="525">
        <v>0</v>
      </c>
      <c r="M18" s="525">
        <v>0</v>
      </c>
      <c r="N18" s="525">
        <v>0</v>
      </c>
      <c r="O18" s="525">
        <v>0</v>
      </c>
      <c r="P18" s="525">
        <v>0</v>
      </c>
      <c r="Q18" s="525">
        <v>0</v>
      </c>
      <c r="R18" s="525">
        <v>0</v>
      </c>
      <c r="S18" s="525">
        <v>0</v>
      </c>
      <c r="T18" s="525">
        <v>0</v>
      </c>
      <c r="U18" s="525">
        <v>0</v>
      </c>
      <c r="V18" s="525">
        <v>0</v>
      </c>
      <c r="W18" s="525">
        <v>0</v>
      </c>
      <c r="X18" s="525">
        <v>0</v>
      </c>
      <c r="Y18" s="525">
        <v>0</v>
      </c>
      <c r="Z18" s="525">
        <v>0</v>
      </c>
      <c r="AA18" s="525">
        <v>0</v>
      </c>
      <c r="AB18" s="525">
        <v>0</v>
      </c>
      <c r="AC18" s="525">
        <v>0</v>
      </c>
      <c r="AD18" s="525">
        <v>1</v>
      </c>
      <c r="AE18" s="525">
        <v>0</v>
      </c>
      <c r="AF18" s="526">
        <v>0</v>
      </c>
      <c r="AG18" s="523">
        <v>1</v>
      </c>
      <c r="AH18" s="172">
        <v>1</v>
      </c>
      <c r="AI18" s="172">
        <v>1</v>
      </c>
      <c r="AJ18" s="172">
        <v>1</v>
      </c>
      <c r="AK18" s="172">
        <v>1</v>
      </c>
      <c r="AM18" s="528">
        <v>9</v>
      </c>
      <c r="AN18" s="527" t="s">
        <v>605</v>
      </c>
    </row>
    <row r="19" spans="1:40" s="527" customFormat="1" ht="15.75" thickBot="1" x14ac:dyDescent="0.3">
      <c r="A19" s="524" t="s">
        <v>221</v>
      </c>
      <c r="B19" s="525">
        <v>0</v>
      </c>
      <c r="C19" s="525">
        <v>0</v>
      </c>
      <c r="D19" s="525">
        <v>0</v>
      </c>
      <c r="E19" s="525">
        <v>0</v>
      </c>
      <c r="F19" s="525">
        <v>0</v>
      </c>
      <c r="G19" s="525">
        <v>0</v>
      </c>
      <c r="H19" s="525">
        <v>0</v>
      </c>
      <c r="I19" s="525">
        <v>0</v>
      </c>
      <c r="J19" s="525">
        <v>0</v>
      </c>
      <c r="K19" s="525">
        <v>0</v>
      </c>
      <c r="L19" s="525">
        <v>0</v>
      </c>
      <c r="M19" s="525">
        <v>0</v>
      </c>
      <c r="N19" s="525">
        <v>0</v>
      </c>
      <c r="O19" s="525">
        <v>0</v>
      </c>
      <c r="P19" s="525">
        <v>0</v>
      </c>
      <c r="Q19" s="525">
        <v>0</v>
      </c>
      <c r="R19" s="525">
        <v>0</v>
      </c>
      <c r="S19" s="525">
        <v>0</v>
      </c>
      <c r="T19" s="525">
        <v>0</v>
      </c>
      <c r="U19" s="525">
        <v>0</v>
      </c>
      <c r="V19" s="525">
        <v>0</v>
      </c>
      <c r="W19" s="525">
        <v>0</v>
      </c>
      <c r="X19" s="525">
        <v>0</v>
      </c>
      <c r="Y19" s="525">
        <v>0</v>
      </c>
      <c r="Z19" s="525">
        <v>0</v>
      </c>
      <c r="AA19" s="525">
        <v>0</v>
      </c>
      <c r="AB19" s="525">
        <v>0</v>
      </c>
      <c r="AC19" s="525">
        <v>0</v>
      </c>
      <c r="AD19" s="525">
        <v>1</v>
      </c>
      <c r="AE19" s="525">
        <v>0</v>
      </c>
      <c r="AF19" s="526">
        <v>0</v>
      </c>
      <c r="AG19" s="523">
        <v>1</v>
      </c>
      <c r="AH19" s="172">
        <v>1</v>
      </c>
      <c r="AI19" s="172">
        <v>1</v>
      </c>
      <c r="AJ19" s="172">
        <v>1</v>
      </c>
      <c r="AK19" s="172">
        <v>1</v>
      </c>
      <c r="AM19" s="528">
        <v>10</v>
      </c>
      <c r="AN19" s="527" t="s">
        <v>606</v>
      </c>
    </row>
    <row r="20" spans="1:40" s="527" customFormat="1" ht="15.75" thickBot="1" x14ac:dyDescent="0.3">
      <c r="A20" s="524" t="s">
        <v>222</v>
      </c>
      <c r="B20" s="525">
        <v>1</v>
      </c>
      <c r="C20" s="525">
        <v>1</v>
      </c>
      <c r="D20" s="525">
        <v>1</v>
      </c>
      <c r="E20" s="525">
        <v>0</v>
      </c>
      <c r="F20" s="525">
        <v>1</v>
      </c>
      <c r="G20" s="525">
        <v>1</v>
      </c>
      <c r="H20" s="525">
        <v>1</v>
      </c>
      <c r="I20" s="525">
        <v>1</v>
      </c>
      <c r="J20" s="525">
        <v>1</v>
      </c>
      <c r="K20" s="525">
        <v>1</v>
      </c>
      <c r="L20" s="525">
        <v>1</v>
      </c>
      <c r="M20" s="525">
        <v>1</v>
      </c>
      <c r="N20" s="525">
        <v>1</v>
      </c>
      <c r="O20" s="525">
        <v>1</v>
      </c>
      <c r="P20" s="525">
        <v>1</v>
      </c>
      <c r="Q20" s="525">
        <v>1</v>
      </c>
      <c r="R20" s="525">
        <v>1</v>
      </c>
      <c r="S20" s="525">
        <v>1</v>
      </c>
      <c r="T20" s="525">
        <v>1</v>
      </c>
      <c r="U20" s="525">
        <v>1</v>
      </c>
      <c r="V20" s="525">
        <v>1</v>
      </c>
      <c r="W20" s="525">
        <v>1</v>
      </c>
      <c r="X20" s="525">
        <v>1</v>
      </c>
      <c r="Y20" s="525">
        <v>1</v>
      </c>
      <c r="Z20" s="525">
        <v>1</v>
      </c>
      <c r="AA20" s="525">
        <v>1</v>
      </c>
      <c r="AB20" s="525">
        <v>1</v>
      </c>
      <c r="AC20" s="525">
        <v>1</v>
      </c>
      <c r="AD20" s="525">
        <v>1</v>
      </c>
      <c r="AE20" s="525">
        <v>1</v>
      </c>
      <c r="AF20" s="526">
        <v>0</v>
      </c>
      <c r="AG20" s="523">
        <v>1</v>
      </c>
      <c r="AH20" s="172">
        <v>1</v>
      </c>
      <c r="AI20" s="172">
        <v>1</v>
      </c>
      <c r="AJ20" s="172">
        <v>1</v>
      </c>
      <c r="AK20" s="172">
        <v>1</v>
      </c>
      <c r="AM20" s="528">
        <v>11</v>
      </c>
      <c r="AN20" s="527" t="s">
        <v>607</v>
      </c>
    </row>
    <row r="21" spans="1:40" s="527" customFormat="1" ht="15.75" thickBot="1" x14ac:dyDescent="0.3">
      <c r="A21" s="524" t="s">
        <v>223</v>
      </c>
      <c r="B21" s="172">
        <v>0</v>
      </c>
      <c r="C21" s="172">
        <v>0</v>
      </c>
      <c r="D21" s="172">
        <v>0</v>
      </c>
      <c r="E21" s="525">
        <v>0</v>
      </c>
      <c r="F21" s="172">
        <v>0</v>
      </c>
      <c r="G21" s="172">
        <v>0</v>
      </c>
      <c r="H21" s="172">
        <v>0</v>
      </c>
      <c r="I21" s="172">
        <v>0</v>
      </c>
      <c r="J21" s="172">
        <v>0</v>
      </c>
      <c r="K21" s="172">
        <v>0</v>
      </c>
      <c r="L21" s="172">
        <v>0</v>
      </c>
      <c r="M21" s="172">
        <v>0</v>
      </c>
      <c r="N21" s="172">
        <v>0</v>
      </c>
      <c r="O21" s="172">
        <v>0</v>
      </c>
      <c r="P21" s="172">
        <v>0</v>
      </c>
      <c r="Q21" s="172">
        <v>0</v>
      </c>
      <c r="R21" s="172">
        <v>0</v>
      </c>
      <c r="S21" s="172">
        <v>0</v>
      </c>
      <c r="T21" s="172">
        <v>0</v>
      </c>
      <c r="U21" s="172">
        <v>0</v>
      </c>
      <c r="V21" s="172">
        <v>0</v>
      </c>
      <c r="W21" s="172">
        <v>0</v>
      </c>
      <c r="X21" s="172">
        <v>0</v>
      </c>
      <c r="Y21" s="172">
        <v>0</v>
      </c>
      <c r="Z21" s="172">
        <v>0</v>
      </c>
      <c r="AA21" s="172">
        <v>1</v>
      </c>
      <c r="AB21" s="172">
        <v>0</v>
      </c>
      <c r="AC21" s="172">
        <v>0</v>
      </c>
      <c r="AD21" s="172">
        <v>0</v>
      </c>
      <c r="AE21" s="172">
        <v>0</v>
      </c>
      <c r="AF21" s="522">
        <v>0</v>
      </c>
      <c r="AG21" s="523">
        <v>1</v>
      </c>
      <c r="AH21" s="172">
        <v>1</v>
      </c>
      <c r="AI21" s="172">
        <v>1</v>
      </c>
      <c r="AJ21" s="172">
        <v>1</v>
      </c>
      <c r="AK21" s="172">
        <v>1</v>
      </c>
      <c r="AM21" s="528">
        <v>12</v>
      </c>
      <c r="AN21" s="527" t="s">
        <v>608</v>
      </c>
    </row>
    <row r="22" spans="1:40" s="527" customFormat="1" ht="15.75" thickBot="1" x14ac:dyDescent="0.3">
      <c r="A22" s="524" t="s">
        <v>224</v>
      </c>
      <c r="B22" s="525">
        <v>1</v>
      </c>
      <c r="C22" s="525">
        <v>1</v>
      </c>
      <c r="D22" s="525">
        <v>1</v>
      </c>
      <c r="E22" s="525">
        <v>0</v>
      </c>
      <c r="F22" s="525">
        <v>1</v>
      </c>
      <c r="G22" s="525">
        <v>1</v>
      </c>
      <c r="H22" s="525">
        <v>1</v>
      </c>
      <c r="I22" s="525">
        <v>1</v>
      </c>
      <c r="J22" s="525">
        <v>1</v>
      </c>
      <c r="K22" s="525">
        <v>1</v>
      </c>
      <c r="L22" s="525">
        <v>1</v>
      </c>
      <c r="M22" s="525">
        <v>1</v>
      </c>
      <c r="N22" s="525">
        <v>1</v>
      </c>
      <c r="O22" s="525">
        <v>1</v>
      </c>
      <c r="P22" s="525">
        <v>1</v>
      </c>
      <c r="Q22" s="525">
        <v>1</v>
      </c>
      <c r="R22" s="525">
        <v>1</v>
      </c>
      <c r="S22" s="525">
        <v>1</v>
      </c>
      <c r="T22" s="525">
        <v>1</v>
      </c>
      <c r="U22" s="525">
        <v>1</v>
      </c>
      <c r="V22" s="525">
        <v>1</v>
      </c>
      <c r="W22" s="525">
        <v>1</v>
      </c>
      <c r="X22" s="525">
        <v>1</v>
      </c>
      <c r="Y22" s="525">
        <v>1</v>
      </c>
      <c r="Z22" s="525">
        <v>1</v>
      </c>
      <c r="AA22" s="525">
        <v>1</v>
      </c>
      <c r="AB22" s="525">
        <v>1</v>
      </c>
      <c r="AC22" s="525">
        <v>1</v>
      </c>
      <c r="AD22" s="525">
        <v>1</v>
      </c>
      <c r="AE22" s="525">
        <v>1</v>
      </c>
      <c r="AF22" s="526">
        <v>0</v>
      </c>
      <c r="AG22" s="523">
        <v>1</v>
      </c>
      <c r="AH22" s="172">
        <v>1</v>
      </c>
      <c r="AI22" s="172">
        <v>1</v>
      </c>
      <c r="AJ22" s="172">
        <v>1</v>
      </c>
      <c r="AK22" s="172">
        <v>1</v>
      </c>
      <c r="AM22" s="528">
        <v>13</v>
      </c>
      <c r="AN22" s="527" t="s">
        <v>609</v>
      </c>
    </row>
    <row r="23" spans="1:40" s="527" customFormat="1" ht="15.75" thickBot="1" x14ac:dyDescent="0.3">
      <c r="A23" s="524" t="s">
        <v>225</v>
      </c>
      <c r="B23" s="525">
        <v>1</v>
      </c>
      <c r="C23" s="525">
        <v>1</v>
      </c>
      <c r="D23" s="525">
        <v>1</v>
      </c>
      <c r="E23" s="525">
        <v>0</v>
      </c>
      <c r="F23" s="525">
        <v>1</v>
      </c>
      <c r="G23" s="525">
        <v>1</v>
      </c>
      <c r="H23" s="525">
        <v>1</v>
      </c>
      <c r="I23" s="525">
        <v>1</v>
      </c>
      <c r="J23" s="525">
        <v>1</v>
      </c>
      <c r="K23" s="525">
        <v>1</v>
      </c>
      <c r="L23" s="525">
        <v>1</v>
      </c>
      <c r="M23" s="525">
        <v>1</v>
      </c>
      <c r="N23" s="525">
        <v>1</v>
      </c>
      <c r="O23" s="525">
        <v>1</v>
      </c>
      <c r="P23" s="525">
        <v>1</v>
      </c>
      <c r="Q23" s="525">
        <v>1</v>
      </c>
      <c r="R23" s="525">
        <v>1</v>
      </c>
      <c r="S23" s="525">
        <v>1</v>
      </c>
      <c r="T23" s="525">
        <v>1</v>
      </c>
      <c r="U23" s="525">
        <v>1</v>
      </c>
      <c r="V23" s="525">
        <v>1</v>
      </c>
      <c r="W23" s="525">
        <v>1</v>
      </c>
      <c r="X23" s="525">
        <v>1</v>
      </c>
      <c r="Y23" s="525">
        <v>1</v>
      </c>
      <c r="Z23" s="525">
        <v>1</v>
      </c>
      <c r="AA23" s="525">
        <v>1</v>
      </c>
      <c r="AB23" s="525">
        <v>1</v>
      </c>
      <c r="AC23" s="525">
        <v>1</v>
      </c>
      <c r="AD23" s="525">
        <v>1</v>
      </c>
      <c r="AE23" s="525">
        <v>1</v>
      </c>
      <c r="AF23" s="526">
        <v>0</v>
      </c>
      <c r="AG23" s="523">
        <v>1</v>
      </c>
      <c r="AH23" s="172">
        <v>1</v>
      </c>
      <c r="AI23" s="172">
        <v>1</v>
      </c>
      <c r="AJ23" s="172">
        <v>1</v>
      </c>
      <c r="AK23" s="172">
        <v>1</v>
      </c>
      <c r="AM23" s="528">
        <v>14</v>
      </c>
      <c r="AN23" s="527" t="s">
        <v>610</v>
      </c>
    </row>
    <row r="24" spans="1:40" s="527" customFormat="1" ht="15.75" thickBot="1" x14ac:dyDescent="0.3">
      <c r="A24" s="524" t="s">
        <v>226</v>
      </c>
      <c r="B24" s="525">
        <v>1</v>
      </c>
      <c r="C24" s="525">
        <v>1</v>
      </c>
      <c r="D24" s="525">
        <v>1</v>
      </c>
      <c r="E24" s="525">
        <v>0</v>
      </c>
      <c r="F24" s="525">
        <v>1</v>
      </c>
      <c r="G24" s="525">
        <v>1</v>
      </c>
      <c r="H24" s="525">
        <v>1</v>
      </c>
      <c r="I24" s="525">
        <v>1</v>
      </c>
      <c r="J24" s="525">
        <v>1</v>
      </c>
      <c r="K24" s="525">
        <v>1</v>
      </c>
      <c r="L24" s="525">
        <v>1</v>
      </c>
      <c r="M24" s="525">
        <v>1</v>
      </c>
      <c r="N24" s="525">
        <v>1</v>
      </c>
      <c r="O24" s="525">
        <v>1</v>
      </c>
      <c r="P24" s="525">
        <v>1</v>
      </c>
      <c r="Q24" s="525">
        <v>1</v>
      </c>
      <c r="R24" s="525">
        <v>1</v>
      </c>
      <c r="S24" s="525">
        <v>1</v>
      </c>
      <c r="T24" s="525">
        <v>1</v>
      </c>
      <c r="U24" s="525">
        <v>1</v>
      </c>
      <c r="V24" s="525">
        <v>1</v>
      </c>
      <c r="W24" s="525">
        <v>1</v>
      </c>
      <c r="X24" s="525">
        <v>1</v>
      </c>
      <c r="Y24" s="525">
        <v>1</v>
      </c>
      <c r="Z24" s="525">
        <v>1</v>
      </c>
      <c r="AA24" s="525">
        <v>1</v>
      </c>
      <c r="AB24" s="525">
        <v>1</v>
      </c>
      <c r="AC24" s="525">
        <v>1</v>
      </c>
      <c r="AD24" s="525">
        <v>1</v>
      </c>
      <c r="AE24" s="525">
        <v>1</v>
      </c>
      <c r="AF24" s="526">
        <v>0</v>
      </c>
      <c r="AG24" s="523">
        <v>1</v>
      </c>
      <c r="AH24" s="172">
        <v>1</v>
      </c>
      <c r="AI24" s="172">
        <v>1</v>
      </c>
      <c r="AJ24" s="172">
        <v>1</v>
      </c>
      <c r="AK24" s="172">
        <v>1</v>
      </c>
      <c r="AM24" s="528">
        <v>15</v>
      </c>
      <c r="AN24" s="527" t="s">
        <v>611</v>
      </c>
    </row>
    <row r="25" spans="1:40" s="527" customFormat="1" ht="15.75" thickBot="1" x14ac:dyDescent="0.3">
      <c r="A25" s="524" t="s">
        <v>227</v>
      </c>
      <c r="B25" s="525">
        <v>1</v>
      </c>
      <c r="C25" s="525">
        <v>1</v>
      </c>
      <c r="D25" s="525">
        <v>1</v>
      </c>
      <c r="E25" s="525">
        <v>0</v>
      </c>
      <c r="F25" s="525">
        <v>1</v>
      </c>
      <c r="G25" s="525">
        <v>1</v>
      </c>
      <c r="H25" s="525">
        <v>1</v>
      </c>
      <c r="I25" s="525">
        <v>1</v>
      </c>
      <c r="J25" s="525">
        <v>1</v>
      </c>
      <c r="K25" s="525">
        <v>1</v>
      </c>
      <c r="L25" s="525">
        <v>1</v>
      </c>
      <c r="M25" s="525">
        <v>1</v>
      </c>
      <c r="N25" s="525">
        <v>1</v>
      </c>
      <c r="O25" s="525">
        <v>1</v>
      </c>
      <c r="P25" s="525">
        <v>1</v>
      </c>
      <c r="Q25" s="525">
        <v>1</v>
      </c>
      <c r="R25" s="525">
        <v>1</v>
      </c>
      <c r="S25" s="525">
        <v>1</v>
      </c>
      <c r="T25" s="525">
        <v>1</v>
      </c>
      <c r="U25" s="525">
        <v>1</v>
      </c>
      <c r="V25" s="525">
        <v>1</v>
      </c>
      <c r="W25" s="525">
        <v>1</v>
      </c>
      <c r="X25" s="525">
        <v>1</v>
      </c>
      <c r="Y25" s="525">
        <v>1</v>
      </c>
      <c r="Z25" s="525">
        <v>1</v>
      </c>
      <c r="AA25" s="525">
        <v>1</v>
      </c>
      <c r="AB25" s="525">
        <v>1</v>
      </c>
      <c r="AC25" s="525">
        <v>1</v>
      </c>
      <c r="AD25" s="525">
        <v>1</v>
      </c>
      <c r="AE25" s="525">
        <v>1</v>
      </c>
      <c r="AF25" s="526">
        <v>0</v>
      </c>
      <c r="AG25" s="523">
        <v>1</v>
      </c>
      <c r="AH25" s="172">
        <v>1</v>
      </c>
      <c r="AI25" s="172">
        <v>1</v>
      </c>
      <c r="AJ25" s="172">
        <v>1</v>
      </c>
      <c r="AK25" s="172">
        <v>1</v>
      </c>
      <c r="AM25" s="528">
        <v>16</v>
      </c>
      <c r="AN25" s="527" t="s">
        <v>612</v>
      </c>
    </row>
    <row r="26" spans="1:40" s="527" customFormat="1" ht="15.75" thickBot="1" x14ac:dyDescent="0.3">
      <c r="A26" s="524" t="s">
        <v>228</v>
      </c>
      <c r="B26" s="525">
        <v>1</v>
      </c>
      <c r="C26" s="525">
        <v>1</v>
      </c>
      <c r="D26" s="525">
        <v>1</v>
      </c>
      <c r="E26" s="525">
        <v>0</v>
      </c>
      <c r="F26" s="525">
        <v>1</v>
      </c>
      <c r="G26" s="525">
        <v>1</v>
      </c>
      <c r="H26" s="525">
        <v>1</v>
      </c>
      <c r="I26" s="525">
        <v>1</v>
      </c>
      <c r="J26" s="525">
        <v>1</v>
      </c>
      <c r="K26" s="525">
        <v>1</v>
      </c>
      <c r="L26" s="525">
        <v>1</v>
      </c>
      <c r="M26" s="525">
        <v>1</v>
      </c>
      <c r="N26" s="525">
        <v>1</v>
      </c>
      <c r="O26" s="525">
        <v>1</v>
      </c>
      <c r="P26" s="525">
        <v>1</v>
      </c>
      <c r="Q26" s="525">
        <v>1</v>
      </c>
      <c r="R26" s="525">
        <v>1</v>
      </c>
      <c r="S26" s="525">
        <v>1</v>
      </c>
      <c r="T26" s="525">
        <v>1</v>
      </c>
      <c r="U26" s="525">
        <v>1</v>
      </c>
      <c r="V26" s="525">
        <v>1</v>
      </c>
      <c r="W26" s="525">
        <v>1</v>
      </c>
      <c r="X26" s="525">
        <v>1</v>
      </c>
      <c r="Y26" s="525">
        <v>1</v>
      </c>
      <c r="Z26" s="525">
        <v>1</v>
      </c>
      <c r="AA26" s="525">
        <v>1</v>
      </c>
      <c r="AB26" s="525">
        <v>1</v>
      </c>
      <c r="AC26" s="525">
        <v>1</v>
      </c>
      <c r="AD26" s="525">
        <v>1</v>
      </c>
      <c r="AE26" s="525">
        <v>1</v>
      </c>
      <c r="AF26" s="526">
        <v>0</v>
      </c>
      <c r="AG26" s="523">
        <v>1</v>
      </c>
      <c r="AH26" s="172">
        <v>1</v>
      </c>
      <c r="AI26" s="172">
        <v>1</v>
      </c>
      <c r="AJ26" s="172">
        <v>1</v>
      </c>
      <c r="AK26" s="172">
        <v>1</v>
      </c>
      <c r="AM26" s="528">
        <v>17</v>
      </c>
      <c r="AN26" s="527" t="s">
        <v>613</v>
      </c>
    </row>
    <row r="27" spans="1:40" s="527" customFormat="1" ht="15.75" thickBot="1" x14ac:dyDescent="0.3">
      <c r="A27" s="524" t="s">
        <v>229</v>
      </c>
      <c r="B27" s="525">
        <v>1</v>
      </c>
      <c r="C27" s="525">
        <v>1</v>
      </c>
      <c r="D27" s="525">
        <v>1</v>
      </c>
      <c r="E27" s="525">
        <v>0</v>
      </c>
      <c r="F27" s="525">
        <v>1</v>
      </c>
      <c r="G27" s="525">
        <v>1</v>
      </c>
      <c r="H27" s="525">
        <v>1</v>
      </c>
      <c r="I27" s="525">
        <v>1</v>
      </c>
      <c r="J27" s="525">
        <v>1</v>
      </c>
      <c r="K27" s="525">
        <v>1</v>
      </c>
      <c r="L27" s="525">
        <v>1</v>
      </c>
      <c r="M27" s="525">
        <v>1</v>
      </c>
      <c r="N27" s="525">
        <v>1</v>
      </c>
      <c r="O27" s="525">
        <v>1</v>
      </c>
      <c r="P27" s="525">
        <v>1</v>
      </c>
      <c r="Q27" s="525">
        <v>1</v>
      </c>
      <c r="R27" s="525">
        <v>1</v>
      </c>
      <c r="S27" s="525">
        <v>1</v>
      </c>
      <c r="T27" s="525">
        <v>1</v>
      </c>
      <c r="U27" s="525">
        <v>1</v>
      </c>
      <c r="V27" s="525">
        <v>1</v>
      </c>
      <c r="W27" s="525">
        <v>1</v>
      </c>
      <c r="X27" s="525">
        <v>1</v>
      </c>
      <c r="Y27" s="525">
        <v>1</v>
      </c>
      <c r="Z27" s="525">
        <v>1</v>
      </c>
      <c r="AA27" s="525">
        <v>1</v>
      </c>
      <c r="AB27" s="525">
        <v>1</v>
      </c>
      <c r="AC27" s="525">
        <v>1</v>
      </c>
      <c r="AD27" s="525">
        <v>1</v>
      </c>
      <c r="AE27" s="525">
        <v>1</v>
      </c>
      <c r="AF27" s="526">
        <v>0</v>
      </c>
      <c r="AG27" s="523">
        <v>1</v>
      </c>
      <c r="AH27" s="172">
        <v>1</v>
      </c>
      <c r="AI27" s="172">
        <v>1</v>
      </c>
      <c r="AJ27" s="172">
        <v>1</v>
      </c>
      <c r="AK27" s="172">
        <v>1</v>
      </c>
      <c r="AM27" s="528">
        <v>18</v>
      </c>
      <c r="AN27" s="527" t="s">
        <v>614</v>
      </c>
    </row>
    <row r="28" spans="1:40" s="527" customFormat="1" ht="15.75" thickBot="1" x14ac:dyDescent="0.3">
      <c r="A28" s="524" t="s">
        <v>230</v>
      </c>
      <c r="B28" s="525">
        <v>0</v>
      </c>
      <c r="C28" s="525">
        <v>0</v>
      </c>
      <c r="D28" s="525">
        <v>0</v>
      </c>
      <c r="E28" s="525">
        <v>0</v>
      </c>
      <c r="F28" s="525">
        <v>0</v>
      </c>
      <c r="G28" s="525">
        <v>0</v>
      </c>
      <c r="H28" s="525">
        <v>0</v>
      </c>
      <c r="I28" s="525">
        <v>0</v>
      </c>
      <c r="J28" s="525">
        <v>0</v>
      </c>
      <c r="K28" s="525">
        <v>0</v>
      </c>
      <c r="L28" s="525">
        <v>0</v>
      </c>
      <c r="M28" s="525">
        <v>0</v>
      </c>
      <c r="N28" s="525">
        <v>0</v>
      </c>
      <c r="O28" s="525">
        <v>0</v>
      </c>
      <c r="P28" s="525">
        <v>1</v>
      </c>
      <c r="Q28" s="525">
        <v>0</v>
      </c>
      <c r="R28" s="525">
        <v>0</v>
      </c>
      <c r="S28" s="525">
        <v>0</v>
      </c>
      <c r="T28" s="525">
        <v>0</v>
      </c>
      <c r="U28" s="525">
        <v>0</v>
      </c>
      <c r="V28" s="525">
        <v>0</v>
      </c>
      <c r="W28" s="525">
        <v>0</v>
      </c>
      <c r="X28" s="525">
        <v>0</v>
      </c>
      <c r="Y28" s="525">
        <v>0</v>
      </c>
      <c r="Z28" s="525">
        <v>0</v>
      </c>
      <c r="AA28" s="525">
        <v>0</v>
      </c>
      <c r="AB28" s="525">
        <v>0</v>
      </c>
      <c r="AC28" s="525">
        <v>0</v>
      </c>
      <c r="AD28" s="525">
        <v>0</v>
      </c>
      <c r="AE28" s="525">
        <v>0</v>
      </c>
      <c r="AF28" s="526">
        <v>0</v>
      </c>
      <c r="AG28" s="523">
        <v>1</v>
      </c>
      <c r="AH28" s="172">
        <v>1</v>
      </c>
      <c r="AI28" s="172">
        <v>1</v>
      </c>
      <c r="AJ28" s="172">
        <v>1</v>
      </c>
      <c r="AK28" s="172">
        <v>1</v>
      </c>
      <c r="AM28" s="528">
        <v>19</v>
      </c>
    </row>
    <row r="29" spans="1:40" s="527" customFormat="1" ht="15.75" thickBot="1" x14ac:dyDescent="0.3">
      <c r="A29" s="524" t="s">
        <v>231</v>
      </c>
      <c r="B29" s="525">
        <v>1</v>
      </c>
      <c r="C29" s="525">
        <v>1</v>
      </c>
      <c r="D29" s="525">
        <v>1</v>
      </c>
      <c r="E29" s="525">
        <v>0</v>
      </c>
      <c r="F29" s="525">
        <v>1</v>
      </c>
      <c r="G29" s="525">
        <v>1</v>
      </c>
      <c r="H29" s="525">
        <v>1</v>
      </c>
      <c r="I29" s="525">
        <v>1</v>
      </c>
      <c r="J29" s="525">
        <v>1</v>
      </c>
      <c r="K29" s="525">
        <v>1</v>
      </c>
      <c r="L29" s="525">
        <v>1</v>
      </c>
      <c r="M29" s="525">
        <v>1</v>
      </c>
      <c r="N29" s="525">
        <v>1</v>
      </c>
      <c r="O29" s="525">
        <v>1</v>
      </c>
      <c r="P29" s="525">
        <v>1</v>
      </c>
      <c r="Q29" s="525">
        <v>1</v>
      </c>
      <c r="R29" s="525">
        <v>1</v>
      </c>
      <c r="S29" s="525">
        <v>1</v>
      </c>
      <c r="T29" s="525">
        <v>1</v>
      </c>
      <c r="U29" s="525">
        <v>1</v>
      </c>
      <c r="V29" s="525">
        <v>1</v>
      </c>
      <c r="W29" s="525">
        <v>1</v>
      </c>
      <c r="X29" s="525">
        <v>1</v>
      </c>
      <c r="Y29" s="525">
        <v>1</v>
      </c>
      <c r="Z29" s="525">
        <v>1</v>
      </c>
      <c r="AA29" s="525">
        <v>1</v>
      </c>
      <c r="AB29" s="525">
        <v>1</v>
      </c>
      <c r="AC29" s="525">
        <v>1</v>
      </c>
      <c r="AD29" s="525">
        <v>1</v>
      </c>
      <c r="AE29" s="525">
        <v>1</v>
      </c>
      <c r="AF29" s="526">
        <v>0</v>
      </c>
      <c r="AG29" s="523">
        <v>1</v>
      </c>
      <c r="AH29" s="172">
        <v>1</v>
      </c>
      <c r="AI29" s="172">
        <v>1</v>
      </c>
      <c r="AJ29" s="172">
        <v>1</v>
      </c>
      <c r="AK29" s="172">
        <v>1</v>
      </c>
      <c r="AM29" s="528">
        <v>20</v>
      </c>
    </row>
    <row r="30" spans="1:40" s="527" customFormat="1" ht="15.75" thickBot="1" x14ac:dyDescent="0.3">
      <c r="A30" s="524" t="s">
        <v>232</v>
      </c>
      <c r="B30" s="525">
        <v>1</v>
      </c>
      <c r="C30" s="525">
        <v>1</v>
      </c>
      <c r="D30" s="525">
        <v>1</v>
      </c>
      <c r="E30" s="525">
        <v>0</v>
      </c>
      <c r="F30" s="525">
        <v>1</v>
      </c>
      <c r="G30" s="525">
        <v>1</v>
      </c>
      <c r="H30" s="525">
        <v>1</v>
      </c>
      <c r="I30" s="525">
        <v>1</v>
      </c>
      <c r="J30" s="525">
        <v>1</v>
      </c>
      <c r="K30" s="525">
        <v>1</v>
      </c>
      <c r="L30" s="525">
        <v>1</v>
      </c>
      <c r="M30" s="525">
        <v>1</v>
      </c>
      <c r="N30" s="525">
        <v>1</v>
      </c>
      <c r="O30" s="525">
        <v>1</v>
      </c>
      <c r="P30" s="525">
        <v>1</v>
      </c>
      <c r="Q30" s="525">
        <v>1</v>
      </c>
      <c r="R30" s="525">
        <v>1</v>
      </c>
      <c r="S30" s="525">
        <v>1</v>
      </c>
      <c r="T30" s="525">
        <v>1</v>
      </c>
      <c r="U30" s="525">
        <v>1</v>
      </c>
      <c r="V30" s="525">
        <v>1</v>
      </c>
      <c r="W30" s="525">
        <v>1</v>
      </c>
      <c r="X30" s="525">
        <v>1</v>
      </c>
      <c r="Y30" s="525">
        <v>1</v>
      </c>
      <c r="Z30" s="525">
        <v>1</v>
      </c>
      <c r="AA30" s="525">
        <v>1</v>
      </c>
      <c r="AB30" s="525">
        <v>1</v>
      </c>
      <c r="AC30" s="525">
        <v>1</v>
      </c>
      <c r="AD30" s="525">
        <v>1</v>
      </c>
      <c r="AE30" s="525">
        <v>1</v>
      </c>
      <c r="AF30" s="526">
        <v>0</v>
      </c>
      <c r="AG30" s="523">
        <v>1</v>
      </c>
      <c r="AH30" s="172">
        <v>1</v>
      </c>
      <c r="AI30" s="172">
        <v>1</v>
      </c>
      <c r="AJ30" s="172">
        <v>1</v>
      </c>
      <c r="AK30" s="172">
        <v>1</v>
      </c>
      <c r="AM30" s="528">
        <v>21</v>
      </c>
    </row>
    <row r="31" spans="1:40" s="527" customFormat="1" ht="15.75" thickBot="1" x14ac:dyDescent="0.3">
      <c r="A31" s="524" t="s">
        <v>233</v>
      </c>
      <c r="B31" s="525">
        <v>1</v>
      </c>
      <c r="C31" s="525">
        <v>1</v>
      </c>
      <c r="D31" s="525">
        <v>1</v>
      </c>
      <c r="E31" s="525">
        <v>0</v>
      </c>
      <c r="F31" s="525">
        <v>1</v>
      </c>
      <c r="G31" s="525">
        <v>1</v>
      </c>
      <c r="H31" s="525">
        <v>1</v>
      </c>
      <c r="I31" s="525">
        <v>1</v>
      </c>
      <c r="J31" s="525">
        <v>1</v>
      </c>
      <c r="K31" s="525">
        <v>1</v>
      </c>
      <c r="L31" s="525">
        <v>1</v>
      </c>
      <c r="M31" s="525">
        <v>1</v>
      </c>
      <c r="N31" s="525">
        <v>1</v>
      </c>
      <c r="O31" s="525">
        <v>1</v>
      </c>
      <c r="P31" s="525">
        <v>1</v>
      </c>
      <c r="Q31" s="525">
        <v>1</v>
      </c>
      <c r="R31" s="525">
        <v>1</v>
      </c>
      <c r="S31" s="525">
        <v>1</v>
      </c>
      <c r="T31" s="525">
        <v>1</v>
      </c>
      <c r="U31" s="525">
        <v>1</v>
      </c>
      <c r="V31" s="525">
        <v>1</v>
      </c>
      <c r="W31" s="525">
        <v>1</v>
      </c>
      <c r="X31" s="525">
        <v>1</v>
      </c>
      <c r="Y31" s="525">
        <v>1</v>
      </c>
      <c r="Z31" s="525">
        <v>1</v>
      </c>
      <c r="AA31" s="525">
        <v>1</v>
      </c>
      <c r="AB31" s="525">
        <v>1</v>
      </c>
      <c r="AC31" s="525">
        <v>1</v>
      </c>
      <c r="AD31" s="525">
        <v>1</v>
      </c>
      <c r="AE31" s="525">
        <v>1</v>
      </c>
      <c r="AF31" s="526">
        <v>0</v>
      </c>
      <c r="AG31" s="523">
        <v>1</v>
      </c>
      <c r="AH31" s="172">
        <v>1</v>
      </c>
      <c r="AI31" s="172">
        <v>1</v>
      </c>
      <c r="AJ31" s="172">
        <v>1</v>
      </c>
      <c r="AK31" s="172">
        <v>1</v>
      </c>
      <c r="AM31" s="528">
        <v>22</v>
      </c>
    </row>
    <row r="32" spans="1:40" s="527" customFormat="1" ht="15.75" thickBot="1" x14ac:dyDescent="0.3">
      <c r="A32" s="524" t="s">
        <v>234</v>
      </c>
      <c r="B32" s="525">
        <v>1</v>
      </c>
      <c r="C32" s="525">
        <v>1</v>
      </c>
      <c r="D32" s="525">
        <v>1</v>
      </c>
      <c r="E32" s="525">
        <v>0</v>
      </c>
      <c r="F32" s="525">
        <v>1</v>
      </c>
      <c r="G32" s="525">
        <v>1</v>
      </c>
      <c r="H32" s="525">
        <v>1</v>
      </c>
      <c r="I32" s="525">
        <v>1</v>
      </c>
      <c r="J32" s="525">
        <v>1</v>
      </c>
      <c r="K32" s="525">
        <v>1</v>
      </c>
      <c r="L32" s="525">
        <v>1</v>
      </c>
      <c r="M32" s="525">
        <v>1</v>
      </c>
      <c r="N32" s="525">
        <v>1</v>
      </c>
      <c r="O32" s="525">
        <v>1</v>
      </c>
      <c r="P32" s="525">
        <v>1</v>
      </c>
      <c r="Q32" s="525">
        <v>1</v>
      </c>
      <c r="R32" s="525">
        <v>1</v>
      </c>
      <c r="S32" s="525">
        <v>1</v>
      </c>
      <c r="T32" s="525">
        <v>1</v>
      </c>
      <c r="U32" s="525">
        <v>1</v>
      </c>
      <c r="V32" s="525">
        <v>1</v>
      </c>
      <c r="W32" s="525">
        <v>1</v>
      </c>
      <c r="X32" s="525">
        <v>1</v>
      </c>
      <c r="Y32" s="525">
        <v>1</v>
      </c>
      <c r="Z32" s="525">
        <v>1</v>
      </c>
      <c r="AA32" s="525">
        <v>1</v>
      </c>
      <c r="AB32" s="525">
        <v>1</v>
      </c>
      <c r="AC32" s="525">
        <v>1</v>
      </c>
      <c r="AD32" s="525">
        <v>1</v>
      </c>
      <c r="AE32" s="525">
        <v>1</v>
      </c>
      <c r="AF32" s="526">
        <v>0</v>
      </c>
      <c r="AG32" s="523">
        <v>1</v>
      </c>
      <c r="AH32" s="172">
        <v>1</v>
      </c>
      <c r="AI32" s="172">
        <v>1</v>
      </c>
      <c r="AJ32" s="172">
        <v>1</v>
      </c>
      <c r="AK32" s="172">
        <v>1</v>
      </c>
      <c r="AM32" s="528">
        <v>23</v>
      </c>
    </row>
    <row r="33" spans="1:39" s="527" customFormat="1" ht="15.75" thickBot="1" x14ac:dyDescent="0.3">
      <c r="A33" s="524" t="s">
        <v>235</v>
      </c>
      <c r="B33" s="525">
        <v>1</v>
      </c>
      <c r="C33" s="525">
        <v>1</v>
      </c>
      <c r="D33" s="525">
        <v>1</v>
      </c>
      <c r="E33" s="525">
        <v>0</v>
      </c>
      <c r="F33" s="525">
        <v>1</v>
      </c>
      <c r="G33" s="525">
        <v>1</v>
      </c>
      <c r="H33" s="525">
        <v>1</v>
      </c>
      <c r="I33" s="525">
        <v>1</v>
      </c>
      <c r="J33" s="525">
        <v>1</v>
      </c>
      <c r="K33" s="525">
        <v>1</v>
      </c>
      <c r="L33" s="525">
        <v>1</v>
      </c>
      <c r="M33" s="525">
        <v>1</v>
      </c>
      <c r="N33" s="525">
        <v>1</v>
      </c>
      <c r="O33" s="525">
        <v>1</v>
      </c>
      <c r="P33" s="525">
        <v>1</v>
      </c>
      <c r="Q33" s="525">
        <v>1</v>
      </c>
      <c r="R33" s="525">
        <v>1</v>
      </c>
      <c r="S33" s="525">
        <v>1</v>
      </c>
      <c r="T33" s="525">
        <v>1</v>
      </c>
      <c r="U33" s="525">
        <v>1</v>
      </c>
      <c r="V33" s="525">
        <v>1</v>
      </c>
      <c r="W33" s="525">
        <v>1</v>
      </c>
      <c r="X33" s="525">
        <v>1</v>
      </c>
      <c r="Y33" s="525">
        <v>1</v>
      </c>
      <c r="Z33" s="525">
        <v>1</v>
      </c>
      <c r="AA33" s="525">
        <v>1</v>
      </c>
      <c r="AB33" s="525">
        <v>1</v>
      </c>
      <c r="AC33" s="525">
        <v>1</v>
      </c>
      <c r="AD33" s="525">
        <v>1</v>
      </c>
      <c r="AE33" s="525">
        <v>1</v>
      </c>
      <c r="AF33" s="526">
        <v>0</v>
      </c>
      <c r="AG33" s="523">
        <v>1</v>
      </c>
      <c r="AH33" s="172">
        <v>1</v>
      </c>
      <c r="AI33" s="172">
        <v>1</v>
      </c>
      <c r="AJ33" s="172">
        <v>1</v>
      </c>
      <c r="AK33" s="172">
        <v>1</v>
      </c>
      <c r="AM33" s="528">
        <v>24</v>
      </c>
    </row>
    <row r="34" spans="1:39" s="527" customFormat="1" ht="15.75" thickBot="1" x14ac:dyDescent="0.3">
      <c r="A34" s="524" t="s">
        <v>236</v>
      </c>
      <c r="B34" s="525">
        <v>1</v>
      </c>
      <c r="C34" s="525">
        <v>1</v>
      </c>
      <c r="D34" s="525">
        <v>1</v>
      </c>
      <c r="E34" s="525">
        <v>0</v>
      </c>
      <c r="F34" s="525">
        <v>1</v>
      </c>
      <c r="G34" s="525">
        <v>1</v>
      </c>
      <c r="H34" s="525">
        <v>1</v>
      </c>
      <c r="I34" s="525">
        <v>1</v>
      </c>
      <c r="J34" s="525">
        <v>1</v>
      </c>
      <c r="K34" s="525">
        <v>1</v>
      </c>
      <c r="L34" s="525">
        <v>1</v>
      </c>
      <c r="M34" s="525">
        <v>1</v>
      </c>
      <c r="N34" s="525">
        <v>1</v>
      </c>
      <c r="O34" s="525">
        <v>1</v>
      </c>
      <c r="P34" s="525">
        <v>1</v>
      </c>
      <c r="Q34" s="525">
        <v>1</v>
      </c>
      <c r="R34" s="525">
        <v>1</v>
      </c>
      <c r="S34" s="525">
        <v>1</v>
      </c>
      <c r="T34" s="525">
        <v>1</v>
      </c>
      <c r="U34" s="525">
        <v>1</v>
      </c>
      <c r="V34" s="525">
        <v>1</v>
      </c>
      <c r="W34" s="525">
        <v>1</v>
      </c>
      <c r="X34" s="525">
        <v>1</v>
      </c>
      <c r="Y34" s="525">
        <v>1</v>
      </c>
      <c r="Z34" s="525">
        <v>1</v>
      </c>
      <c r="AA34" s="525">
        <v>1</v>
      </c>
      <c r="AB34" s="525">
        <v>1</v>
      </c>
      <c r="AC34" s="525">
        <v>1</v>
      </c>
      <c r="AD34" s="525">
        <v>1</v>
      </c>
      <c r="AE34" s="525">
        <v>1</v>
      </c>
      <c r="AF34" s="526">
        <v>0</v>
      </c>
      <c r="AG34" s="523">
        <v>1</v>
      </c>
      <c r="AH34" s="172">
        <v>0</v>
      </c>
      <c r="AI34" s="172">
        <v>0</v>
      </c>
      <c r="AJ34" s="172">
        <v>0</v>
      </c>
      <c r="AK34" s="172">
        <v>0</v>
      </c>
      <c r="AM34" s="528">
        <v>25</v>
      </c>
    </row>
    <row r="35" spans="1:39" s="527" customFormat="1" ht="15.75" thickBot="1" x14ac:dyDescent="0.3">
      <c r="A35" s="524" t="s">
        <v>237</v>
      </c>
      <c r="B35" s="525">
        <v>0</v>
      </c>
      <c r="C35" s="525">
        <v>0</v>
      </c>
      <c r="D35" s="525">
        <v>0</v>
      </c>
      <c r="E35" s="525">
        <v>0</v>
      </c>
      <c r="F35" s="525">
        <v>0</v>
      </c>
      <c r="G35" s="525">
        <v>0</v>
      </c>
      <c r="H35" s="525">
        <v>0</v>
      </c>
      <c r="I35" s="525">
        <v>0</v>
      </c>
      <c r="J35" s="525">
        <v>0</v>
      </c>
      <c r="K35" s="525">
        <v>0</v>
      </c>
      <c r="L35" s="525">
        <v>0</v>
      </c>
      <c r="M35" s="525">
        <v>0</v>
      </c>
      <c r="N35" s="525">
        <v>0</v>
      </c>
      <c r="O35" s="525">
        <v>0</v>
      </c>
      <c r="P35" s="525">
        <v>0</v>
      </c>
      <c r="Q35" s="525">
        <v>0</v>
      </c>
      <c r="R35" s="525">
        <v>0</v>
      </c>
      <c r="S35" s="525">
        <v>0</v>
      </c>
      <c r="T35" s="525">
        <v>0</v>
      </c>
      <c r="U35" s="525">
        <v>0</v>
      </c>
      <c r="V35" s="525">
        <v>0</v>
      </c>
      <c r="W35" s="525">
        <v>0</v>
      </c>
      <c r="X35" s="525">
        <v>0</v>
      </c>
      <c r="Y35" s="525">
        <v>0</v>
      </c>
      <c r="Z35" s="525">
        <v>0</v>
      </c>
      <c r="AA35" s="525">
        <v>0</v>
      </c>
      <c r="AB35" s="525">
        <v>0</v>
      </c>
      <c r="AC35" s="525">
        <v>1</v>
      </c>
      <c r="AD35" s="525">
        <v>0</v>
      </c>
      <c r="AE35" s="525">
        <v>0</v>
      </c>
      <c r="AF35" s="526">
        <v>0</v>
      </c>
      <c r="AG35" s="523">
        <v>1</v>
      </c>
      <c r="AH35" s="172">
        <v>1</v>
      </c>
      <c r="AI35" s="172">
        <v>1</v>
      </c>
      <c r="AJ35" s="172">
        <v>1</v>
      </c>
      <c r="AK35" s="172">
        <v>1</v>
      </c>
    </row>
    <row r="36" spans="1:39" s="527" customFormat="1" ht="15.75" thickBot="1" x14ac:dyDescent="0.3">
      <c r="A36" s="524" t="s">
        <v>238</v>
      </c>
      <c r="B36" s="525">
        <v>0</v>
      </c>
      <c r="C36" s="525">
        <v>0</v>
      </c>
      <c r="D36" s="525">
        <v>0</v>
      </c>
      <c r="E36" s="525">
        <v>0</v>
      </c>
      <c r="F36" s="525">
        <v>0</v>
      </c>
      <c r="G36" s="525">
        <v>0</v>
      </c>
      <c r="H36" s="525">
        <v>0</v>
      </c>
      <c r="I36" s="525">
        <v>0</v>
      </c>
      <c r="J36" s="525">
        <v>1</v>
      </c>
      <c r="K36" s="525">
        <v>0</v>
      </c>
      <c r="L36" s="525">
        <v>0</v>
      </c>
      <c r="M36" s="525">
        <v>0</v>
      </c>
      <c r="N36" s="525">
        <v>0</v>
      </c>
      <c r="O36" s="525">
        <v>0</v>
      </c>
      <c r="P36" s="525">
        <v>0</v>
      </c>
      <c r="Q36" s="525">
        <v>0</v>
      </c>
      <c r="R36" s="525">
        <v>0</v>
      </c>
      <c r="S36" s="525">
        <v>0</v>
      </c>
      <c r="T36" s="525">
        <v>0</v>
      </c>
      <c r="U36" s="525">
        <v>0</v>
      </c>
      <c r="V36" s="525">
        <v>0</v>
      </c>
      <c r="W36" s="525">
        <v>0</v>
      </c>
      <c r="X36" s="525">
        <v>0</v>
      </c>
      <c r="Y36" s="525">
        <v>0</v>
      </c>
      <c r="Z36" s="525">
        <v>0</v>
      </c>
      <c r="AA36" s="525">
        <v>0</v>
      </c>
      <c r="AB36" s="525">
        <v>0</v>
      </c>
      <c r="AC36" s="525">
        <v>0</v>
      </c>
      <c r="AD36" s="525">
        <v>0</v>
      </c>
      <c r="AE36" s="525">
        <v>0</v>
      </c>
      <c r="AF36" s="526">
        <v>0</v>
      </c>
      <c r="AG36" s="523">
        <v>1</v>
      </c>
      <c r="AH36" s="172">
        <v>1</v>
      </c>
      <c r="AI36" s="172">
        <v>1</v>
      </c>
      <c r="AJ36" s="172">
        <v>1</v>
      </c>
      <c r="AK36" s="172">
        <v>1</v>
      </c>
    </row>
    <row r="37" spans="1:39" s="527" customFormat="1" ht="15.75" thickBot="1" x14ac:dyDescent="0.3">
      <c r="A37" s="524" t="s">
        <v>239</v>
      </c>
      <c r="B37" s="525">
        <v>0</v>
      </c>
      <c r="C37" s="525">
        <v>0</v>
      </c>
      <c r="D37" s="525">
        <v>0</v>
      </c>
      <c r="E37" s="525">
        <v>0</v>
      </c>
      <c r="F37" s="525">
        <v>0</v>
      </c>
      <c r="G37" s="525">
        <v>0</v>
      </c>
      <c r="H37" s="525">
        <v>0</v>
      </c>
      <c r="I37" s="525">
        <v>0</v>
      </c>
      <c r="J37" s="525">
        <v>0</v>
      </c>
      <c r="K37" s="525">
        <v>0</v>
      </c>
      <c r="L37" s="525">
        <v>0</v>
      </c>
      <c r="M37" s="525">
        <v>0</v>
      </c>
      <c r="N37" s="525">
        <v>0</v>
      </c>
      <c r="O37" s="525">
        <v>0</v>
      </c>
      <c r="P37" s="525">
        <v>0</v>
      </c>
      <c r="Q37" s="525">
        <v>0</v>
      </c>
      <c r="R37" s="525">
        <v>0</v>
      </c>
      <c r="S37" s="525">
        <v>0</v>
      </c>
      <c r="T37" s="525">
        <v>0</v>
      </c>
      <c r="U37" s="525">
        <v>0</v>
      </c>
      <c r="V37" s="525">
        <v>0</v>
      </c>
      <c r="W37" s="525">
        <v>0</v>
      </c>
      <c r="X37" s="525">
        <v>0</v>
      </c>
      <c r="Y37" s="525">
        <v>0</v>
      </c>
      <c r="Z37" s="525">
        <v>1</v>
      </c>
      <c r="AA37" s="525">
        <v>0</v>
      </c>
      <c r="AB37" s="525">
        <v>0</v>
      </c>
      <c r="AC37" s="525">
        <v>0</v>
      </c>
      <c r="AD37" s="525">
        <v>0</v>
      </c>
      <c r="AE37" s="525">
        <v>0</v>
      </c>
      <c r="AF37" s="526">
        <v>0</v>
      </c>
      <c r="AG37" s="523">
        <v>1</v>
      </c>
      <c r="AH37" s="172">
        <v>1</v>
      </c>
      <c r="AI37" s="172">
        <v>1</v>
      </c>
      <c r="AJ37" s="172">
        <v>1</v>
      </c>
      <c r="AK37" s="172">
        <v>1</v>
      </c>
    </row>
    <row r="38" spans="1:39" s="527" customFormat="1" ht="15.75" thickBot="1" x14ac:dyDescent="0.3">
      <c r="A38" s="524" t="s">
        <v>240</v>
      </c>
      <c r="B38" s="172">
        <v>1</v>
      </c>
      <c r="C38" s="172">
        <v>1</v>
      </c>
      <c r="D38" s="172">
        <v>1</v>
      </c>
      <c r="E38" s="525">
        <v>0</v>
      </c>
      <c r="F38" s="172">
        <v>1</v>
      </c>
      <c r="G38" s="172">
        <v>1</v>
      </c>
      <c r="H38" s="172">
        <v>1</v>
      </c>
      <c r="I38" s="172">
        <v>1</v>
      </c>
      <c r="J38" s="172">
        <v>1</v>
      </c>
      <c r="K38" s="172">
        <v>1</v>
      </c>
      <c r="L38" s="172">
        <v>1</v>
      </c>
      <c r="M38" s="172">
        <v>1</v>
      </c>
      <c r="N38" s="172">
        <v>1</v>
      </c>
      <c r="O38" s="172">
        <v>1</v>
      </c>
      <c r="P38" s="172">
        <v>1</v>
      </c>
      <c r="Q38" s="172">
        <v>1</v>
      </c>
      <c r="R38" s="172">
        <v>1</v>
      </c>
      <c r="S38" s="172">
        <v>1</v>
      </c>
      <c r="T38" s="172">
        <v>1</v>
      </c>
      <c r="U38" s="172">
        <v>1</v>
      </c>
      <c r="V38" s="172">
        <v>1</v>
      </c>
      <c r="W38" s="172">
        <v>1</v>
      </c>
      <c r="X38" s="172">
        <v>1</v>
      </c>
      <c r="Y38" s="172">
        <v>1</v>
      </c>
      <c r="Z38" s="172">
        <v>1</v>
      </c>
      <c r="AA38" s="172">
        <v>1</v>
      </c>
      <c r="AB38" s="172">
        <v>1</v>
      </c>
      <c r="AC38" s="172">
        <v>1</v>
      </c>
      <c r="AD38" s="172">
        <v>1</v>
      </c>
      <c r="AE38" s="172">
        <v>1</v>
      </c>
      <c r="AF38" s="522">
        <v>0</v>
      </c>
      <c r="AG38" s="523">
        <v>1</v>
      </c>
      <c r="AH38" s="172">
        <v>1</v>
      </c>
      <c r="AI38" s="172">
        <v>1</v>
      </c>
      <c r="AJ38" s="172">
        <v>1</v>
      </c>
      <c r="AK38" s="172">
        <v>1</v>
      </c>
    </row>
    <row r="39" spans="1:39" s="527" customFormat="1" ht="15.75" thickBot="1" x14ac:dyDescent="0.3">
      <c r="A39" s="524" t="s">
        <v>241</v>
      </c>
      <c r="B39" s="525">
        <v>1</v>
      </c>
      <c r="C39" s="525">
        <v>1</v>
      </c>
      <c r="D39" s="525">
        <v>1</v>
      </c>
      <c r="E39" s="525">
        <v>0</v>
      </c>
      <c r="F39" s="525">
        <v>1</v>
      </c>
      <c r="G39" s="525">
        <v>1</v>
      </c>
      <c r="H39" s="525">
        <v>1</v>
      </c>
      <c r="I39" s="525">
        <v>1</v>
      </c>
      <c r="J39" s="525">
        <v>1</v>
      </c>
      <c r="K39" s="525">
        <v>1</v>
      </c>
      <c r="L39" s="525">
        <v>1</v>
      </c>
      <c r="M39" s="525">
        <v>1</v>
      </c>
      <c r="N39" s="525">
        <v>1</v>
      </c>
      <c r="O39" s="525">
        <v>1</v>
      </c>
      <c r="P39" s="525">
        <v>1</v>
      </c>
      <c r="Q39" s="525">
        <v>1</v>
      </c>
      <c r="R39" s="525">
        <v>1</v>
      </c>
      <c r="S39" s="525">
        <v>1</v>
      </c>
      <c r="T39" s="525">
        <v>1</v>
      </c>
      <c r="U39" s="525">
        <v>1</v>
      </c>
      <c r="V39" s="525">
        <v>1</v>
      </c>
      <c r="W39" s="525">
        <v>1</v>
      </c>
      <c r="X39" s="525">
        <v>1</v>
      </c>
      <c r="Y39" s="525">
        <v>1</v>
      </c>
      <c r="Z39" s="525">
        <v>1</v>
      </c>
      <c r="AA39" s="525">
        <v>1</v>
      </c>
      <c r="AB39" s="525">
        <v>1</v>
      </c>
      <c r="AC39" s="525">
        <v>1</v>
      </c>
      <c r="AD39" s="525">
        <v>1</v>
      </c>
      <c r="AE39" s="525">
        <v>1</v>
      </c>
      <c r="AF39" s="526">
        <v>0</v>
      </c>
      <c r="AG39" s="523">
        <v>1</v>
      </c>
      <c r="AH39" s="172">
        <v>1</v>
      </c>
      <c r="AI39" s="172">
        <v>1</v>
      </c>
      <c r="AJ39" s="172">
        <v>1</v>
      </c>
      <c r="AK39" s="172">
        <v>1</v>
      </c>
    </row>
    <row r="40" spans="1:39" s="527" customFormat="1" ht="15.75" thickBot="1" x14ac:dyDescent="0.3">
      <c r="A40" s="524" t="s">
        <v>242</v>
      </c>
      <c r="B40" s="525">
        <v>1</v>
      </c>
      <c r="C40" s="525">
        <v>1</v>
      </c>
      <c r="D40" s="525">
        <v>1</v>
      </c>
      <c r="E40" s="525">
        <v>0</v>
      </c>
      <c r="F40" s="525">
        <v>1</v>
      </c>
      <c r="G40" s="525">
        <v>1</v>
      </c>
      <c r="H40" s="525">
        <v>1</v>
      </c>
      <c r="I40" s="525">
        <v>1</v>
      </c>
      <c r="J40" s="525">
        <v>1</v>
      </c>
      <c r="K40" s="525">
        <v>1</v>
      </c>
      <c r="L40" s="525">
        <v>1</v>
      </c>
      <c r="M40" s="525">
        <v>1</v>
      </c>
      <c r="N40" s="525">
        <v>1</v>
      </c>
      <c r="O40" s="525">
        <v>1</v>
      </c>
      <c r="P40" s="525">
        <v>1</v>
      </c>
      <c r="Q40" s="525">
        <v>1</v>
      </c>
      <c r="R40" s="525">
        <v>1</v>
      </c>
      <c r="S40" s="525">
        <v>1</v>
      </c>
      <c r="T40" s="525">
        <v>1</v>
      </c>
      <c r="U40" s="525">
        <v>1</v>
      </c>
      <c r="V40" s="525">
        <v>1</v>
      </c>
      <c r="W40" s="525">
        <v>1</v>
      </c>
      <c r="X40" s="525">
        <v>1</v>
      </c>
      <c r="Y40" s="525">
        <v>1</v>
      </c>
      <c r="Z40" s="525">
        <v>1</v>
      </c>
      <c r="AA40" s="525">
        <v>1</v>
      </c>
      <c r="AB40" s="525">
        <v>1</v>
      </c>
      <c r="AC40" s="525">
        <v>1</v>
      </c>
      <c r="AD40" s="525">
        <v>1</v>
      </c>
      <c r="AE40" s="525">
        <v>1</v>
      </c>
      <c r="AF40" s="526">
        <v>0</v>
      </c>
      <c r="AG40" s="523">
        <v>1</v>
      </c>
      <c r="AH40" s="172">
        <v>1</v>
      </c>
      <c r="AI40" s="172">
        <v>1</v>
      </c>
      <c r="AJ40" s="172">
        <v>1</v>
      </c>
      <c r="AK40" s="172">
        <v>1</v>
      </c>
    </row>
    <row r="41" spans="1:39" s="527" customFormat="1" ht="15.75" thickBot="1" x14ac:dyDescent="0.3">
      <c r="A41" s="524" t="s">
        <v>243</v>
      </c>
      <c r="B41" s="525">
        <v>1</v>
      </c>
      <c r="C41" s="525">
        <v>1</v>
      </c>
      <c r="D41" s="525">
        <v>1</v>
      </c>
      <c r="E41" s="525">
        <v>0</v>
      </c>
      <c r="F41" s="525">
        <v>1</v>
      </c>
      <c r="G41" s="525">
        <v>1</v>
      </c>
      <c r="H41" s="525">
        <v>1</v>
      </c>
      <c r="I41" s="525">
        <v>1</v>
      </c>
      <c r="J41" s="525">
        <v>1</v>
      </c>
      <c r="K41" s="525">
        <v>1</v>
      </c>
      <c r="L41" s="525">
        <v>1</v>
      </c>
      <c r="M41" s="525">
        <v>1</v>
      </c>
      <c r="N41" s="525">
        <v>1</v>
      </c>
      <c r="O41" s="525">
        <v>1</v>
      </c>
      <c r="P41" s="525">
        <v>1</v>
      </c>
      <c r="Q41" s="525">
        <v>1</v>
      </c>
      <c r="R41" s="525">
        <v>1</v>
      </c>
      <c r="S41" s="525">
        <v>1</v>
      </c>
      <c r="T41" s="525">
        <v>1</v>
      </c>
      <c r="U41" s="525">
        <v>1</v>
      </c>
      <c r="V41" s="525">
        <v>1</v>
      </c>
      <c r="W41" s="525">
        <v>1</v>
      </c>
      <c r="X41" s="525">
        <v>1</v>
      </c>
      <c r="Y41" s="525">
        <v>1</v>
      </c>
      <c r="Z41" s="525">
        <v>1</v>
      </c>
      <c r="AA41" s="525">
        <v>1</v>
      </c>
      <c r="AB41" s="525">
        <v>1</v>
      </c>
      <c r="AC41" s="525">
        <v>1</v>
      </c>
      <c r="AD41" s="525">
        <v>1</v>
      </c>
      <c r="AE41" s="525">
        <v>1</v>
      </c>
      <c r="AF41" s="526">
        <v>0</v>
      </c>
      <c r="AG41" s="523">
        <v>1</v>
      </c>
      <c r="AH41" s="172">
        <v>1</v>
      </c>
      <c r="AI41" s="172">
        <v>1</v>
      </c>
      <c r="AJ41" s="172">
        <v>1</v>
      </c>
      <c r="AK41" s="172">
        <v>1</v>
      </c>
    </row>
    <row r="42" spans="1:39" s="527" customFormat="1" ht="15.75" thickBot="1" x14ac:dyDescent="0.3">
      <c r="A42" s="524" t="s">
        <v>244</v>
      </c>
      <c r="B42" s="525">
        <v>1</v>
      </c>
      <c r="C42" s="525">
        <v>1</v>
      </c>
      <c r="D42" s="525">
        <v>1</v>
      </c>
      <c r="E42" s="525">
        <v>0</v>
      </c>
      <c r="F42" s="525">
        <v>1</v>
      </c>
      <c r="G42" s="525">
        <v>1</v>
      </c>
      <c r="H42" s="525">
        <v>1</v>
      </c>
      <c r="I42" s="525">
        <v>1</v>
      </c>
      <c r="J42" s="525">
        <v>1</v>
      </c>
      <c r="K42" s="525">
        <v>1</v>
      </c>
      <c r="L42" s="525">
        <v>1</v>
      </c>
      <c r="M42" s="525">
        <v>1</v>
      </c>
      <c r="N42" s="525">
        <v>1</v>
      </c>
      <c r="O42" s="525">
        <v>1</v>
      </c>
      <c r="P42" s="525">
        <v>1</v>
      </c>
      <c r="Q42" s="525">
        <v>1</v>
      </c>
      <c r="R42" s="525">
        <v>1</v>
      </c>
      <c r="S42" s="525">
        <v>1</v>
      </c>
      <c r="T42" s="525">
        <v>1</v>
      </c>
      <c r="U42" s="525">
        <v>1</v>
      </c>
      <c r="V42" s="525">
        <v>1</v>
      </c>
      <c r="W42" s="525">
        <v>1</v>
      </c>
      <c r="X42" s="525">
        <v>1</v>
      </c>
      <c r="Y42" s="525">
        <v>1</v>
      </c>
      <c r="Z42" s="525">
        <v>1</v>
      </c>
      <c r="AA42" s="525">
        <v>1</v>
      </c>
      <c r="AB42" s="525">
        <v>1</v>
      </c>
      <c r="AC42" s="525">
        <v>1</v>
      </c>
      <c r="AD42" s="525">
        <v>1</v>
      </c>
      <c r="AE42" s="525">
        <v>1</v>
      </c>
      <c r="AF42" s="526">
        <v>0</v>
      </c>
      <c r="AG42" s="523">
        <v>1</v>
      </c>
      <c r="AH42" s="172">
        <v>1</v>
      </c>
      <c r="AI42" s="172">
        <v>1</v>
      </c>
      <c r="AJ42" s="172">
        <v>1</v>
      </c>
      <c r="AK42" s="172">
        <v>1</v>
      </c>
    </row>
    <row r="43" spans="1:39" s="527" customFormat="1" ht="15.75" thickBot="1" x14ac:dyDescent="0.3">
      <c r="A43" s="524" t="s">
        <v>245</v>
      </c>
      <c r="B43" s="525">
        <v>1</v>
      </c>
      <c r="C43" s="525">
        <v>1</v>
      </c>
      <c r="D43" s="525">
        <v>1</v>
      </c>
      <c r="E43" s="525">
        <v>0</v>
      </c>
      <c r="F43" s="525">
        <v>1</v>
      </c>
      <c r="G43" s="525">
        <v>1</v>
      </c>
      <c r="H43" s="525">
        <v>1</v>
      </c>
      <c r="I43" s="525">
        <v>1</v>
      </c>
      <c r="J43" s="525">
        <v>1</v>
      </c>
      <c r="K43" s="525">
        <v>1</v>
      </c>
      <c r="L43" s="525">
        <v>1</v>
      </c>
      <c r="M43" s="525">
        <v>1</v>
      </c>
      <c r="N43" s="525">
        <v>1</v>
      </c>
      <c r="O43" s="525">
        <v>1</v>
      </c>
      <c r="P43" s="525">
        <v>1</v>
      </c>
      <c r="Q43" s="525">
        <v>1</v>
      </c>
      <c r="R43" s="525">
        <v>1</v>
      </c>
      <c r="S43" s="525">
        <v>1</v>
      </c>
      <c r="T43" s="525">
        <v>1</v>
      </c>
      <c r="U43" s="525">
        <v>1</v>
      </c>
      <c r="V43" s="525">
        <v>1</v>
      </c>
      <c r="W43" s="525">
        <v>1</v>
      </c>
      <c r="X43" s="525">
        <v>1</v>
      </c>
      <c r="Y43" s="525">
        <v>1</v>
      </c>
      <c r="Z43" s="525">
        <v>1</v>
      </c>
      <c r="AA43" s="525">
        <v>1</v>
      </c>
      <c r="AB43" s="525">
        <v>1</v>
      </c>
      <c r="AC43" s="525">
        <v>1</v>
      </c>
      <c r="AD43" s="525">
        <v>1</v>
      </c>
      <c r="AE43" s="525">
        <v>1</v>
      </c>
      <c r="AF43" s="526">
        <v>0</v>
      </c>
      <c r="AG43" s="523">
        <v>1</v>
      </c>
      <c r="AH43" s="172">
        <v>1</v>
      </c>
      <c r="AI43" s="172">
        <v>1</v>
      </c>
      <c r="AJ43" s="172">
        <v>1</v>
      </c>
      <c r="AK43" s="172">
        <v>1</v>
      </c>
    </row>
    <row r="44" spans="1:39" s="527" customFormat="1" ht="15.75" thickBot="1" x14ac:dyDescent="0.3">
      <c r="A44" s="524" t="s">
        <v>246</v>
      </c>
      <c r="B44" s="172">
        <v>0</v>
      </c>
      <c r="C44" s="172">
        <v>0</v>
      </c>
      <c r="D44" s="172">
        <v>0</v>
      </c>
      <c r="E44" s="525">
        <v>0</v>
      </c>
      <c r="F44" s="172">
        <v>0</v>
      </c>
      <c r="G44" s="172">
        <v>0</v>
      </c>
      <c r="H44" s="172">
        <v>0</v>
      </c>
      <c r="I44" s="172">
        <v>0</v>
      </c>
      <c r="J44" s="172">
        <v>0</v>
      </c>
      <c r="K44" s="172">
        <v>0</v>
      </c>
      <c r="L44" s="172">
        <v>0</v>
      </c>
      <c r="M44" s="172">
        <v>0</v>
      </c>
      <c r="N44" s="172">
        <v>0</v>
      </c>
      <c r="O44" s="172">
        <v>0</v>
      </c>
      <c r="P44" s="172">
        <v>0</v>
      </c>
      <c r="Q44" s="172">
        <v>0</v>
      </c>
      <c r="R44" s="172">
        <v>0</v>
      </c>
      <c r="S44" s="172">
        <v>0</v>
      </c>
      <c r="T44" s="172">
        <v>0</v>
      </c>
      <c r="U44" s="172">
        <v>0</v>
      </c>
      <c r="V44" s="172">
        <v>0</v>
      </c>
      <c r="W44" s="172">
        <v>0</v>
      </c>
      <c r="X44" s="172">
        <v>0</v>
      </c>
      <c r="Y44" s="172">
        <v>0</v>
      </c>
      <c r="Z44" s="172">
        <v>0</v>
      </c>
      <c r="AA44" s="172">
        <v>1</v>
      </c>
      <c r="AB44" s="172">
        <v>0</v>
      </c>
      <c r="AC44" s="172">
        <v>0</v>
      </c>
      <c r="AD44" s="172">
        <v>0</v>
      </c>
      <c r="AE44" s="172">
        <v>0</v>
      </c>
      <c r="AF44" s="522">
        <v>0</v>
      </c>
      <c r="AG44" s="523">
        <v>1</v>
      </c>
      <c r="AH44" s="172">
        <v>1</v>
      </c>
      <c r="AI44" s="172">
        <v>1</v>
      </c>
      <c r="AJ44" s="172">
        <v>1</v>
      </c>
      <c r="AK44" s="172">
        <v>1</v>
      </c>
    </row>
    <row r="45" spans="1:39" s="527" customFormat="1" ht="15.75" thickBot="1" x14ac:dyDescent="0.3">
      <c r="A45" s="524" t="s">
        <v>247</v>
      </c>
      <c r="B45" s="525">
        <v>1</v>
      </c>
      <c r="C45" s="525">
        <v>1</v>
      </c>
      <c r="D45" s="525">
        <v>1</v>
      </c>
      <c r="E45" s="525">
        <v>0</v>
      </c>
      <c r="F45" s="525">
        <v>1</v>
      </c>
      <c r="G45" s="525">
        <v>1</v>
      </c>
      <c r="H45" s="525">
        <v>1</v>
      </c>
      <c r="I45" s="525">
        <v>1</v>
      </c>
      <c r="J45" s="525">
        <v>1</v>
      </c>
      <c r="K45" s="525">
        <v>1</v>
      </c>
      <c r="L45" s="525">
        <v>1</v>
      </c>
      <c r="M45" s="525">
        <v>1</v>
      </c>
      <c r="N45" s="525">
        <v>1</v>
      </c>
      <c r="O45" s="525">
        <v>1</v>
      </c>
      <c r="P45" s="525">
        <v>1</v>
      </c>
      <c r="Q45" s="525">
        <v>1</v>
      </c>
      <c r="R45" s="525">
        <v>1</v>
      </c>
      <c r="S45" s="525">
        <v>1</v>
      </c>
      <c r="T45" s="525">
        <v>1</v>
      </c>
      <c r="U45" s="525">
        <v>1</v>
      </c>
      <c r="V45" s="525">
        <v>1</v>
      </c>
      <c r="W45" s="525">
        <v>1</v>
      </c>
      <c r="X45" s="525">
        <v>1</v>
      </c>
      <c r="Y45" s="525">
        <v>1</v>
      </c>
      <c r="Z45" s="525">
        <v>0</v>
      </c>
      <c r="AA45" s="525">
        <v>1</v>
      </c>
      <c r="AB45" s="525">
        <v>1</v>
      </c>
      <c r="AC45" s="525">
        <v>1</v>
      </c>
      <c r="AD45" s="525">
        <v>1</v>
      </c>
      <c r="AE45" s="525">
        <v>1</v>
      </c>
      <c r="AF45" s="526">
        <v>0</v>
      </c>
      <c r="AG45" s="523">
        <v>1</v>
      </c>
      <c r="AH45" s="172">
        <v>1</v>
      </c>
      <c r="AI45" s="172">
        <v>1</v>
      </c>
      <c r="AJ45" s="172">
        <v>1</v>
      </c>
      <c r="AK45" s="172">
        <v>1</v>
      </c>
    </row>
    <row r="46" spans="1:39" s="527" customFormat="1" ht="15.75" thickBot="1" x14ac:dyDescent="0.3">
      <c r="A46" s="524" t="s">
        <v>248</v>
      </c>
      <c r="B46" s="525">
        <v>0</v>
      </c>
      <c r="C46" s="525">
        <v>0</v>
      </c>
      <c r="D46" s="525">
        <v>0</v>
      </c>
      <c r="E46" s="525">
        <v>0</v>
      </c>
      <c r="F46" s="525">
        <v>0</v>
      </c>
      <c r="G46" s="525">
        <v>0</v>
      </c>
      <c r="H46" s="525">
        <v>0</v>
      </c>
      <c r="I46" s="525">
        <v>0</v>
      </c>
      <c r="J46" s="525">
        <v>0</v>
      </c>
      <c r="K46" s="525">
        <v>0</v>
      </c>
      <c r="L46" s="525">
        <v>0</v>
      </c>
      <c r="M46" s="525">
        <v>0</v>
      </c>
      <c r="N46" s="525">
        <v>0</v>
      </c>
      <c r="O46" s="525">
        <v>0</v>
      </c>
      <c r="P46" s="525">
        <v>0</v>
      </c>
      <c r="Q46" s="525">
        <v>0</v>
      </c>
      <c r="R46" s="525">
        <v>0</v>
      </c>
      <c r="S46" s="525">
        <v>0</v>
      </c>
      <c r="T46" s="525">
        <v>0</v>
      </c>
      <c r="U46" s="525">
        <v>0</v>
      </c>
      <c r="V46" s="525">
        <v>0</v>
      </c>
      <c r="W46" s="525">
        <v>0</v>
      </c>
      <c r="X46" s="525">
        <v>0</v>
      </c>
      <c r="Y46" s="525">
        <v>0</v>
      </c>
      <c r="Z46" s="525">
        <v>0</v>
      </c>
      <c r="AA46" s="525">
        <v>0</v>
      </c>
      <c r="AB46" s="525">
        <v>0</v>
      </c>
      <c r="AC46" s="525">
        <v>0</v>
      </c>
      <c r="AD46" s="525">
        <v>1</v>
      </c>
      <c r="AE46" s="525">
        <v>0</v>
      </c>
      <c r="AF46" s="526">
        <v>0</v>
      </c>
      <c r="AG46" s="523">
        <v>1</v>
      </c>
      <c r="AH46" s="172">
        <v>1</v>
      </c>
      <c r="AI46" s="172">
        <v>1</v>
      </c>
      <c r="AJ46" s="172">
        <v>1</v>
      </c>
      <c r="AK46" s="172">
        <v>1</v>
      </c>
    </row>
    <row r="47" spans="1:39" s="527" customFormat="1" ht="15.75" thickBot="1" x14ac:dyDescent="0.3">
      <c r="A47" s="524" t="s">
        <v>249</v>
      </c>
      <c r="B47" s="525">
        <v>1</v>
      </c>
      <c r="C47" s="525">
        <v>1</v>
      </c>
      <c r="D47" s="525">
        <v>1</v>
      </c>
      <c r="E47" s="525">
        <v>0</v>
      </c>
      <c r="F47" s="525">
        <v>1</v>
      </c>
      <c r="G47" s="525">
        <v>1</v>
      </c>
      <c r="H47" s="525">
        <v>1</v>
      </c>
      <c r="I47" s="525">
        <v>1</v>
      </c>
      <c r="J47" s="525">
        <v>1</v>
      </c>
      <c r="K47" s="525">
        <v>1</v>
      </c>
      <c r="L47" s="525">
        <v>1</v>
      </c>
      <c r="M47" s="525">
        <v>1</v>
      </c>
      <c r="N47" s="525">
        <v>1</v>
      </c>
      <c r="O47" s="525">
        <v>1</v>
      </c>
      <c r="P47" s="525">
        <v>1</v>
      </c>
      <c r="Q47" s="525">
        <v>1</v>
      </c>
      <c r="R47" s="525">
        <v>1</v>
      </c>
      <c r="S47" s="525">
        <v>1</v>
      </c>
      <c r="T47" s="525">
        <v>1</v>
      </c>
      <c r="U47" s="525">
        <v>1</v>
      </c>
      <c r="V47" s="525">
        <v>1</v>
      </c>
      <c r="W47" s="525">
        <v>1</v>
      </c>
      <c r="X47" s="525">
        <v>1</v>
      </c>
      <c r="Y47" s="525">
        <v>1</v>
      </c>
      <c r="Z47" s="525">
        <v>1</v>
      </c>
      <c r="AA47" s="525">
        <v>1</v>
      </c>
      <c r="AB47" s="525">
        <v>1</v>
      </c>
      <c r="AC47" s="525">
        <v>1</v>
      </c>
      <c r="AD47" s="525">
        <v>1</v>
      </c>
      <c r="AE47" s="525">
        <v>1</v>
      </c>
      <c r="AF47" s="526">
        <v>0</v>
      </c>
      <c r="AG47" s="523">
        <v>1</v>
      </c>
      <c r="AH47" s="172">
        <v>1</v>
      </c>
      <c r="AI47" s="172">
        <v>1</v>
      </c>
      <c r="AJ47" s="172">
        <v>1</v>
      </c>
      <c r="AK47" s="172">
        <v>1</v>
      </c>
    </row>
    <row r="48" spans="1:39" s="527" customFormat="1" ht="15.75" thickBot="1" x14ac:dyDescent="0.3">
      <c r="A48" s="524" t="s">
        <v>250</v>
      </c>
      <c r="B48" s="525">
        <v>1</v>
      </c>
      <c r="C48" s="525">
        <v>1</v>
      </c>
      <c r="D48" s="525">
        <v>1</v>
      </c>
      <c r="E48" s="525">
        <v>0</v>
      </c>
      <c r="F48" s="525">
        <v>1</v>
      </c>
      <c r="G48" s="525">
        <v>1</v>
      </c>
      <c r="H48" s="525">
        <v>1</v>
      </c>
      <c r="I48" s="525">
        <v>1</v>
      </c>
      <c r="J48" s="525">
        <v>1</v>
      </c>
      <c r="K48" s="525">
        <v>1</v>
      </c>
      <c r="L48" s="525">
        <v>1</v>
      </c>
      <c r="M48" s="525">
        <v>1</v>
      </c>
      <c r="N48" s="525">
        <v>1</v>
      </c>
      <c r="O48" s="525">
        <v>1</v>
      </c>
      <c r="P48" s="525">
        <v>1</v>
      </c>
      <c r="Q48" s="525">
        <v>1</v>
      </c>
      <c r="R48" s="525">
        <v>1</v>
      </c>
      <c r="S48" s="525">
        <v>1</v>
      </c>
      <c r="T48" s="525">
        <v>1</v>
      </c>
      <c r="U48" s="525">
        <v>1</v>
      </c>
      <c r="V48" s="525">
        <v>1</v>
      </c>
      <c r="W48" s="525">
        <v>1</v>
      </c>
      <c r="X48" s="525">
        <v>1</v>
      </c>
      <c r="Y48" s="525">
        <v>1</v>
      </c>
      <c r="Z48" s="525">
        <v>1</v>
      </c>
      <c r="AA48" s="525">
        <v>0</v>
      </c>
      <c r="AB48" s="525">
        <v>1</v>
      </c>
      <c r="AC48" s="525">
        <v>1</v>
      </c>
      <c r="AD48" s="525">
        <v>1</v>
      </c>
      <c r="AE48" s="525">
        <v>1</v>
      </c>
      <c r="AF48" s="526">
        <v>0</v>
      </c>
      <c r="AG48" s="523">
        <v>1</v>
      </c>
      <c r="AH48" s="172">
        <v>1</v>
      </c>
      <c r="AI48" s="172">
        <v>1</v>
      </c>
      <c r="AJ48" s="172">
        <v>1</v>
      </c>
      <c r="AK48" s="172">
        <v>1</v>
      </c>
    </row>
    <row r="49" spans="1:37" s="527" customFormat="1" ht="15.75" thickBot="1" x14ac:dyDescent="0.3">
      <c r="A49" s="524" t="s">
        <v>251</v>
      </c>
      <c r="B49" s="525">
        <v>1</v>
      </c>
      <c r="C49" s="525">
        <v>1</v>
      </c>
      <c r="D49" s="525">
        <v>1</v>
      </c>
      <c r="E49" s="525">
        <v>0</v>
      </c>
      <c r="F49" s="525">
        <v>1</v>
      </c>
      <c r="G49" s="525">
        <v>1</v>
      </c>
      <c r="H49" s="525">
        <v>1</v>
      </c>
      <c r="I49" s="525">
        <v>1</v>
      </c>
      <c r="J49" s="525">
        <v>1</v>
      </c>
      <c r="K49" s="525">
        <v>1</v>
      </c>
      <c r="L49" s="525">
        <v>1</v>
      </c>
      <c r="M49" s="525">
        <v>1</v>
      </c>
      <c r="N49" s="525">
        <v>1</v>
      </c>
      <c r="O49" s="525">
        <v>1</v>
      </c>
      <c r="P49" s="525">
        <v>1</v>
      </c>
      <c r="Q49" s="525">
        <v>1</v>
      </c>
      <c r="R49" s="525">
        <v>1</v>
      </c>
      <c r="S49" s="525">
        <v>1</v>
      </c>
      <c r="T49" s="525">
        <v>1</v>
      </c>
      <c r="U49" s="525">
        <v>1</v>
      </c>
      <c r="V49" s="525">
        <v>1</v>
      </c>
      <c r="W49" s="525">
        <v>1</v>
      </c>
      <c r="X49" s="525">
        <v>1</v>
      </c>
      <c r="Y49" s="525">
        <v>1</v>
      </c>
      <c r="Z49" s="525">
        <v>1</v>
      </c>
      <c r="AA49" s="525">
        <v>1</v>
      </c>
      <c r="AB49" s="525">
        <v>1</v>
      </c>
      <c r="AC49" s="525">
        <v>1</v>
      </c>
      <c r="AD49" s="525">
        <v>1</v>
      </c>
      <c r="AE49" s="525">
        <v>1</v>
      </c>
      <c r="AF49" s="526">
        <v>0</v>
      </c>
      <c r="AG49" s="523">
        <v>1</v>
      </c>
      <c r="AH49" s="172">
        <v>1</v>
      </c>
      <c r="AI49" s="172">
        <v>1</v>
      </c>
      <c r="AJ49" s="172">
        <v>1</v>
      </c>
      <c r="AK49" s="172">
        <v>1</v>
      </c>
    </row>
    <row r="50" spans="1:37" s="527" customFormat="1" ht="15.75" thickBot="1" x14ac:dyDescent="0.3">
      <c r="A50" s="524" t="s">
        <v>252</v>
      </c>
      <c r="B50" s="525">
        <v>1</v>
      </c>
      <c r="C50" s="525">
        <v>1</v>
      </c>
      <c r="D50" s="525">
        <v>1</v>
      </c>
      <c r="E50" s="525">
        <v>0</v>
      </c>
      <c r="F50" s="525">
        <v>1</v>
      </c>
      <c r="G50" s="525">
        <v>1</v>
      </c>
      <c r="H50" s="525">
        <v>1</v>
      </c>
      <c r="I50" s="525">
        <v>1</v>
      </c>
      <c r="J50" s="525">
        <v>1</v>
      </c>
      <c r="K50" s="525">
        <v>1</v>
      </c>
      <c r="L50" s="525">
        <v>1</v>
      </c>
      <c r="M50" s="525">
        <v>1</v>
      </c>
      <c r="N50" s="525">
        <v>1</v>
      </c>
      <c r="O50" s="525">
        <v>1</v>
      </c>
      <c r="P50" s="525">
        <v>1</v>
      </c>
      <c r="Q50" s="525">
        <v>1</v>
      </c>
      <c r="R50" s="525">
        <v>1</v>
      </c>
      <c r="S50" s="525">
        <v>1</v>
      </c>
      <c r="T50" s="525">
        <v>1</v>
      </c>
      <c r="U50" s="525">
        <v>1</v>
      </c>
      <c r="V50" s="525">
        <v>1</v>
      </c>
      <c r="W50" s="525">
        <v>1</v>
      </c>
      <c r="X50" s="525">
        <v>1</v>
      </c>
      <c r="Y50" s="525">
        <v>1</v>
      </c>
      <c r="Z50" s="525">
        <v>1</v>
      </c>
      <c r="AA50" s="525">
        <v>1</v>
      </c>
      <c r="AB50" s="525">
        <v>1</v>
      </c>
      <c r="AC50" s="525">
        <v>1</v>
      </c>
      <c r="AD50" s="525">
        <v>1</v>
      </c>
      <c r="AE50" s="525">
        <v>1</v>
      </c>
      <c r="AF50" s="526">
        <v>0</v>
      </c>
      <c r="AG50" s="523">
        <v>1</v>
      </c>
      <c r="AH50" s="172">
        <v>1</v>
      </c>
      <c r="AI50" s="172">
        <v>1</v>
      </c>
      <c r="AJ50" s="172">
        <v>1</v>
      </c>
      <c r="AK50" s="172">
        <v>1</v>
      </c>
    </row>
    <row r="51" spans="1:37" s="527" customFormat="1" ht="15.75" thickBot="1" x14ac:dyDescent="0.3">
      <c r="A51" s="524" t="s">
        <v>253</v>
      </c>
      <c r="B51" s="172">
        <v>0</v>
      </c>
      <c r="C51" s="172">
        <v>0</v>
      </c>
      <c r="D51" s="172">
        <v>0</v>
      </c>
      <c r="E51" s="525">
        <v>0</v>
      </c>
      <c r="F51" s="172">
        <v>0</v>
      </c>
      <c r="G51" s="172">
        <v>0</v>
      </c>
      <c r="H51" s="172">
        <v>0</v>
      </c>
      <c r="I51" s="172">
        <v>0</v>
      </c>
      <c r="J51" s="172">
        <v>0</v>
      </c>
      <c r="K51" s="172">
        <v>0</v>
      </c>
      <c r="L51" s="172">
        <v>0</v>
      </c>
      <c r="M51" s="172">
        <v>0</v>
      </c>
      <c r="N51" s="172">
        <v>0</v>
      </c>
      <c r="O51" s="172">
        <v>0</v>
      </c>
      <c r="P51" s="172">
        <v>0</v>
      </c>
      <c r="Q51" s="172">
        <v>0</v>
      </c>
      <c r="R51" s="172">
        <v>0</v>
      </c>
      <c r="S51" s="172">
        <v>0</v>
      </c>
      <c r="T51" s="172">
        <v>0</v>
      </c>
      <c r="U51" s="172">
        <v>0</v>
      </c>
      <c r="V51" s="172">
        <v>0</v>
      </c>
      <c r="W51" s="172">
        <v>0</v>
      </c>
      <c r="X51" s="172">
        <v>0</v>
      </c>
      <c r="Y51" s="172">
        <v>0</v>
      </c>
      <c r="Z51" s="172">
        <v>0</v>
      </c>
      <c r="AA51" s="172">
        <v>1</v>
      </c>
      <c r="AB51" s="172">
        <v>0</v>
      </c>
      <c r="AC51" s="172">
        <v>0</v>
      </c>
      <c r="AD51" s="172">
        <v>0</v>
      </c>
      <c r="AE51" s="172">
        <v>0</v>
      </c>
      <c r="AF51" s="522">
        <v>0</v>
      </c>
      <c r="AG51" s="523">
        <v>1</v>
      </c>
      <c r="AH51" s="172">
        <v>1</v>
      </c>
      <c r="AI51" s="172">
        <v>1</v>
      </c>
      <c r="AJ51" s="172">
        <v>1</v>
      </c>
      <c r="AK51" s="172">
        <v>1</v>
      </c>
    </row>
    <row r="52" spans="1:37" s="527" customFormat="1" ht="15.75" thickBot="1" x14ac:dyDescent="0.3">
      <c r="A52" s="524" t="s">
        <v>254</v>
      </c>
      <c r="B52" s="172">
        <v>0</v>
      </c>
      <c r="C52" s="172">
        <v>0</v>
      </c>
      <c r="D52" s="172">
        <v>0</v>
      </c>
      <c r="E52" s="525">
        <v>0</v>
      </c>
      <c r="F52" s="172">
        <v>0</v>
      </c>
      <c r="G52" s="172">
        <v>0</v>
      </c>
      <c r="H52" s="172">
        <v>0</v>
      </c>
      <c r="I52" s="172">
        <v>0</v>
      </c>
      <c r="J52" s="172">
        <v>0</v>
      </c>
      <c r="K52" s="172">
        <v>0</v>
      </c>
      <c r="L52" s="172">
        <v>0</v>
      </c>
      <c r="M52" s="172">
        <v>0</v>
      </c>
      <c r="N52" s="172">
        <v>0</v>
      </c>
      <c r="O52" s="172">
        <v>0</v>
      </c>
      <c r="P52" s="172">
        <v>0</v>
      </c>
      <c r="Q52" s="172">
        <v>0</v>
      </c>
      <c r="R52" s="172">
        <v>0</v>
      </c>
      <c r="S52" s="172">
        <v>0</v>
      </c>
      <c r="T52" s="172">
        <v>0</v>
      </c>
      <c r="U52" s="172">
        <v>0</v>
      </c>
      <c r="V52" s="172">
        <v>0</v>
      </c>
      <c r="W52" s="172">
        <v>0</v>
      </c>
      <c r="X52" s="172">
        <v>0</v>
      </c>
      <c r="Y52" s="172">
        <v>0</v>
      </c>
      <c r="Z52" s="172">
        <v>0</v>
      </c>
      <c r="AA52" s="172">
        <v>1</v>
      </c>
      <c r="AB52" s="172">
        <v>0</v>
      </c>
      <c r="AC52" s="172">
        <v>0</v>
      </c>
      <c r="AD52" s="172">
        <v>0</v>
      </c>
      <c r="AE52" s="172">
        <v>0</v>
      </c>
      <c r="AF52" s="522">
        <v>0</v>
      </c>
      <c r="AG52" s="523">
        <v>1</v>
      </c>
      <c r="AH52" s="172">
        <v>1</v>
      </c>
      <c r="AI52" s="172">
        <v>1</v>
      </c>
      <c r="AJ52" s="172">
        <v>1</v>
      </c>
      <c r="AK52" s="172">
        <v>1</v>
      </c>
    </row>
    <row r="53" spans="1:37" s="527" customFormat="1" ht="15.75" thickBot="1" x14ac:dyDescent="0.3">
      <c r="A53" s="524" t="s">
        <v>255</v>
      </c>
      <c r="B53" s="525">
        <v>0</v>
      </c>
      <c r="C53" s="525">
        <v>0</v>
      </c>
      <c r="D53" s="525">
        <v>0</v>
      </c>
      <c r="E53" s="525">
        <v>0</v>
      </c>
      <c r="F53" s="525">
        <v>0</v>
      </c>
      <c r="G53" s="525">
        <v>0</v>
      </c>
      <c r="H53" s="525">
        <v>0</v>
      </c>
      <c r="I53" s="525">
        <v>0</v>
      </c>
      <c r="J53" s="525">
        <v>0</v>
      </c>
      <c r="K53" s="525">
        <v>0</v>
      </c>
      <c r="L53" s="525">
        <v>0</v>
      </c>
      <c r="M53" s="525">
        <v>0</v>
      </c>
      <c r="N53" s="525">
        <v>0</v>
      </c>
      <c r="O53" s="525">
        <v>0</v>
      </c>
      <c r="P53" s="525">
        <v>0</v>
      </c>
      <c r="Q53" s="525">
        <v>0</v>
      </c>
      <c r="R53" s="525">
        <v>0</v>
      </c>
      <c r="S53" s="525">
        <v>0</v>
      </c>
      <c r="T53" s="525">
        <v>0</v>
      </c>
      <c r="U53" s="525">
        <v>0</v>
      </c>
      <c r="V53" s="525">
        <v>0</v>
      </c>
      <c r="W53" s="525">
        <v>0</v>
      </c>
      <c r="X53" s="525">
        <v>0</v>
      </c>
      <c r="Y53" s="525">
        <v>0</v>
      </c>
      <c r="Z53" s="525">
        <v>0</v>
      </c>
      <c r="AA53" s="525">
        <v>0</v>
      </c>
      <c r="AB53" s="525">
        <v>0</v>
      </c>
      <c r="AC53" s="525">
        <v>0</v>
      </c>
      <c r="AD53" s="525">
        <v>1</v>
      </c>
      <c r="AE53" s="525">
        <v>0</v>
      </c>
      <c r="AF53" s="526">
        <v>0</v>
      </c>
      <c r="AG53" s="523">
        <v>1</v>
      </c>
      <c r="AH53" s="172">
        <v>1</v>
      </c>
      <c r="AI53" s="172">
        <v>1</v>
      </c>
      <c r="AJ53" s="172">
        <v>1</v>
      </c>
      <c r="AK53" s="172">
        <v>1</v>
      </c>
    </row>
    <row r="54" spans="1:37" s="527" customFormat="1" ht="15.75" thickBot="1" x14ac:dyDescent="0.3">
      <c r="A54" s="524" t="s">
        <v>256</v>
      </c>
      <c r="B54" s="525">
        <v>1</v>
      </c>
      <c r="C54" s="525">
        <v>1</v>
      </c>
      <c r="D54" s="525">
        <v>1</v>
      </c>
      <c r="E54" s="525">
        <v>0</v>
      </c>
      <c r="F54" s="525">
        <v>1</v>
      </c>
      <c r="G54" s="525">
        <v>1</v>
      </c>
      <c r="H54" s="525">
        <v>1</v>
      </c>
      <c r="I54" s="525">
        <v>1</v>
      </c>
      <c r="J54" s="525">
        <v>1</v>
      </c>
      <c r="K54" s="525">
        <v>1</v>
      </c>
      <c r="L54" s="525">
        <v>1</v>
      </c>
      <c r="M54" s="525">
        <v>1</v>
      </c>
      <c r="N54" s="525">
        <v>1</v>
      </c>
      <c r="O54" s="525">
        <v>1</v>
      </c>
      <c r="P54" s="525">
        <v>1</v>
      </c>
      <c r="Q54" s="525">
        <v>1</v>
      </c>
      <c r="R54" s="525">
        <v>1</v>
      </c>
      <c r="S54" s="525">
        <v>1</v>
      </c>
      <c r="T54" s="525">
        <v>1</v>
      </c>
      <c r="U54" s="525">
        <v>1</v>
      </c>
      <c r="V54" s="525">
        <v>1</v>
      </c>
      <c r="W54" s="525">
        <v>1</v>
      </c>
      <c r="X54" s="525">
        <v>1</v>
      </c>
      <c r="Y54" s="525">
        <v>1</v>
      </c>
      <c r="Z54" s="525">
        <v>0</v>
      </c>
      <c r="AA54" s="525">
        <v>0</v>
      </c>
      <c r="AB54" s="525">
        <v>1</v>
      </c>
      <c r="AC54" s="525">
        <v>1</v>
      </c>
      <c r="AD54" s="525">
        <v>1</v>
      </c>
      <c r="AE54" s="525">
        <v>1</v>
      </c>
      <c r="AF54" s="526">
        <v>0</v>
      </c>
      <c r="AG54" s="523">
        <v>1</v>
      </c>
      <c r="AH54" s="172">
        <v>1</v>
      </c>
      <c r="AI54" s="172">
        <v>1</v>
      </c>
      <c r="AJ54" s="172">
        <v>1</v>
      </c>
      <c r="AK54" s="172">
        <v>1</v>
      </c>
    </row>
    <row r="55" spans="1:37" s="527" customFormat="1" ht="15.75" thickBot="1" x14ac:dyDescent="0.3">
      <c r="A55" s="524" t="s">
        <v>257</v>
      </c>
      <c r="B55" s="525">
        <v>1</v>
      </c>
      <c r="C55" s="525">
        <v>1</v>
      </c>
      <c r="D55" s="525">
        <v>1</v>
      </c>
      <c r="E55" s="525">
        <v>0</v>
      </c>
      <c r="F55" s="525">
        <v>1</v>
      </c>
      <c r="G55" s="525">
        <v>1</v>
      </c>
      <c r="H55" s="525">
        <v>1</v>
      </c>
      <c r="I55" s="525">
        <v>1</v>
      </c>
      <c r="J55" s="525">
        <v>1</v>
      </c>
      <c r="K55" s="525">
        <v>1</v>
      </c>
      <c r="L55" s="525">
        <v>1</v>
      </c>
      <c r="M55" s="525">
        <v>1</v>
      </c>
      <c r="N55" s="525">
        <v>1</v>
      </c>
      <c r="O55" s="525">
        <v>1</v>
      </c>
      <c r="P55" s="525">
        <v>1</v>
      </c>
      <c r="Q55" s="525">
        <v>1</v>
      </c>
      <c r="R55" s="525">
        <v>1</v>
      </c>
      <c r="S55" s="525">
        <v>1</v>
      </c>
      <c r="T55" s="525">
        <v>1</v>
      </c>
      <c r="U55" s="525">
        <v>1</v>
      </c>
      <c r="V55" s="525">
        <v>1</v>
      </c>
      <c r="W55" s="525">
        <v>1</v>
      </c>
      <c r="X55" s="525">
        <v>1</v>
      </c>
      <c r="Y55" s="525">
        <v>1</v>
      </c>
      <c r="Z55" s="525">
        <v>1</v>
      </c>
      <c r="AA55" s="525">
        <v>1</v>
      </c>
      <c r="AB55" s="525">
        <v>1</v>
      </c>
      <c r="AC55" s="525">
        <v>1</v>
      </c>
      <c r="AD55" s="525">
        <v>1</v>
      </c>
      <c r="AE55" s="525">
        <v>1</v>
      </c>
      <c r="AF55" s="526">
        <v>0</v>
      </c>
      <c r="AG55" s="523">
        <v>1</v>
      </c>
      <c r="AH55" s="172">
        <v>1</v>
      </c>
      <c r="AI55" s="172">
        <v>1</v>
      </c>
      <c r="AJ55" s="172">
        <v>1</v>
      </c>
      <c r="AK55" s="172">
        <v>1</v>
      </c>
    </row>
    <row r="56" spans="1:37" s="527" customFormat="1" ht="15.75" thickBot="1" x14ac:dyDescent="0.3">
      <c r="A56" s="524" t="s">
        <v>258</v>
      </c>
      <c r="B56" s="525">
        <v>1</v>
      </c>
      <c r="C56" s="525">
        <v>1</v>
      </c>
      <c r="D56" s="525">
        <v>1</v>
      </c>
      <c r="E56" s="525">
        <v>0</v>
      </c>
      <c r="F56" s="525">
        <v>1</v>
      </c>
      <c r="G56" s="525">
        <v>1</v>
      </c>
      <c r="H56" s="525">
        <v>1</v>
      </c>
      <c r="I56" s="525">
        <v>1</v>
      </c>
      <c r="J56" s="525">
        <v>1</v>
      </c>
      <c r="K56" s="525">
        <v>1</v>
      </c>
      <c r="L56" s="525">
        <v>1</v>
      </c>
      <c r="M56" s="525">
        <v>1</v>
      </c>
      <c r="N56" s="525">
        <v>1</v>
      </c>
      <c r="O56" s="525">
        <v>1</v>
      </c>
      <c r="P56" s="525">
        <v>1</v>
      </c>
      <c r="Q56" s="525">
        <v>1</v>
      </c>
      <c r="R56" s="525">
        <v>1</v>
      </c>
      <c r="S56" s="525">
        <v>1</v>
      </c>
      <c r="T56" s="525">
        <v>1</v>
      </c>
      <c r="U56" s="525">
        <v>1</v>
      </c>
      <c r="V56" s="525">
        <v>1</v>
      </c>
      <c r="W56" s="525">
        <v>1</v>
      </c>
      <c r="X56" s="525">
        <v>1</v>
      </c>
      <c r="Y56" s="525">
        <v>1</v>
      </c>
      <c r="Z56" s="525">
        <v>1</v>
      </c>
      <c r="AA56" s="525">
        <v>1</v>
      </c>
      <c r="AB56" s="525">
        <v>1</v>
      </c>
      <c r="AC56" s="525">
        <v>1</v>
      </c>
      <c r="AD56" s="525">
        <v>1</v>
      </c>
      <c r="AE56" s="525">
        <v>1</v>
      </c>
      <c r="AF56" s="526">
        <v>0</v>
      </c>
      <c r="AG56" s="523">
        <v>1</v>
      </c>
      <c r="AH56" s="172">
        <v>1</v>
      </c>
      <c r="AI56" s="172">
        <v>1</v>
      </c>
      <c r="AJ56" s="172">
        <v>1</v>
      </c>
      <c r="AK56" s="172">
        <v>1</v>
      </c>
    </row>
    <row r="57" spans="1:37" s="527" customFormat="1" ht="15.75" thickBot="1" x14ac:dyDescent="0.3">
      <c r="A57" s="524" t="s">
        <v>259</v>
      </c>
      <c r="B57" s="525">
        <v>1</v>
      </c>
      <c r="C57" s="525">
        <v>1</v>
      </c>
      <c r="D57" s="525">
        <v>1</v>
      </c>
      <c r="E57" s="525">
        <v>0</v>
      </c>
      <c r="F57" s="525">
        <v>1</v>
      </c>
      <c r="G57" s="525">
        <v>1</v>
      </c>
      <c r="H57" s="525">
        <v>1</v>
      </c>
      <c r="I57" s="525">
        <v>1</v>
      </c>
      <c r="J57" s="525">
        <v>1</v>
      </c>
      <c r="K57" s="525">
        <v>1</v>
      </c>
      <c r="L57" s="525">
        <v>1</v>
      </c>
      <c r="M57" s="525">
        <v>1</v>
      </c>
      <c r="N57" s="525">
        <v>1</v>
      </c>
      <c r="O57" s="525">
        <v>1</v>
      </c>
      <c r="P57" s="525">
        <v>1</v>
      </c>
      <c r="Q57" s="525">
        <v>1</v>
      </c>
      <c r="R57" s="525">
        <v>1</v>
      </c>
      <c r="S57" s="525">
        <v>1</v>
      </c>
      <c r="T57" s="525">
        <v>1</v>
      </c>
      <c r="U57" s="525">
        <v>1</v>
      </c>
      <c r="V57" s="525">
        <v>1</v>
      </c>
      <c r="W57" s="525">
        <v>1</v>
      </c>
      <c r="X57" s="525">
        <v>1</v>
      </c>
      <c r="Y57" s="525">
        <v>1</v>
      </c>
      <c r="Z57" s="525">
        <v>1</v>
      </c>
      <c r="AA57" s="525">
        <v>0</v>
      </c>
      <c r="AB57" s="525">
        <v>0</v>
      </c>
      <c r="AC57" s="525">
        <v>0</v>
      </c>
      <c r="AD57" s="525">
        <v>0</v>
      </c>
      <c r="AE57" s="525">
        <v>1</v>
      </c>
      <c r="AF57" s="526">
        <v>0</v>
      </c>
      <c r="AG57" s="523">
        <v>1</v>
      </c>
      <c r="AH57" s="172">
        <v>1</v>
      </c>
      <c r="AI57" s="172">
        <v>1</v>
      </c>
      <c r="AJ57" s="172">
        <v>1</v>
      </c>
      <c r="AK57" s="172">
        <v>1</v>
      </c>
    </row>
    <row r="58" spans="1:37" s="527" customFormat="1" ht="15.75" thickBot="1" x14ac:dyDescent="0.3">
      <c r="A58" s="524" t="s">
        <v>260</v>
      </c>
      <c r="B58" s="525">
        <v>0</v>
      </c>
      <c r="C58" s="525">
        <v>0</v>
      </c>
      <c r="D58" s="525">
        <v>0</v>
      </c>
      <c r="E58" s="525">
        <v>0</v>
      </c>
      <c r="F58" s="525">
        <v>0</v>
      </c>
      <c r="G58" s="525">
        <v>0</v>
      </c>
      <c r="H58" s="525">
        <v>0</v>
      </c>
      <c r="I58" s="525">
        <v>0</v>
      </c>
      <c r="J58" s="525">
        <v>0</v>
      </c>
      <c r="K58" s="525">
        <v>0</v>
      </c>
      <c r="L58" s="525">
        <v>0</v>
      </c>
      <c r="M58" s="525">
        <v>0</v>
      </c>
      <c r="N58" s="525">
        <v>0</v>
      </c>
      <c r="O58" s="525">
        <v>0</v>
      </c>
      <c r="P58" s="525">
        <v>0</v>
      </c>
      <c r="Q58" s="525">
        <v>0</v>
      </c>
      <c r="R58" s="525">
        <v>0</v>
      </c>
      <c r="S58" s="525">
        <v>0</v>
      </c>
      <c r="T58" s="525">
        <v>0</v>
      </c>
      <c r="U58" s="525">
        <v>0</v>
      </c>
      <c r="V58" s="525">
        <v>0</v>
      </c>
      <c r="W58" s="525">
        <v>0</v>
      </c>
      <c r="X58" s="525">
        <v>0</v>
      </c>
      <c r="Y58" s="525">
        <v>0</v>
      </c>
      <c r="Z58" s="525">
        <v>0</v>
      </c>
      <c r="AA58" s="525">
        <v>0</v>
      </c>
      <c r="AB58" s="525">
        <v>0</v>
      </c>
      <c r="AC58" s="525">
        <v>0</v>
      </c>
      <c r="AD58" s="525">
        <v>1</v>
      </c>
      <c r="AE58" s="525">
        <v>0</v>
      </c>
      <c r="AF58" s="526">
        <v>0</v>
      </c>
      <c r="AG58" s="523">
        <v>1</v>
      </c>
      <c r="AH58" s="172">
        <v>1</v>
      </c>
      <c r="AI58" s="172">
        <v>1</v>
      </c>
      <c r="AJ58" s="172">
        <v>1</v>
      </c>
      <c r="AK58" s="172">
        <v>1</v>
      </c>
    </row>
    <row r="59" spans="1:37" s="527" customFormat="1" ht="15.75" thickBot="1" x14ac:dyDescent="0.3">
      <c r="A59" s="524" t="s">
        <v>261</v>
      </c>
      <c r="B59" s="525">
        <v>1</v>
      </c>
      <c r="C59" s="525">
        <v>1</v>
      </c>
      <c r="D59" s="525">
        <v>1</v>
      </c>
      <c r="E59" s="525">
        <v>0</v>
      </c>
      <c r="F59" s="525">
        <v>1</v>
      </c>
      <c r="G59" s="525">
        <v>1</v>
      </c>
      <c r="H59" s="525">
        <v>1</v>
      </c>
      <c r="I59" s="525">
        <v>1</v>
      </c>
      <c r="J59" s="525">
        <v>1</v>
      </c>
      <c r="K59" s="525">
        <v>1</v>
      </c>
      <c r="L59" s="525">
        <v>1</v>
      </c>
      <c r="M59" s="525">
        <v>1</v>
      </c>
      <c r="N59" s="525">
        <v>1</v>
      </c>
      <c r="O59" s="525">
        <v>1</v>
      </c>
      <c r="P59" s="525">
        <v>1</v>
      </c>
      <c r="Q59" s="525">
        <v>1</v>
      </c>
      <c r="R59" s="525">
        <v>1</v>
      </c>
      <c r="S59" s="525">
        <v>1</v>
      </c>
      <c r="T59" s="525">
        <v>1</v>
      </c>
      <c r="U59" s="525">
        <v>1</v>
      </c>
      <c r="V59" s="525">
        <v>1</v>
      </c>
      <c r="W59" s="525">
        <v>1</v>
      </c>
      <c r="X59" s="525">
        <v>1</v>
      </c>
      <c r="Y59" s="525">
        <v>1</v>
      </c>
      <c r="Z59" s="525">
        <v>1</v>
      </c>
      <c r="AA59" s="525">
        <v>1</v>
      </c>
      <c r="AB59" s="525">
        <v>1</v>
      </c>
      <c r="AC59" s="525">
        <v>1</v>
      </c>
      <c r="AD59" s="525">
        <v>1</v>
      </c>
      <c r="AE59" s="525">
        <v>1</v>
      </c>
      <c r="AF59" s="526">
        <v>0</v>
      </c>
      <c r="AG59" s="523">
        <v>1</v>
      </c>
      <c r="AH59" s="172">
        <v>1</v>
      </c>
      <c r="AI59" s="172">
        <v>1</v>
      </c>
      <c r="AJ59" s="172">
        <v>1</v>
      </c>
      <c r="AK59" s="172">
        <v>1</v>
      </c>
    </row>
    <row r="60" spans="1:37" s="527" customFormat="1" ht="15.75" thickBot="1" x14ac:dyDescent="0.3">
      <c r="A60" s="524" t="s">
        <v>262</v>
      </c>
      <c r="B60" s="525">
        <v>1</v>
      </c>
      <c r="C60" s="525">
        <v>1</v>
      </c>
      <c r="D60" s="525">
        <v>1</v>
      </c>
      <c r="E60" s="525">
        <v>0</v>
      </c>
      <c r="F60" s="525">
        <v>1</v>
      </c>
      <c r="G60" s="525">
        <v>1</v>
      </c>
      <c r="H60" s="525">
        <v>1</v>
      </c>
      <c r="I60" s="525">
        <v>1</v>
      </c>
      <c r="J60" s="525">
        <v>1</v>
      </c>
      <c r="K60" s="525">
        <v>1</v>
      </c>
      <c r="L60" s="525">
        <v>1</v>
      </c>
      <c r="M60" s="525">
        <v>1</v>
      </c>
      <c r="N60" s="525">
        <v>1</v>
      </c>
      <c r="O60" s="525">
        <v>1</v>
      </c>
      <c r="P60" s="525">
        <v>1</v>
      </c>
      <c r="Q60" s="525">
        <v>1</v>
      </c>
      <c r="R60" s="525">
        <v>1</v>
      </c>
      <c r="S60" s="525">
        <v>1</v>
      </c>
      <c r="T60" s="525">
        <v>1</v>
      </c>
      <c r="U60" s="525">
        <v>1</v>
      </c>
      <c r="V60" s="525">
        <v>1</v>
      </c>
      <c r="W60" s="525">
        <v>1</v>
      </c>
      <c r="X60" s="525">
        <v>1</v>
      </c>
      <c r="Y60" s="525">
        <v>1</v>
      </c>
      <c r="Z60" s="525">
        <v>1</v>
      </c>
      <c r="AA60" s="525">
        <v>1</v>
      </c>
      <c r="AB60" s="525">
        <v>1</v>
      </c>
      <c r="AC60" s="525">
        <v>1</v>
      </c>
      <c r="AD60" s="525">
        <v>1</v>
      </c>
      <c r="AE60" s="525">
        <v>1</v>
      </c>
      <c r="AF60" s="526">
        <v>0</v>
      </c>
      <c r="AG60" s="523">
        <v>1</v>
      </c>
      <c r="AH60" s="172">
        <v>1</v>
      </c>
      <c r="AI60" s="172">
        <v>1</v>
      </c>
      <c r="AJ60" s="172">
        <v>1</v>
      </c>
      <c r="AK60" s="172">
        <v>1</v>
      </c>
    </row>
    <row r="61" spans="1:37" s="527" customFormat="1" ht="15.75" thickBot="1" x14ac:dyDescent="0.3">
      <c r="A61" s="524" t="s">
        <v>263</v>
      </c>
      <c r="B61" s="172">
        <v>0</v>
      </c>
      <c r="C61" s="172">
        <v>0</v>
      </c>
      <c r="D61" s="172">
        <v>0</v>
      </c>
      <c r="E61" s="172">
        <v>0</v>
      </c>
      <c r="F61" s="172">
        <v>0</v>
      </c>
      <c r="G61" s="172">
        <v>0</v>
      </c>
      <c r="H61" s="172">
        <v>0</v>
      </c>
      <c r="I61" s="172">
        <v>0</v>
      </c>
      <c r="J61" s="172">
        <v>0</v>
      </c>
      <c r="K61" s="172">
        <v>0</v>
      </c>
      <c r="L61" s="172">
        <v>0</v>
      </c>
      <c r="M61" s="172">
        <v>0</v>
      </c>
      <c r="N61" s="172">
        <v>0</v>
      </c>
      <c r="O61" s="172">
        <v>1</v>
      </c>
      <c r="P61" s="172">
        <v>0</v>
      </c>
      <c r="Q61" s="172">
        <v>0</v>
      </c>
      <c r="R61" s="172">
        <v>0</v>
      </c>
      <c r="S61" s="172">
        <v>0</v>
      </c>
      <c r="T61" s="172">
        <v>0</v>
      </c>
      <c r="U61" s="172">
        <v>0</v>
      </c>
      <c r="V61" s="172">
        <v>0</v>
      </c>
      <c r="W61" s="172">
        <v>0</v>
      </c>
      <c r="X61" s="172">
        <v>0</v>
      </c>
      <c r="Y61" s="172">
        <v>0</v>
      </c>
      <c r="Z61" s="172">
        <v>0</v>
      </c>
      <c r="AA61" s="172">
        <v>0</v>
      </c>
      <c r="AB61" s="172">
        <v>0</v>
      </c>
      <c r="AC61" s="172">
        <v>0</v>
      </c>
      <c r="AD61" s="172">
        <v>0</v>
      </c>
      <c r="AE61" s="172">
        <v>0</v>
      </c>
      <c r="AF61" s="522">
        <v>0</v>
      </c>
      <c r="AG61" s="523">
        <v>1</v>
      </c>
      <c r="AH61" s="172">
        <v>1</v>
      </c>
      <c r="AI61" s="172">
        <v>1</v>
      </c>
      <c r="AJ61" s="172">
        <v>1</v>
      </c>
      <c r="AK61" s="172">
        <v>1</v>
      </c>
    </row>
    <row r="62" spans="1:37" s="527" customFormat="1" ht="15.75" thickBot="1" x14ac:dyDescent="0.3">
      <c r="A62" s="524" t="s">
        <v>264</v>
      </c>
      <c r="B62" s="172">
        <v>0</v>
      </c>
      <c r="C62" s="172">
        <v>0</v>
      </c>
      <c r="D62" s="172">
        <v>0</v>
      </c>
      <c r="E62" s="172">
        <v>0</v>
      </c>
      <c r="F62" s="172">
        <v>0</v>
      </c>
      <c r="G62" s="172">
        <v>0</v>
      </c>
      <c r="H62" s="172">
        <v>0</v>
      </c>
      <c r="I62" s="172">
        <v>0</v>
      </c>
      <c r="J62" s="172">
        <v>0</v>
      </c>
      <c r="K62" s="172">
        <v>0</v>
      </c>
      <c r="L62" s="172">
        <v>0</v>
      </c>
      <c r="M62" s="172">
        <v>0</v>
      </c>
      <c r="N62" s="172">
        <v>0</v>
      </c>
      <c r="O62" s="172">
        <v>1</v>
      </c>
      <c r="P62" s="172">
        <v>0</v>
      </c>
      <c r="Q62" s="172">
        <v>0</v>
      </c>
      <c r="R62" s="172">
        <v>0</v>
      </c>
      <c r="S62" s="172">
        <v>0</v>
      </c>
      <c r="T62" s="172">
        <v>0</v>
      </c>
      <c r="U62" s="172">
        <v>0</v>
      </c>
      <c r="V62" s="172">
        <v>0</v>
      </c>
      <c r="W62" s="172">
        <v>0</v>
      </c>
      <c r="X62" s="172">
        <v>0</v>
      </c>
      <c r="Y62" s="172">
        <v>0</v>
      </c>
      <c r="Z62" s="172">
        <v>0</v>
      </c>
      <c r="AA62" s="172">
        <v>0</v>
      </c>
      <c r="AB62" s="172">
        <v>0</v>
      </c>
      <c r="AC62" s="172">
        <v>0</v>
      </c>
      <c r="AD62" s="172">
        <v>0</v>
      </c>
      <c r="AE62" s="172">
        <v>0</v>
      </c>
      <c r="AF62" s="522">
        <v>0</v>
      </c>
      <c r="AG62" s="523">
        <v>1</v>
      </c>
      <c r="AH62" s="172">
        <v>1</v>
      </c>
      <c r="AI62" s="172">
        <v>1</v>
      </c>
      <c r="AJ62" s="172">
        <v>1</v>
      </c>
      <c r="AK62" s="172">
        <v>1</v>
      </c>
    </row>
    <row r="63" spans="1:37" s="527" customFormat="1" ht="15.75" thickBot="1" x14ac:dyDescent="0.3">
      <c r="A63" s="524" t="s">
        <v>265</v>
      </c>
      <c r="B63" s="525">
        <v>1</v>
      </c>
      <c r="C63" s="525">
        <v>1</v>
      </c>
      <c r="D63" s="525">
        <v>1</v>
      </c>
      <c r="E63" s="525">
        <v>0</v>
      </c>
      <c r="F63" s="525">
        <v>1</v>
      </c>
      <c r="G63" s="525">
        <v>1</v>
      </c>
      <c r="H63" s="525">
        <v>1</v>
      </c>
      <c r="I63" s="525">
        <v>1</v>
      </c>
      <c r="J63" s="525">
        <v>1</v>
      </c>
      <c r="K63" s="525">
        <v>1</v>
      </c>
      <c r="L63" s="525">
        <v>1</v>
      </c>
      <c r="M63" s="525">
        <v>1</v>
      </c>
      <c r="N63" s="525">
        <v>1</v>
      </c>
      <c r="O63" s="525">
        <v>1</v>
      </c>
      <c r="P63" s="525">
        <v>1</v>
      </c>
      <c r="Q63" s="525">
        <v>1</v>
      </c>
      <c r="R63" s="525">
        <v>1</v>
      </c>
      <c r="S63" s="525">
        <v>1</v>
      </c>
      <c r="T63" s="525">
        <v>1</v>
      </c>
      <c r="U63" s="525">
        <v>1</v>
      </c>
      <c r="V63" s="525">
        <v>1</v>
      </c>
      <c r="W63" s="525">
        <v>1</v>
      </c>
      <c r="X63" s="525">
        <v>1</v>
      </c>
      <c r="Y63" s="525">
        <v>1</v>
      </c>
      <c r="Z63" s="525">
        <v>1</v>
      </c>
      <c r="AA63" s="525">
        <v>1</v>
      </c>
      <c r="AB63" s="525">
        <v>1</v>
      </c>
      <c r="AC63" s="525">
        <v>1</v>
      </c>
      <c r="AD63" s="525">
        <v>1</v>
      </c>
      <c r="AE63" s="525">
        <v>1</v>
      </c>
      <c r="AF63" s="526">
        <v>0</v>
      </c>
      <c r="AG63" s="523">
        <v>1</v>
      </c>
      <c r="AH63" s="172">
        <v>1</v>
      </c>
      <c r="AI63" s="172">
        <v>1</v>
      </c>
      <c r="AJ63" s="172">
        <v>1</v>
      </c>
      <c r="AK63" s="172">
        <v>1</v>
      </c>
    </row>
    <row r="64" spans="1:37" s="527" customFormat="1" ht="15.75" thickBot="1" x14ac:dyDescent="0.3">
      <c r="A64" s="524" t="s">
        <v>266</v>
      </c>
      <c r="B64" s="525">
        <v>1</v>
      </c>
      <c r="C64" s="525">
        <v>1</v>
      </c>
      <c r="D64" s="525">
        <v>1</v>
      </c>
      <c r="E64" s="525">
        <v>0</v>
      </c>
      <c r="F64" s="525">
        <v>1</v>
      </c>
      <c r="G64" s="525">
        <v>1</v>
      </c>
      <c r="H64" s="525">
        <v>1</v>
      </c>
      <c r="I64" s="525">
        <v>1</v>
      </c>
      <c r="J64" s="525">
        <v>1</v>
      </c>
      <c r="K64" s="525">
        <v>1</v>
      </c>
      <c r="L64" s="525">
        <v>1</v>
      </c>
      <c r="M64" s="525">
        <v>1</v>
      </c>
      <c r="N64" s="525">
        <v>1</v>
      </c>
      <c r="O64" s="525">
        <v>1</v>
      </c>
      <c r="P64" s="525">
        <v>1</v>
      </c>
      <c r="Q64" s="525">
        <v>1</v>
      </c>
      <c r="R64" s="525">
        <v>1</v>
      </c>
      <c r="S64" s="525">
        <v>1</v>
      </c>
      <c r="T64" s="525">
        <v>1</v>
      </c>
      <c r="U64" s="525">
        <v>1</v>
      </c>
      <c r="V64" s="525">
        <v>1</v>
      </c>
      <c r="W64" s="525">
        <v>1</v>
      </c>
      <c r="X64" s="525">
        <v>1</v>
      </c>
      <c r="Y64" s="525">
        <v>1</v>
      </c>
      <c r="Z64" s="525">
        <v>1</v>
      </c>
      <c r="AA64" s="525">
        <v>1</v>
      </c>
      <c r="AB64" s="525">
        <v>1</v>
      </c>
      <c r="AC64" s="525">
        <v>1</v>
      </c>
      <c r="AD64" s="525">
        <v>1</v>
      </c>
      <c r="AE64" s="525">
        <v>1</v>
      </c>
      <c r="AF64" s="526">
        <v>0</v>
      </c>
      <c r="AG64" s="523">
        <v>1</v>
      </c>
      <c r="AH64" s="172">
        <v>1</v>
      </c>
      <c r="AI64" s="172">
        <v>1</v>
      </c>
      <c r="AJ64" s="172">
        <v>1</v>
      </c>
      <c r="AK64" s="172">
        <v>1</v>
      </c>
    </row>
    <row r="65" spans="1:37" s="527" customFormat="1" ht="15.75" thickBot="1" x14ac:dyDescent="0.3">
      <c r="A65" s="524" t="s">
        <v>267</v>
      </c>
      <c r="B65" s="525">
        <v>0</v>
      </c>
      <c r="C65" s="525">
        <v>0</v>
      </c>
      <c r="D65" s="525">
        <v>0</v>
      </c>
      <c r="E65" s="525">
        <v>0</v>
      </c>
      <c r="F65" s="525">
        <v>0</v>
      </c>
      <c r="G65" s="525">
        <v>0</v>
      </c>
      <c r="H65" s="525">
        <v>0</v>
      </c>
      <c r="I65" s="525">
        <v>0</v>
      </c>
      <c r="J65" s="525">
        <v>0</v>
      </c>
      <c r="K65" s="525">
        <v>0</v>
      </c>
      <c r="L65" s="525">
        <v>0</v>
      </c>
      <c r="M65" s="525">
        <v>0</v>
      </c>
      <c r="N65" s="525">
        <v>0</v>
      </c>
      <c r="O65" s="525">
        <v>0</v>
      </c>
      <c r="P65" s="525">
        <v>0</v>
      </c>
      <c r="Q65" s="525">
        <v>0</v>
      </c>
      <c r="R65" s="525">
        <v>0</v>
      </c>
      <c r="S65" s="525">
        <v>0</v>
      </c>
      <c r="T65" s="525">
        <v>0</v>
      </c>
      <c r="U65" s="525">
        <v>0</v>
      </c>
      <c r="V65" s="525">
        <v>0</v>
      </c>
      <c r="W65" s="525">
        <v>0</v>
      </c>
      <c r="X65" s="525">
        <v>0</v>
      </c>
      <c r="Y65" s="525">
        <v>0</v>
      </c>
      <c r="Z65" s="525">
        <v>0</v>
      </c>
      <c r="AA65" s="525">
        <v>0</v>
      </c>
      <c r="AB65" s="525">
        <v>0</v>
      </c>
      <c r="AC65" s="525">
        <v>0</v>
      </c>
      <c r="AD65" s="525">
        <v>1</v>
      </c>
      <c r="AE65" s="525">
        <v>0</v>
      </c>
      <c r="AF65" s="526">
        <v>0</v>
      </c>
      <c r="AG65" s="523">
        <v>1</v>
      </c>
      <c r="AH65" s="172">
        <v>1</v>
      </c>
      <c r="AI65" s="172">
        <v>1</v>
      </c>
      <c r="AJ65" s="172">
        <v>1</v>
      </c>
      <c r="AK65" s="172">
        <v>1</v>
      </c>
    </row>
    <row r="66" spans="1:37" s="527" customFormat="1" ht="15.75" thickBot="1" x14ac:dyDescent="0.3">
      <c r="A66" s="524" t="s">
        <v>268</v>
      </c>
      <c r="B66" s="525">
        <v>0</v>
      </c>
      <c r="C66" s="525">
        <v>0</v>
      </c>
      <c r="D66" s="525">
        <v>0</v>
      </c>
      <c r="E66" s="525">
        <v>0</v>
      </c>
      <c r="F66" s="525">
        <v>0</v>
      </c>
      <c r="G66" s="525">
        <v>0</v>
      </c>
      <c r="H66" s="525">
        <v>0</v>
      </c>
      <c r="I66" s="525">
        <v>0</v>
      </c>
      <c r="J66" s="525">
        <v>0</v>
      </c>
      <c r="K66" s="525">
        <v>0</v>
      </c>
      <c r="L66" s="525">
        <v>0</v>
      </c>
      <c r="M66" s="525">
        <v>0</v>
      </c>
      <c r="N66" s="525">
        <v>0</v>
      </c>
      <c r="O66" s="525">
        <v>0</v>
      </c>
      <c r="P66" s="525">
        <v>0</v>
      </c>
      <c r="Q66" s="525">
        <v>0</v>
      </c>
      <c r="R66" s="525">
        <v>0</v>
      </c>
      <c r="S66" s="525">
        <v>0</v>
      </c>
      <c r="T66" s="525">
        <v>0</v>
      </c>
      <c r="U66" s="525">
        <v>0</v>
      </c>
      <c r="V66" s="525">
        <v>0</v>
      </c>
      <c r="W66" s="525">
        <v>0</v>
      </c>
      <c r="X66" s="525">
        <v>0</v>
      </c>
      <c r="Y66" s="525">
        <v>0</v>
      </c>
      <c r="Z66" s="525">
        <v>0</v>
      </c>
      <c r="AA66" s="525">
        <v>0</v>
      </c>
      <c r="AB66" s="525">
        <v>0</v>
      </c>
      <c r="AC66" s="525">
        <v>0</v>
      </c>
      <c r="AD66" s="525">
        <v>1</v>
      </c>
      <c r="AE66" s="525">
        <v>0</v>
      </c>
      <c r="AF66" s="526">
        <v>0</v>
      </c>
      <c r="AG66" s="523">
        <v>1</v>
      </c>
      <c r="AH66" s="172">
        <v>1</v>
      </c>
      <c r="AI66" s="172">
        <v>1</v>
      </c>
      <c r="AJ66" s="172">
        <v>1</v>
      </c>
      <c r="AK66" s="172">
        <v>1</v>
      </c>
    </row>
    <row r="67" spans="1:37" s="527" customFormat="1" ht="15.75" thickBot="1" x14ac:dyDescent="0.3">
      <c r="A67" s="524" t="s">
        <v>269</v>
      </c>
      <c r="B67" s="525">
        <v>0</v>
      </c>
      <c r="C67" s="525">
        <v>0</v>
      </c>
      <c r="D67" s="525">
        <v>0</v>
      </c>
      <c r="E67" s="525">
        <v>0</v>
      </c>
      <c r="F67" s="525">
        <v>0</v>
      </c>
      <c r="G67" s="525">
        <v>0</v>
      </c>
      <c r="H67" s="525">
        <v>0</v>
      </c>
      <c r="I67" s="525">
        <v>0</v>
      </c>
      <c r="J67" s="525">
        <v>0</v>
      </c>
      <c r="K67" s="525">
        <v>0</v>
      </c>
      <c r="L67" s="525">
        <v>0</v>
      </c>
      <c r="M67" s="525">
        <v>0</v>
      </c>
      <c r="N67" s="525">
        <v>0</v>
      </c>
      <c r="O67" s="525">
        <v>0</v>
      </c>
      <c r="P67" s="525">
        <v>0</v>
      </c>
      <c r="Q67" s="525">
        <v>0</v>
      </c>
      <c r="R67" s="525">
        <v>0</v>
      </c>
      <c r="S67" s="525">
        <v>0</v>
      </c>
      <c r="T67" s="525">
        <v>0</v>
      </c>
      <c r="U67" s="525">
        <v>0</v>
      </c>
      <c r="V67" s="525">
        <v>0</v>
      </c>
      <c r="W67" s="525">
        <v>0</v>
      </c>
      <c r="X67" s="525">
        <v>0</v>
      </c>
      <c r="Y67" s="525">
        <v>0</v>
      </c>
      <c r="Z67" s="525">
        <v>0</v>
      </c>
      <c r="AA67" s="525">
        <v>0</v>
      </c>
      <c r="AB67" s="525">
        <v>0</v>
      </c>
      <c r="AC67" s="525">
        <v>0</v>
      </c>
      <c r="AD67" s="525">
        <v>0</v>
      </c>
      <c r="AE67" s="525">
        <v>1</v>
      </c>
      <c r="AF67" s="526">
        <v>0</v>
      </c>
      <c r="AG67" s="523">
        <v>1</v>
      </c>
      <c r="AH67" s="172">
        <v>1</v>
      </c>
      <c r="AI67" s="172">
        <v>1</v>
      </c>
      <c r="AJ67" s="172">
        <v>1</v>
      </c>
      <c r="AK67" s="172">
        <v>1</v>
      </c>
    </row>
    <row r="68" spans="1:37" s="527" customFormat="1" ht="15.75" thickBot="1" x14ac:dyDescent="0.3">
      <c r="A68" s="524" t="s">
        <v>270</v>
      </c>
      <c r="B68" s="525">
        <v>1</v>
      </c>
      <c r="C68" s="525">
        <v>1</v>
      </c>
      <c r="D68" s="525">
        <v>1</v>
      </c>
      <c r="E68" s="525">
        <v>0</v>
      </c>
      <c r="F68" s="525">
        <v>1</v>
      </c>
      <c r="G68" s="525">
        <v>1</v>
      </c>
      <c r="H68" s="525">
        <v>1</v>
      </c>
      <c r="I68" s="525">
        <v>1</v>
      </c>
      <c r="J68" s="525">
        <v>1</v>
      </c>
      <c r="K68" s="525">
        <v>1</v>
      </c>
      <c r="L68" s="525">
        <v>1</v>
      </c>
      <c r="M68" s="525">
        <v>1</v>
      </c>
      <c r="N68" s="525">
        <v>1</v>
      </c>
      <c r="O68" s="525">
        <v>1</v>
      </c>
      <c r="P68" s="525">
        <v>1</v>
      </c>
      <c r="Q68" s="525">
        <v>1</v>
      </c>
      <c r="R68" s="525">
        <v>1</v>
      </c>
      <c r="S68" s="525">
        <v>1</v>
      </c>
      <c r="T68" s="525">
        <v>1</v>
      </c>
      <c r="U68" s="525">
        <v>1</v>
      </c>
      <c r="V68" s="525">
        <v>1</v>
      </c>
      <c r="W68" s="525">
        <v>1</v>
      </c>
      <c r="X68" s="525">
        <v>1</v>
      </c>
      <c r="Y68" s="525">
        <v>1</v>
      </c>
      <c r="Z68" s="525">
        <v>1</v>
      </c>
      <c r="AA68" s="525">
        <v>1</v>
      </c>
      <c r="AB68" s="525">
        <v>1</v>
      </c>
      <c r="AC68" s="525">
        <v>1</v>
      </c>
      <c r="AD68" s="525">
        <v>1</v>
      </c>
      <c r="AE68" s="525">
        <v>1</v>
      </c>
      <c r="AF68" s="526">
        <v>0</v>
      </c>
      <c r="AG68" s="523">
        <v>1</v>
      </c>
      <c r="AH68" s="172">
        <v>1</v>
      </c>
      <c r="AI68" s="172">
        <v>1</v>
      </c>
      <c r="AJ68" s="172">
        <v>1</v>
      </c>
      <c r="AK68" s="172">
        <v>1</v>
      </c>
    </row>
    <row r="69" spans="1:37" s="527" customFormat="1" ht="15.75" thickBot="1" x14ac:dyDescent="0.3">
      <c r="A69" s="524" t="s">
        <v>271</v>
      </c>
      <c r="B69" s="525">
        <v>1</v>
      </c>
      <c r="C69" s="525">
        <v>1</v>
      </c>
      <c r="D69" s="525">
        <v>1</v>
      </c>
      <c r="E69" s="525">
        <v>0</v>
      </c>
      <c r="F69" s="525">
        <v>1</v>
      </c>
      <c r="G69" s="525">
        <v>1</v>
      </c>
      <c r="H69" s="525">
        <v>1</v>
      </c>
      <c r="I69" s="525">
        <v>1</v>
      </c>
      <c r="J69" s="525">
        <v>1</v>
      </c>
      <c r="K69" s="525">
        <v>1</v>
      </c>
      <c r="L69" s="525">
        <v>1</v>
      </c>
      <c r="M69" s="525">
        <v>1</v>
      </c>
      <c r="N69" s="525">
        <v>1</v>
      </c>
      <c r="O69" s="525">
        <v>1</v>
      </c>
      <c r="P69" s="525">
        <v>1</v>
      </c>
      <c r="Q69" s="525">
        <v>1</v>
      </c>
      <c r="R69" s="525">
        <v>1</v>
      </c>
      <c r="S69" s="525">
        <v>1</v>
      </c>
      <c r="T69" s="525">
        <v>1</v>
      </c>
      <c r="U69" s="525">
        <v>1</v>
      </c>
      <c r="V69" s="525">
        <v>1</v>
      </c>
      <c r="W69" s="525">
        <v>1</v>
      </c>
      <c r="X69" s="525">
        <v>1</v>
      </c>
      <c r="Y69" s="525">
        <v>1</v>
      </c>
      <c r="Z69" s="525">
        <v>1</v>
      </c>
      <c r="AA69" s="525">
        <v>1</v>
      </c>
      <c r="AB69" s="525">
        <v>1</v>
      </c>
      <c r="AC69" s="525">
        <v>1</v>
      </c>
      <c r="AD69" s="525">
        <v>1</v>
      </c>
      <c r="AE69" s="525">
        <v>1</v>
      </c>
      <c r="AF69" s="526">
        <v>0</v>
      </c>
      <c r="AG69" s="523">
        <v>1</v>
      </c>
      <c r="AH69" s="172">
        <v>1</v>
      </c>
      <c r="AI69" s="172">
        <v>1</v>
      </c>
      <c r="AJ69" s="172">
        <v>1</v>
      </c>
      <c r="AK69" s="172">
        <v>1</v>
      </c>
    </row>
    <row r="70" spans="1:37" s="527" customFormat="1" ht="15.75" thickBot="1" x14ac:dyDescent="0.3">
      <c r="A70" s="524" t="s">
        <v>272</v>
      </c>
      <c r="B70" s="525">
        <v>0</v>
      </c>
      <c r="C70" s="525">
        <v>0</v>
      </c>
      <c r="D70" s="525">
        <v>0</v>
      </c>
      <c r="E70" s="525">
        <v>0</v>
      </c>
      <c r="F70" s="525">
        <v>0</v>
      </c>
      <c r="G70" s="525">
        <v>0</v>
      </c>
      <c r="H70" s="525">
        <v>0</v>
      </c>
      <c r="I70" s="525">
        <v>0</v>
      </c>
      <c r="J70" s="525">
        <v>0</v>
      </c>
      <c r="K70" s="525">
        <v>0</v>
      </c>
      <c r="L70" s="525">
        <v>0</v>
      </c>
      <c r="M70" s="525">
        <v>0</v>
      </c>
      <c r="N70" s="525">
        <v>0</v>
      </c>
      <c r="O70" s="525">
        <v>1</v>
      </c>
      <c r="P70" s="525">
        <v>0</v>
      </c>
      <c r="Q70" s="525">
        <v>0</v>
      </c>
      <c r="R70" s="525">
        <v>0</v>
      </c>
      <c r="S70" s="525">
        <v>0</v>
      </c>
      <c r="T70" s="525">
        <v>0</v>
      </c>
      <c r="U70" s="525">
        <v>0</v>
      </c>
      <c r="V70" s="525">
        <v>0</v>
      </c>
      <c r="W70" s="525">
        <v>0</v>
      </c>
      <c r="X70" s="525">
        <v>0</v>
      </c>
      <c r="Y70" s="525">
        <v>0</v>
      </c>
      <c r="Z70" s="525">
        <v>0</v>
      </c>
      <c r="AA70" s="525">
        <v>0</v>
      </c>
      <c r="AB70" s="525">
        <v>0</v>
      </c>
      <c r="AC70" s="525">
        <v>0</v>
      </c>
      <c r="AD70" s="525">
        <v>0</v>
      </c>
      <c r="AE70" s="525">
        <v>0</v>
      </c>
      <c r="AF70" s="522">
        <v>0</v>
      </c>
      <c r="AG70" s="523">
        <v>1</v>
      </c>
      <c r="AH70" s="172">
        <v>1</v>
      </c>
      <c r="AI70" s="172">
        <v>1</v>
      </c>
      <c r="AJ70" s="172">
        <v>1</v>
      </c>
      <c r="AK70" s="172">
        <v>1</v>
      </c>
    </row>
    <row r="71" spans="1:37" s="527" customFormat="1" ht="15.75" thickBot="1" x14ac:dyDescent="0.3">
      <c r="A71" s="524" t="s">
        <v>273</v>
      </c>
      <c r="B71" s="525">
        <v>0</v>
      </c>
      <c r="C71" s="525">
        <v>0</v>
      </c>
      <c r="D71" s="525">
        <v>0</v>
      </c>
      <c r="E71" s="525">
        <v>0</v>
      </c>
      <c r="F71" s="525">
        <v>0</v>
      </c>
      <c r="G71" s="525">
        <v>0</v>
      </c>
      <c r="H71" s="525">
        <v>0</v>
      </c>
      <c r="I71" s="525">
        <v>0</v>
      </c>
      <c r="J71" s="525">
        <v>0</v>
      </c>
      <c r="K71" s="525">
        <v>0</v>
      </c>
      <c r="L71" s="525">
        <v>0</v>
      </c>
      <c r="M71" s="525">
        <v>0</v>
      </c>
      <c r="N71" s="525">
        <v>0</v>
      </c>
      <c r="O71" s="525">
        <v>0</v>
      </c>
      <c r="P71" s="525">
        <v>0</v>
      </c>
      <c r="Q71" s="525">
        <v>0</v>
      </c>
      <c r="R71" s="525">
        <v>0</v>
      </c>
      <c r="S71" s="525">
        <v>0</v>
      </c>
      <c r="T71" s="525">
        <v>0</v>
      </c>
      <c r="U71" s="525">
        <v>0</v>
      </c>
      <c r="V71" s="525">
        <v>0</v>
      </c>
      <c r="W71" s="525">
        <v>0</v>
      </c>
      <c r="X71" s="525">
        <v>0</v>
      </c>
      <c r="Y71" s="525">
        <v>0</v>
      </c>
      <c r="Z71" s="525">
        <v>1</v>
      </c>
      <c r="AA71" s="525">
        <v>0</v>
      </c>
      <c r="AB71" s="525">
        <v>0</v>
      </c>
      <c r="AC71" s="525">
        <v>0</v>
      </c>
      <c r="AD71" s="525">
        <v>0</v>
      </c>
      <c r="AE71" s="525">
        <v>0</v>
      </c>
      <c r="AF71" s="526">
        <v>0</v>
      </c>
      <c r="AG71" s="523">
        <v>1</v>
      </c>
      <c r="AH71" s="172">
        <v>1</v>
      </c>
      <c r="AI71" s="172">
        <v>1</v>
      </c>
      <c r="AJ71" s="172">
        <v>1</v>
      </c>
      <c r="AK71" s="172">
        <v>1</v>
      </c>
    </row>
    <row r="72" spans="1:37" s="527" customFormat="1" ht="15.75" thickBot="1" x14ac:dyDescent="0.3">
      <c r="A72" s="524" t="s">
        <v>274</v>
      </c>
      <c r="B72" s="525">
        <v>0</v>
      </c>
      <c r="C72" s="525">
        <v>0</v>
      </c>
      <c r="D72" s="525">
        <v>0</v>
      </c>
      <c r="E72" s="525">
        <v>0</v>
      </c>
      <c r="F72" s="525">
        <v>0</v>
      </c>
      <c r="G72" s="525">
        <v>0</v>
      </c>
      <c r="H72" s="525">
        <v>0</v>
      </c>
      <c r="I72" s="525">
        <v>0</v>
      </c>
      <c r="J72" s="525">
        <v>0</v>
      </c>
      <c r="K72" s="525">
        <v>0</v>
      </c>
      <c r="L72" s="525">
        <v>0</v>
      </c>
      <c r="M72" s="525">
        <v>0</v>
      </c>
      <c r="N72" s="525">
        <v>0</v>
      </c>
      <c r="O72" s="525">
        <v>0</v>
      </c>
      <c r="P72" s="525">
        <v>0</v>
      </c>
      <c r="Q72" s="525">
        <v>0</v>
      </c>
      <c r="R72" s="525">
        <v>0</v>
      </c>
      <c r="S72" s="525">
        <v>0</v>
      </c>
      <c r="T72" s="525">
        <v>0</v>
      </c>
      <c r="U72" s="525">
        <v>0</v>
      </c>
      <c r="V72" s="525">
        <v>0</v>
      </c>
      <c r="W72" s="525">
        <v>0</v>
      </c>
      <c r="X72" s="525">
        <v>0</v>
      </c>
      <c r="Y72" s="525">
        <v>0</v>
      </c>
      <c r="Z72" s="525">
        <v>1</v>
      </c>
      <c r="AA72" s="525">
        <v>0</v>
      </c>
      <c r="AB72" s="525">
        <v>0</v>
      </c>
      <c r="AC72" s="525">
        <v>0</v>
      </c>
      <c r="AD72" s="525">
        <v>0</v>
      </c>
      <c r="AE72" s="525">
        <v>0</v>
      </c>
      <c r="AF72" s="526">
        <v>0</v>
      </c>
      <c r="AG72" s="523">
        <v>1</v>
      </c>
      <c r="AH72" s="172">
        <v>1</v>
      </c>
      <c r="AI72" s="172">
        <v>1</v>
      </c>
      <c r="AJ72" s="172">
        <v>1</v>
      </c>
      <c r="AK72" s="172">
        <v>1</v>
      </c>
    </row>
    <row r="73" spans="1:37" s="527" customFormat="1" ht="15.75" thickBot="1" x14ac:dyDescent="0.3">
      <c r="A73" s="524" t="s">
        <v>275</v>
      </c>
      <c r="B73" s="525">
        <v>0</v>
      </c>
      <c r="C73" s="525">
        <v>0</v>
      </c>
      <c r="D73" s="525">
        <v>0</v>
      </c>
      <c r="E73" s="525">
        <v>0</v>
      </c>
      <c r="F73" s="525">
        <v>0</v>
      </c>
      <c r="G73" s="525">
        <v>0</v>
      </c>
      <c r="H73" s="525">
        <v>0</v>
      </c>
      <c r="I73" s="525">
        <v>0</v>
      </c>
      <c r="J73" s="525">
        <v>0</v>
      </c>
      <c r="K73" s="525">
        <v>0</v>
      </c>
      <c r="L73" s="525">
        <v>0</v>
      </c>
      <c r="M73" s="525">
        <v>0</v>
      </c>
      <c r="N73" s="525">
        <v>0</v>
      </c>
      <c r="O73" s="525">
        <v>1</v>
      </c>
      <c r="P73" s="525">
        <v>0</v>
      </c>
      <c r="Q73" s="525">
        <v>0</v>
      </c>
      <c r="R73" s="525">
        <v>0</v>
      </c>
      <c r="S73" s="525">
        <v>0</v>
      </c>
      <c r="T73" s="525">
        <v>0</v>
      </c>
      <c r="U73" s="525">
        <v>0</v>
      </c>
      <c r="V73" s="525">
        <v>0</v>
      </c>
      <c r="W73" s="525">
        <v>0</v>
      </c>
      <c r="X73" s="525">
        <v>0</v>
      </c>
      <c r="Y73" s="525">
        <v>0</v>
      </c>
      <c r="Z73" s="525">
        <v>0</v>
      </c>
      <c r="AA73" s="525">
        <v>0</v>
      </c>
      <c r="AB73" s="525">
        <v>0</v>
      </c>
      <c r="AC73" s="525">
        <v>0</v>
      </c>
      <c r="AD73" s="525">
        <v>0</v>
      </c>
      <c r="AE73" s="525">
        <v>0</v>
      </c>
      <c r="AF73" s="522">
        <v>0</v>
      </c>
      <c r="AG73" s="523">
        <v>1</v>
      </c>
      <c r="AH73" s="172">
        <v>1</v>
      </c>
      <c r="AI73" s="172">
        <v>1</v>
      </c>
      <c r="AJ73" s="172">
        <v>1</v>
      </c>
      <c r="AK73" s="172">
        <v>1</v>
      </c>
    </row>
    <row r="74" spans="1:37" s="527" customFormat="1" ht="15.75" thickBot="1" x14ac:dyDescent="0.3">
      <c r="A74" s="524" t="s">
        <v>276</v>
      </c>
      <c r="B74" s="525">
        <v>0</v>
      </c>
      <c r="C74" s="525">
        <v>0</v>
      </c>
      <c r="D74" s="525">
        <v>0</v>
      </c>
      <c r="E74" s="525">
        <v>0</v>
      </c>
      <c r="F74" s="525">
        <v>0</v>
      </c>
      <c r="G74" s="525">
        <v>0</v>
      </c>
      <c r="H74" s="525">
        <v>0</v>
      </c>
      <c r="I74" s="525">
        <v>0</v>
      </c>
      <c r="J74" s="525">
        <v>0</v>
      </c>
      <c r="K74" s="525">
        <v>0</v>
      </c>
      <c r="L74" s="525">
        <v>0</v>
      </c>
      <c r="M74" s="525">
        <v>0</v>
      </c>
      <c r="N74" s="525">
        <v>0</v>
      </c>
      <c r="O74" s="525">
        <v>1</v>
      </c>
      <c r="P74" s="525">
        <v>0</v>
      </c>
      <c r="Q74" s="525">
        <v>0</v>
      </c>
      <c r="R74" s="525">
        <v>0</v>
      </c>
      <c r="S74" s="525">
        <v>0</v>
      </c>
      <c r="T74" s="525">
        <v>0</v>
      </c>
      <c r="U74" s="525">
        <v>0</v>
      </c>
      <c r="V74" s="525">
        <v>0</v>
      </c>
      <c r="W74" s="525">
        <v>0</v>
      </c>
      <c r="X74" s="525">
        <v>0</v>
      </c>
      <c r="Y74" s="525">
        <v>0</v>
      </c>
      <c r="Z74" s="525">
        <v>0</v>
      </c>
      <c r="AA74" s="525">
        <v>0</v>
      </c>
      <c r="AB74" s="525">
        <v>0</v>
      </c>
      <c r="AC74" s="525">
        <v>0</v>
      </c>
      <c r="AD74" s="525">
        <v>0</v>
      </c>
      <c r="AE74" s="525">
        <v>0</v>
      </c>
      <c r="AF74" s="522">
        <v>0</v>
      </c>
      <c r="AG74" s="523">
        <v>1</v>
      </c>
      <c r="AH74" s="172">
        <v>1</v>
      </c>
      <c r="AI74" s="172">
        <v>1</v>
      </c>
      <c r="AJ74" s="172">
        <v>1</v>
      </c>
      <c r="AK74" s="172">
        <v>1</v>
      </c>
    </row>
    <row r="75" spans="1:37" s="527" customFormat="1" ht="15.75" thickBot="1" x14ac:dyDescent="0.3">
      <c r="A75" s="524" t="s">
        <v>277</v>
      </c>
      <c r="B75" s="525">
        <v>1</v>
      </c>
      <c r="C75" s="525">
        <v>1</v>
      </c>
      <c r="D75" s="525">
        <v>1</v>
      </c>
      <c r="E75" s="525">
        <v>0</v>
      </c>
      <c r="F75" s="525">
        <v>1</v>
      </c>
      <c r="G75" s="525">
        <v>1</v>
      </c>
      <c r="H75" s="525">
        <v>1</v>
      </c>
      <c r="I75" s="525">
        <v>1</v>
      </c>
      <c r="J75" s="525">
        <v>1</v>
      </c>
      <c r="K75" s="525">
        <v>1</v>
      </c>
      <c r="L75" s="525">
        <v>1</v>
      </c>
      <c r="M75" s="525">
        <v>1</v>
      </c>
      <c r="N75" s="525">
        <v>1</v>
      </c>
      <c r="O75" s="525">
        <v>1</v>
      </c>
      <c r="P75" s="525">
        <v>1</v>
      </c>
      <c r="Q75" s="525">
        <v>1</v>
      </c>
      <c r="R75" s="525">
        <v>1</v>
      </c>
      <c r="S75" s="525">
        <v>1</v>
      </c>
      <c r="T75" s="525">
        <v>1</v>
      </c>
      <c r="U75" s="525">
        <v>1</v>
      </c>
      <c r="V75" s="525">
        <v>1</v>
      </c>
      <c r="W75" s="525">
        <v>1</v>
      </c>
      <c r="X75" s="525">
        <v>1</v>
      </c>
      <c r="Y75" s="525">
        <v>1</v>
      </c>
      <c r="Z75" s="525">
        <v>1</v>
      </c>
      <c r="AA75" s="525">
        <v>1</v>
      </c>
      <c r="AB75" s="525">
        <v>1</v>
      </c>
      <c r="AC75" s="525">
        <v>1</v>
      </c>
      <c r="AD75" s="525">
        <v>1</v>
      </c>
      <c r="AE75" s="525">
        <v>1</v>
      </c>
      <c r="AF75" s="526">
        <v>0</v>
      </c>
      <c r="AG75" s="523">
        <v>1</v>
      </c>
      <c r="AH75" s="172">
        <v>1</v>
      </c>
      <c r="AI75" s="172">
        <v>1</v>
      </c>
      <c r="AJ75" s="172">
        <v>1</v>
      </c>
      <c r="AK75" s="172">
        <v>1</v>
      </c>
    </row>
    <row r="76" spans="1:37" s="527" customFormat="1" ht="15.75" thickBot="1" x14ac:dyDescent="0.3">
      <c r="A76" s="524" t="s">
        <v>278</v>
      </c>
      <c r="B76" s="525">
        <v>1</v>
      </c>
      <c r="C76" s="525">
        <v>1</v>
      </c>
      <c r="D76" s="525">
        <v>1</v>
      </c>
      <c r="E76" s="525">
        <v>0</v>
      </c>
      <c r="F76" s="525">
        <v>1</v>
      </c>
      <c r="G76" s="525">
        <v>1</v>
      </c>
      <c r="H76" s="525">
        <v>1</v>
      </c>
      <c r="I76" s="525">
        <v>1</v>
      </c>
      <c r="J76" s="525">
        <v>1</v>
      </c>
      <c r="K76" s="525">
        <v>1</v>
      </c>
      <c r="L76" s="525">
        <v>1</v>
      </c>
      <c r="M76" s="525">
        <v>1</v>
      </c>
      <c r="N76" s="525">
        <v>1</v>
      </c>
      <c r="O76" s="525">
        <v>1</v>
      </c>
      <c r="P76" s="525">
        <v>1</v>
      </c>
      <c r="Q76" s="525">
        <v>1</v>
      </c>
      <c r="R76" s="525">
        <v>1</v>
      </c>
      <c r="S76" s="525">
        <v>1</v>
      </c>
      <c r="T76" s="525">
        <v>1</v>
      </c>
      <c r="U76" s="525">
        <v>1</v>
      </c>
      <c r="V76" s="525">
        <v>1</v>
      </c>
      <c r="W76" s="525">
        <v>1</v>
      </c>
      <c r="X76" s="525">
        <v>1</v>
      </c>
      <c r="Y76" s="525">
        <v>1</v>
      </c>
      <c r="Z76" s="525">
        <v>1</v>
      </c>
      <c r="AA76" s="525">
        <v>1</v>
      </c>
      <c r="AB76" s="525">
        <v>1</v>
      </c>
      <c r="AC76" s="525">
        <v>1</v>
      </c>
      <c r="AD76" s="525">
        <v>1</v>
      </c>
      <c r="AE76" s="525">
        <v>1</v>
      </c>
      <c r="AF76" s="526">
        <v>0</v>
      </c>
      <c r="AG76" s="523">
        <v>1</v>
      </c>
      <c r="AH76" s="172">
        <v>1</v>
      </c>
      <c r="AI76" s="172">
        <v>1</v>
      </c>
      <c r="AJ76" s="172">
        <v>1</v>
      </c>
      <c r="AK76" s="172">
        <v>1</v>
      </c>
    </row>
    <row r="77" spans="1:37" s="527" customFormat="1" ht="15.75" thickBot="1" x14ac:dyDescent="0.3">
      <c r="A77" s="524" t="s">
        <v>279</v>
      </c>
      <c r="B77" s="525">
        <v>0</v>
      </c>
      <c r="C77" s="525">
        <v>0</v>
      </c>
      <c r="D77" s="525">
        <v>0</v>
      </c>
      <c r="E77" s="525">
        <v>0</v>
      </c>
      <c r="F77" s="525">
        <v>0</v>
      </c>
      <c r="G77" s="525">
        <v>0</v>
      </c>
      <c r="H77" s="525">
        <v>0</v>
      </c>
      <c r="I77" s="525">
        <v>0</v>
      </c>
      <c r="J77" s="525">
        <v>0</v>
      </c>
      <c r="K77" s="525">
        <v>0</v>
      </c>
      <c r="L77" s="525">
        <v>0</v>
      </c>
      <c r="M77" s="525">
        <v>0</v>
      </c>
      <c r="N77" s="525">
        <v>0</v>
      </c>
      <c r="O77" s="525">
        <v>0</v>
      </c>
      <c r="P77" s="525">
        <v>0</v>
      </c>
      <c r="Q77" s="525">
        <v>0</v>
      </c>
      <c r="R77" s="525">
        <v>0</v>
      </c>
      <c r="S77" s="525">
        <v>0</v>
      </c>
      <c r="T77" s="525">
        <v>0</v>
      </c>
      <c r="U77" s="525">
        <v>0</v>
      </c>
      <c r="V77" s="525">
        <v>0</v>
      </c>
      <c r="W77" s="525">
        <v>0</v>
      </c>
      <c r="X77" s="525">
        <v>0</v>
      </c>
      <c r="Y77" s="525">
        <v>0</v>
      </c>
      <c r="Z77" s="525">
        <v>0</v>
      </c>
      <c r="AA77" s="525">
        <v>0</v>
      </c>
      <c r="AB77" s="525">
        <v>0</v>
      </c>
      <c r="AC77" s="525">
        <v>0</v>
      </c>
      <c r="AD77" s="525">
        <v>1</v>
      </c>
      <c r="AE77" s="525">
        <v>0</v>
      </c>
      <c r="AF77" s="526">
        <v>0</v>
      </c>
      <c r="AG77" s="523">
        <v>1</v>
      </c>
      <c r="AH77" s="172">
        <v>1</v>
      </c>
      <c r="AI77" s="172">
        <v>1</v>
      </c>
      <c r="AJ77" s="172">
        <v>1</v>
      </c>
      <c r="AK77" s="172">
        <v>1</v>
      </c>
    </row>
    <row r="78" spans="1:37" s="527" customFormat="1" ht="15.75" thickBot="1" x14ac:dyDescent="0.3">
      <c r="A78" s="524" t="s">
        <v>280</v>
      </c>
      <c r="B78" s="525">
        <v>0</v>
      </c>
      <c r="C78" s="525">
        <v>0</v>
      </c>
      <c r="D78" s="525">
        <v>0</v>
      </c>
      <c r="E78" s="525">
        <v>0</v>
      </c>
      <c r="F78" s="525">
        <v>0</v>
      </c>
      <c r="G78" s="525">
        <v>0</v>
      </c>
      <c r="H78" s="525">
        <v>0</v>
      </c>
      <c r="I78" s="525">
        <v>0</v>
      </c>
      <c r="J78" s="525">
        <v>0</v>
      </c>
      <c r="K78" s="525">
        <v>0</v>
      </c>
      <c r="L78" s="525">
        <v>0</v>
      </c>
      <c r="M78" s="525">
        <v>0</v>
      </c>
      <c r="N78" s="525">
        <v>0</v>
      </c>
      <c r="O78" s="525">
        <v>0</v>
      </c>
      <c r="P78" s="525">
        <v>0</v>
      </c>
      <c r="Q78" s="525">
        <v>0</v>
      </c>
      <c r="R78" s="525">
        <v>0</v>
      </c>
      <c r="S78" s="525">
        <v>0</v>
      </c>
      <c r="T78" s="525">
        <v>0</v>
      </c>
      <c r="U78" s="525">
        <v>0</v>
      </c>
      <c r="V78" s="525">
        <v>0</v>
      </c>
      <c r="W78" s="525">
        <v>0</v>
      </c>
      <c r="X78" s="525">
        <v>0</v>
      </c>
      <c r="Y78" s="525">
        <v>0</v>
      </c>
      <c r="Z78" s="525">
        <v>0</v>
      </c>
      <c r="AA78" s="525">
        <v>0</v>
      </c>
      <c r="AB78" s="525">
        <v>0</v>
      </c>
      <c r="AC78" s="525">
        <v>0</v>
      </c>
      <c r="AD78" s="525">
        <v>1</v>
      </c>
      <c r="AE78" s="525">
        <v>0</v>
      </c>
      <c r="AF78" s="526">
        <v>0</v>
      </c>
      <c r="AG78" s="523">
        <v>1</v>
      </c>
      <c r="AH78" s="172">
        <v>1</v>
      </c>
      <c r="AI78" s="172">
        <v>1</v>
      </c>
      <c r="AJ78" s="172">
        <v>1</v>
      </c>
      <c r="AK78" s="172">
        <v>1</v>
      </c>
    </row>
    <row r="79" spans="1:37" s="527" customFormat="1" ht="15.75" thickBot="1" x14ac:dyDescent="0.3">
      <c r="A79" s="524" t="s">
        <v>281</v>
      </c>
      <c r="B79" s="525">
        <v>0</v>
      </c>
      <c r="C79" s="525">
        <v>0</v>
      </c>
      <c r="D79" s="525">
        <v>0</v>
      </c>
      <c r="E79" s="525">
        <v>0</v>
      </c>
      <c r="F79" s="525">
        <v>0</v>
      </c>
      <c r="G79" s="525">
        <v>0</v>
      </c>
      <c r="H79" s="525">
        <v>0</v>
      </c>
      <c r="I79" s="525">
        <v>0</v>
      </c>
      <c r="J79" s="525">
        <v>0</v>
      </c>
      <c r="K79" s="525">
        <v>0</v>
      </c>
      <c r="L79" s="525">
        <v>0</v>
      </c>
      <c r="M79" s="525">
        <v>0</v>
      </c>
      <c r="N79" s="525">
        <v>0</v>
      </c>
      <c r="O79" s="525">
        <v>0</v>
      </c>
      <c r="P79" s="525">
        <v>0</v>
      </c>
      <c r="Q79" s="525">
        <v>0</v>
      </c>
      <c r="R79" s="525">
        <v>0</v>
      </c>
      <c r="S79" s="525">
        <v>0</v>
      </c>
      <c r="T79" s="525">
        <v>0</v>
      </c>
      <c r="U79" s="525">
        <v>0</v>
      </c>
      <c r="V79" s="525">
        <v>0</v>
      </c>
      <c r="W79" s="525">
        <v>0</v>
      </c>
      <c r="X79" s="525">
        <v>0</v>
      </c>
      <c r="Y79" s="525">
        <v>0</v>
      </c>
      <c r="Z79" s="525">
        <v>0</v>
      </c>
      <c r="AA79" s="525">
        <v>0</v>
      </c>
      <c r="AB79" s="525">
        <v>0</v>
      </c>
      <c r="AC79" s="525">
        <v>0</v>
      </c>
      <c r="AD79" s="525">
        <v>1</v>
      </c>
      <c r="AE79" s="525">
        <v>0</v>
      </c>
      <c r="AF79" s="526">
        <v>0</v>
      </c>
      <c r="AG79" s="523">
        <v>1</v>
      </c>
      <c r="AH79" s="172">
        <v>1</v>
      </c>
      <c r="AI79" s="172">
        <v>1</v>
      </c>
      <c r="AJ79" s="172">
        <v>1</v>
      </c>
      <c r="AK79" s="172">
        <v>1</v>
      </c>
    </row>
    <row r="80" spans="1:37" s="527" customFormat="1" ht="15.75" thickBot="1" x14ac:dyDescent="0.3">
      <c r="A80" s="524" t="s">
        <v>282</v>
      </c>
      <c r="B80" s="172">
        <v>1</v>
      </c>
      <c r="C80" s="172">
        <v>1</v>
      </c>
      <c r="D80" s="172">
        <v>1</v>
      </c>
      <c r="E80" s="525">
        <v>0</v>
      </c>
      <c r="F80" s="172">
        <v>1</v>
      </c>
      <c r="G80" s="172">
        <v>1</v>
      </c>
      <c r="H80" s="172">
        <v>1</v>
      </c>
      <c r="I80" s="172">
        <v>1</v>
      </c>
      <c r="J80" s="172">
        <v>1</v>
      </c>
      <c r="K80" s="172">
        <v>1</v>
      </c>
      <c r="L80" s="172">
        <v>1</v>
      </c>
      <c r="M80" s="172">
        <v>1</v>
      </c>
      <c r="N80" s="172">
        <v>1</v>
      </c>
      <c r="O80" s="172">
        <v>1</v>
      </c>
      <c r="P80" s="172">
        <v>1</v>
      </c>
      <c r="Q80" s="172">
        <v>1</v>
      </c>
      <c r="R80" s="172">
        <v>1</v>
      </c>
      <c r="S80" s="172">
        <v>1</v>
      </c>
      <c r="T80" s="172">
        <v>1</v>
      </c>
      <c r="U80" s="172">
        <v>1</v>
      </c>
      <c r="V80" s="172">
        <v>1</v>
      </c>
      <c r="W80" s="172">
        <v>1</v>
      </c>
      <c r="X80" s="172">
        <v>1</v>
      </c>
      <c r="Y80" s="172">
        <v>1</v>
      </c>
      <c r="Z80" s="172">
        <v>1</v>
      </c>
      <c r="AA80" s="172">
        <v>1</v>
      </c>
      <c r="AB80" s="172">
        <v>1</v>
      </c>
      <c r="AC80" s="172">
        <v>1</v>
      </c>
      <c r="AD80" s="172">
        <v>1</v>
      </c>
      <c r="AE80" s="172">
        <v>1</v>
      </c>
      <c r="AF80" s="522">
        <v>0</v>
      </c>
      <c r="AG80" s="523">
        <v>1</v>
      </c>
      <c r="AH80" s="172">
        <v>1</v>
      </c>
      <c r="AI80" s="172">
        <v>1</v>
      </c>
      <c r="AJ80" s="172">
        <v>1</v>
      </c>
      <c r="AK80" s="172">
        <v>1</v>
      </c>
    </row>
    <row r="81" spans="1:37" s="527" customFormat="1" ht="15.75" thickBot="1" x14ac:dyDescent="0.3">
      <c r="A81" s="524" t="s">
        <v>283</v>
      </c>
      <c r="B81" s="172">
        <v>1</v>
      </c>
      <c r="C81" s="172">
        <v>1</v>
      </c>
      <c r="D81" s="172">
        <v>1</v>
      </c>
      <c r="E81" s="525">
        <v>0</v>
      </c>
      <c r="F81" s="172">
        <v>1</v>
      </c>
      <c r="G81" s="172">
        <v>1</v>
      </c>
      <c r="H81" s="172">
        <v>1</v>
      </c>
      <c r="I81" s="172">
        <v>1</v>
      </c>
      <c r="J81" s="172">
        <v>1</v>
      </c>
      <c r="K81" s="172">
        <v>1</v>
      </c>
      <c r="L81" s="172">
        <v>1</v>
      </c>
      <c r="M81" s="172">
        <v>1</v>
      </c>
      <c r="N81" s="172">
        <v>1</v>
      </c>
      <c r="O81" s="172">
        <v>1</v>
      </c>
      <c r="P81" s="172">
        <v>1</v>
      </c>
      <c r="Q81" s="172">
        <v>1</v>
      </c>
      <c r="R81" s="172">
        <v>1</v>
      </c>
      <c r="S81" s="172">
        <v>1</v>
      </c>
      <c r="T81" s="172">
        <v>1</v>
      </c>
      <c r="U81" s="172">
        <v>1</v>
      </c>
      <c r="V81" s="172">
        <v>1</v>
      </c>
      <c r="W81" s="172">
        <v>1</v>
      </c>
      <c r="X81" s="172">
        <v>1</v>
      </c>
      <c r="Y81" s="172">
        <v>1</v>
      </c>
      <c r="Z81" s="172">
        <v>1</v>
      </c>
      <c r="AA81" s="172">
        <v>1</v>
      </c>
      <c r="AB81" s="172">
        <v>1</v>
      </c>
      <c r="AC81" s="172">
        <v>1</v>
      </c>
      <c r="AD81" s="172">
        <v>1</v>
      </c>
      <c r="AE81" s="172">
        <v>1</v>
      </c>
      <c r="AF81" s="522">
        <v>0</v>
      </c>
      <c r="AG81" s="523">
        <v>1</v>
      </c>
      <c r="AH81" s="172">
        <v>1</v>
      </c>
      <c r="AI81" s="172">
        <v>1</v>
      </c>
      <c r="AJ81" s="172">
        <v>1</v>
      </c>
      <c r="AK81" s="172">
        <v>1</v>
      </c>
    </row>
    <row r="82" spans="1:37" s="527" customFormat="1" ht="15.75" thickBot="1" x14ac:dyDescent="0.3">
      <c r="A82" s="524" t="s">
        <v>284</v>
      </c>
      <c r="B82" s="172">
        <v>1</v>
      </c>
      <c r="C82" s="172">
        <v>1</v>
      </c>
      <c r="D82" s="172">
        <v>1</v>
      </c>
      <c r="E82" s="525">
        <v>0</v>
      </c>
      <c r="F82" s="172">
        <v>1</v>
      </c>
      <c r="G82" s="172">
        <v>1</v>
      </c>
      <c r="H82" s="172">
        <v>1</v>
      </c>
      <c r="I82" s="172">
        <v>1</v>
      </c>
      <c r="J82" s="172">
        <v>1</v>
      </c>
      <c r="K82" s="172">
        <v>1</v>
      </c>
      <c r="L82" s="172">
        <v>1</v>
      </c>
      <c r="M82" s="172">
        <v>1</v>
      </c>
      <c r="N82" s="172">
        <v>1</v>
      </c>
      <c r="O82" s="172">
        <v>1</v>
      </c>
      <c r="P82" s="172">
        <v>1</v>
      </c>
      <c r="Q82" s="172">
        <v>1</v>
      </c>
      <c r="R82" s="172">
        <v>1</v>
      </c>
      <c r="S82" s="172">
        <v>1</v>
      </c>
      <c r="T82" s="172">
        <v>1</v>
      </c>
      <c r="U82" s="172">
        <v>1</v>
      </c>
      <c r="V82" s="172">
        <v>1</v>
      </c>
      <c r="W82" s="172">
        <v>1</v>
      </c>
      <c r="X82" s="172">
        <v>1</v>
      </c>
      <c r="Y82" s="172">
        <v>1</v>
      </c>
      <c r="Z82" s="172">
        <v>1</v>
      </c>
      <c r="AA82" s="172">
        <v>1</v>
      </c>
      <c r="AB82" s="172">
        <v>1</v>
      </c>
      <c r="AC82" s="172">
        <v>1</v>
      </c>
      <c r="AD82" s="172">
        <v>1</v>
      </c>
      <c r="AE82" s="172">
        <v>1</v>
      </c>
      <c r="AF82" s="522">
        <v>0</v>
      </c>
      <c r="AG82" s="523">
        <v>1</v>
      </c>
      <c r="AH82" s="172">
        <v>1</v>
      </c>
      <c r="AI82" s="172">
        <v>1</v>
      </c>
      <c r="AJ82" s="172">
        <v>1</v>
      </c>
      <c r="AK82" s="172">
        <v>1</v>
      </c>
    </row>
    <row r="83" spans="1:37" s="527" customFormat="1" ht="15.75" thickBot="1" x14ac:dyDescent="0.3">
      <c r="A83" s="524" t="s">
        <v>285</v>
      </c>
      <c r="B83" s="525">
        <v>1</v>
      </c>
      <c r="C83" s="525">
        <v>1</v>
      </c>
      <c r="D83" s="525">
        <v>1</v>
      </c>
      <c r="E83" s="525">
        <v>0</v>
      </c>
      <c r="F83" s="525">
        <v>1</v>
      </c>
      <c r="G83" s="525">
        <v>1</v>
      </c>
      <c r="H83" s="525">
        <v>1</v>
      </c>
      <c r="I83" s="525">
        <v>1</v>
      </c>
      <c r="J83" s="525">
        <v>1</v>
      </c>
      <c r="K83" s="525">
        <v>1</v>
      </c>
      <c r="L83" s="525">
        <v>1</v>
      </c>
      <c r="M83" s="525">
        <v>1</v>
      </c>
      <c r="N83" s="525">
        <v>1</v>
      </c>
      <c r="O83" s="525">
        <v>1</v>
      </c>
      <c r="P83" s="525">
        <v>1</v>
      </c>
      <c r="Q83" s="525">
        <v>1</v>
      </c>
      <c r="R83" s="525">
        <v>1</v>
      </c>
      <c r="S83" s="525">
        <v>1</v>
      </c>
      <c r="T83" s="525">
        <v>1</v>
      </c>
      <c r="U83" s="525">
        <v>1</v>
      </c>
      <c r="V83" s="525">
        <v>1</v>
      </c>
      <c r="W83" s="525">
        <v>1</v>
      </c>
      <c r="X83" s="525">
        <v>1</v>
      </c>
      <c r="Y83" s="525">
        <v>1</v>
      </c>
      <c r="Z83" s="525">
        <v>1</v>
      </c>
      <c r="AA83" s="525">
        <v>1</v>
      </c>
      <c r="AB83" s="525">
        <v>1</v>
      </c>
      <c r="AC83" s="525">
        <v>1</v>
      </c>
      <c r="AD83" s="525">
        <v>1</v>
      </c>
      <c r="AE83" s="525">
        <v>1</v>
      </c>
      <c r="AF83" s="526">
        <v>0</v>
      </c>
      <c r="AG83" s="523">
        <v>1</v>
      </c>
      <c r="AH83" s="172">
        <v>1</v>
      </c>
      <c r="AI83" s="172">
        <v>1</v>
      </c>
      <c r="AJ83" s="172">
        <v>1</v>
      </c>
      <c r="AK83" s="172">
        <v>1</v>
      </c>
    </row>
    <row r="84" spans="1:37" s="527" customFormat="1" ht="15.75" thickBot="1" x14ac:dyDescent="0.3">
      <c r="A84" s="524" t="s">
        <v>286</v>
      </c>
      <c r="B84" s="172">
        <v>0</v>
      </c>
      <c r="C84" s="172">
        <v>1</v>
      </c>
      <c r="D84" s="172">
        <v>1</v>
      </c>
      <c r="E84" s="525">
        <v>0</v>
      </c>
      <c r="F84" s="172">
        <v>0</v>
      </c>
      <c r="G84" s="172">
        <v>0</v>
      </c>
      <c r="H84" s="172">
        <v>0</v>
      </c>
      <c r="I84" s="172">
        <v>0</v>
      </c>
      <c r="J84" s="172">
        <v>0</v>
      </c>
      <c r="K84" s="172">
        <v>0</v>
      </c>
      <c r="L84" s="172">
        <v>0</v>
      </c>
      <c r="M84" s="172">
        <v>0</v>
      </c>
      <c r="N84" s="172">
        <v>0</v>
      </c>
      <c r="O84" s="172">
        <v>0</v>
      </c>
      <c r="P84" s="172">
        <v>0</v>
      </c>
      <c r="Q84" s="172">
        <v>0</v>
      </c>
      <c r="R84" s="172">
        <v>0</v>
      </c>
      <c r="S84" s="172">
        <v>0</v>
      </c>
      <c r="T84" s="172">
        <v>0</v>
      </c>
      <c r="U84" s="172">
        <v>0</v>
      </c>
      <c r="V84" s="172">
        <v>0</v>
      </c>
      <c r="W84" s="172">
        <v>0</v>
      </c>
      <c r="X84" s="172">
        <v>0</v>
      </c>
      <c r="Y84" s="172">
        <v>0</v>
      </c>
      <c r="Z84" s="172">
        <v>1</v>
      </c>
      <c r="AA84" s="172">
        <v>1</v>
      </c>
      <c r="AB84" s="172">
        <v>1</v>
      </c>
      <c r="AC84" s="172">
        <v>1</v>
      </c>
      <c r="AD84" s="172">
        <v>1</v>
      </c>
      <c r="AE84" s="172">
        <v>0</v>
      </c>
      <c r="AF84" s="522">
        <v>0</v>
      </c>
      <c r="AG84" s="523">
        <v>1</v>
      </c>
      <c r="AH84" s="172">
        <v>1</v>
      </c>
      <c r="AI84" s="172">
        <v>1</v>
      </c>
      <c r="AJ84" s="172">
        <v>1</v>
      </c>
      <c r="AK84" s="172">
        <v>1</v>
      </c>
    </row>
    <row r="85" spans="1:37" s="527" customFormat="1" ht="15.75" thickBot="1" x14ac:dyDescent="0.3">
      <c r="A85" s="524" t="s">
        <v>287</v>
      </c>
      <c r="B85" s="172">
        <v>0</v>
      </c>
      <c r="C85" s="172">
        <v>1</v>
      </c>
      <c r="D85" s="172">
        <v>1</v>
      </c>
      <c r="E85" s="525">
        <v>0</v>
      </c>
      <c r="F85" s="172">
        <v>0</v>
      </c>
      <c r="G85" s="172">
        <v>0</v>
      </c>
      <c r="H85" s="172">
        <v>0</v>
      </c>
      <c r="I85" s="172">
        <v>0</v>
      </c>
      <c r="J85" s="172">
        <v>0</v>
      </c>
      <c r="K85" s="172">
        <v>0</v>
      </c>
      <c r="L85" s="172">
        <v>0</v>
      </c>
      <c r="M85" s="172">
        <v>0</v>
      </c>
      <c r="N85" s="172">
        <v>0</v>
      </c>
      <c r="O85" s="172">
        <v>0</v>
      </c>
      <c r="P85" s="172">
        <v>0</v>
      </c>
      <c r="Q85" s="172">
        <v>0</v>
      </c>
      <c r="R85" s="172">
        <v>0</v>
      </c>
      <c r="S85" s="172">
        <v>0</v>
      </c>
      <c r="T85" s="172">
        <v>0</v>
      </c>
      <c r="U85" s="172">
        <v>0</v>
      </c>
      <c r="V85" s="172">
        <v>0</v>
      </c>
      <c r="W85" s="172">
        <v>0</v>
      </c>
      <c r="X85" s="172">
        <v>0</v>
      </c>
      <c r="Y85" s="172">
        <v>0</v>
      </c>
      <c r="Z85" s="172">
        <v>1</v>
      </c>
      <c r="AA85" s="172">
        <v>1</v>
      </c>
      <c r="AB85" s="172">
        <v>1</v>
      </c>
      <c r="AC85" s="172">
        <v>1</v>
      </c>
      <c r="AD85" s="172">
        <v>1</v>
      </c>
      <c r="AE85" s="172">
        <v>0</v>
      </c>
      <c r="AF85" s="526">
        <v>0</v>
      </c>
      <c r="AG85" s="523">
        <v>1</v>
      </c>
      <c r="AH85" s="172">
        <v>1</v>
      </c>
      <c r="AI85" s="172">
        <v>1</v>
      </c>
      <c r="AJ85" s="172">
        <v>1</v>
      </c>
      <c r="AK85" s="172">
        <v>1</v>
      </c>
    </row>
    <row r="86" spans="1:37" s="527" customFormat="1" ht="15.75" thickBot="1" x14ac:dyDescent="0.3">
      <c r="A86" s="524" t="s">
        <v>288</v>
      </c>
      <c r="B86" s="172">
        <v>0</v>
      </c>
      <c r="C86" s="172">
        <v>1</v>
      </c>
      <c r="D86" s="172">
        <v>1</v>
      </c>
      <c r="E86" s="525">
        <v>0</v>
      </c>
      <c r="F86" s="172">
        <v>0</v>
      </c>
      <c r="G86" s="172">
        <v>0</v>
      </c>
      <c r="H86" s="172">
        <v>0</v>
      </c>
      <c r="I86" s="172">
        <v>0</v>
      </c>
      <c r="J86" s="172">
        <v>0</v>
      </c>
      <c r="K86" s="172">
        <v>0</v>
      </c>
      <c r="L86" s="172">
        <v>0</v>
      </c>
      <c r="M86" s="172">
        <v>0</v>
      </c>
      <c r="N86" s="172">
        <v>0</v>
      </c>
      <c r="O86" s="172">
        <v>0</v>
      </c>
      <c r="P86" s="172">
        <v>0</v>
      </c>
      <c r="Q86" s="172">
        <v>0</v>
      </c>
      <c r="R86" s="172">
        <v>0</v>
      </c>
      <c r="S86" s="172">
        <v>0</v>
      </c>
      <c r="T86" s="172">
        <v>0</v>
      </c>
      <c r="U86" s="172">
        <v>0</v>
      </c>
      <c r="V86" s="172">
        <v>0</v>
      </c>
      <c r="W86" s="172">
        <v>0</v>
      </c>
      <c r="X86" s="172">
        <v>0</v>
      </c>
      <c r="Y86" s="172">
        <v>0</v>
      </c>
      <c r="Z86" s="172">
        <v>1</v>
      </c>
      <c r="AA86" s="172">
        <v>1</v>
      </c>
      <c r="AB86" s="172">
        <v>1</v>
      </c>
      <c r="AC86" s="172">
        <v>1</v>
      </c>
      <c r="AD86" s="172">
        <v>1</v>
      </c>
      <c r="AE86" s="172">
        <v>0</v>
      </c>
      <c r="AF86" s="526">
        <v>0</v>
      </c>
      <c r="AG86" s="523">
        <v>1</v>
      </c>
      <c r="AH86" s="172">
        <v>1</v>
      </c>
      <c r="AI86" s="172">
        <v>1</v>
      </c>
      <c r="AJ86" s="172">
        <v>1</v>
      </c>
      <c r="AK86" s="172">
        <v>1</v>
      </c>
    </row>
    <row r="87" spans="1:37" s="527" customFormat="1" ht="15.75" thickBot="1" x14ac:dyDescent="0.3">
      <c r="A87" s="524" t="s">
        <v>289</v>
      </c>
      <c r="B87" s="525">
        <v>1</v>
      </c>
      <c r="C87" s="525">
        <v>1</v>
      </c>
      <c r="D87" s="525">
        <v>1</v>
      </c>
      <c r="E87" s="525">
        <v>0</v>
      </c>
      <c r="F87" s="525">
        <v>1</v>
      </c>
      <c r="G87" s="525">
        <v>1</v>
      </c>
      <c r="H87" s="525">
        <v>1</v>
      </c>
      <c r="I87" s="525">
        <v>1</v>
      </c>
      <c r="J87" s="525">
        <v>1</v>
      </c>
      <c r="K87" s="525">
        <v>1</v>
      </c>
      <c r="L87" s="525">
        <v>1</v>
      </c>
      <c r="M87" s="525">
        <v>1</v>
      </c>
      <c r="N87" s="525">
        <v>1</v>
      </c>
      <c r="O87" s="525">
        <v>1</v>
      </c>
      <c r="P87" s="525">
        <v>1</v>
      </c>
      <c r="Q87" s="525">
        <v>1</v>
      </c>
      <c r="R87" s="525">
        <v>1</v>
      </c>
      <c r="S87" s="525">
        <v>1</v>
      </c>
      <c r="T87" s="525">
        <v>1</v>
      </c>
      <c r="U87" s="525">
        <v>1</v>
      </c>
      <c r="V87" s="525">
        <v>1</v>
      </c>
      <c r="W87" s="525">
        <v>1</v>
      </c>
      <c r="X87" s="525">
        <v>1</v>
      </c>
      <c r="Y87" s="525">
        <v>1</v>
      </c>
      <c r="Z87" s="525">
        <v>1</v>
      </c>
      <c r="AA87" s="525">
        <v>1</v>
      </c>
      <c r="AB87" s="525">
        <v>1</v>
      </c>
      <c r="AC87" s="525">
        <v>1</v>
      </c>
      <c r="AD87" s="525">
        <v>1</v>
      </c>
      <c r="AE87" s="525">
        <v>1</v>
      </c>
      <c r="AF87" s="526">
        <v>0</v>
      </c>
      <c r="AG87" s="523">
        <v>1</v>
      </c>
      <c r="AH87" s="172">
        <v>1</v>
      </c>
      <c r="AI87" s="172">
        <v>1</v>
      </c>
      <c r="AJ87" s="172">
        <v>1</v>
      </c>
      <c r="AK87" s="172">
        <v>1</v>
      </c>
    </row>
    <row r="88" spans="1:37" s="527" customFormat="1" ht="15.75" thickBot="1" x14ac:dyDescent="0.3">
      <c r="A88" s="524" t="s">
        <v>290</v>
      </c>
      <c r="B88" s="525">
        <v>1</v>
      </c>
      <c r="C88" s="525">
        <v>1</v>
      </c>
      <c r="D88" s="525">
        <v>1</v>
      </c>
      <c r="E88" s="525">
        <v>0</v>
      </c>
      <c r="F88" s="525">
        <v>1</v>
      </c>
      <c r="G88" s="525">
        <v>1</v>
      </c>
      <c r="H88" s="525">
        <v>1</v>
      </c>
      <c r="I88" s="525">
        <v>1</v>
      </c>
      <c r="J88" s="525">
        <v>1</v>
      </c>
      <c r="K88" s="525">
        <v>1</v>
      </c>
      <c r="L88" s="525">
        <v>1</v>
      </c>
      <c r="M88" s="525">
        <v>1</v>
      </c>
      <c r="N88" s="525">
        <v>1</v>
      </c>
      <c r="O88" s="525">
        <v>1</v>
      </c>
      <c r="P88" s="525">
        <v>1</v>
      </c>
      <c r="Q88" s="525">
        <v>1</v>
      </c>
      <c r="R88" s="525">
        <v>1</v>
      </c>
      <c r="S88" s="525">
        <v>1</v>
      </c>
      <c r="T88" s="525">
        <v>1</v>
      </c>
      <c r="U88" s="525">
        <v>1</v>
      </c>
      <c r="V88" s="525">
        <v>1</v>
      </c>
      <c r="W88" s="525">
        <v>1</v>
      </c>
      <c r="X88" s="525">
        <v>1</v>
      </c>
      <c r="Y88" s="525">
        <v>1</v>
      </c>
      <c r="Z88" s="525">
        <v>1</v>
      </c>
      <c r="AA88" s="525">
        <v>1</v>
      </c>
      <c r="AB88" s="525">
        <v>1</v>
      </c>
      <c r="AC88" s="525">
        <v>1</v>
      </c>
      <c r="AD88" s="525">
        <v>1</v>
      </c>
      <c r="AE88" s="525">
        <v>1</v>
      </c>
      <c r="AF88" s="526">
        <v>0</v>
      </c>
      <c r="AG88" s="523">
        <v>1</v>
      </c>
      <c r="AH88" s="172">
        <v>1</v>
      </c>
      <c r="AI88" s="172">
        <v>1</v>
      </c>
      <c r="AJ88" s="172">
        <v>1</v>
      </c>
      <c r="AK88" s="172">
        <v>1</v>
      </c>
    </row>
    <row r="89" spans="1:37" s="527" customFormat="1" ht="15.75" thickBot="1" x14ac:dyDescent="0.3">
      <c r="A89" s="524" t="s">
        <v>291</v>
      </c>
      <c r="B89" s="525">
        <v>1</v>
      </c>
      <c r="C89" s="525">
        <v>1</v>
      </c>
      <c r="D89" s="525">
        <v>1</v>
      </c>
      <c r="E89" s="525">
        <v>0</v>
      </c>
      <c r="F89" s="525">
        <v>1</v>
      </c>
      <c r="G89" s="525">
        <v>1</v>
      </c>
      <c r="H89" s="525">
        <v>1</v>
      </c>
      <c r="I89" s="525">
        <v>1</v>
      </c>
      <c r="J89" s="525">
        <v>1</v>
      </c>
      <c r="K89" s="525">
        <v>1</v>
      </c>
      <c r="L89" s="525">
        <v>1</v>
      </c>
      <c r="M89" s="525">
        <v>1</v>
      </c>
      <c r="N89" s="525">
        <v>1</v>
      </c>
      <c r="O89" s="525">
        <v>1</v>
      </c>
      <c r="P89" s="525">
        <v>1</v>
      </c>
      <c r="Q89" s="525">
        <v>1</v>
      </c>
      <c r="R89" s="525">
        <v>1</v>
      </c>
      <c r="S89" s="525">
        <v>1</v>
      </c>
      <c r="T89" s="525">
        <v>1</v>
      </c>
      <c r="U89" s="525">
        <v>1</v>
      </c>
      <c r="V89" s="525">
        <v>1</v>
      </c>
      <c r="W89" s="525">
        <v>1</v>
      </c>
      <c r="X89" s="525">
        <v>1</v>
      </c>
      <c r="Y89" s="525">
        <v>1</v>
      </c>
      <c r="Z89" s="525">
        <v>1</v>
      </c>
      <c r="AA89" s="525">
        <v>1</v>
      </c>
      <c r="AB89" s="525">
        <v>1</v>
      </c>
      <c r="AC89" s="525">
        <v>1</v>
      </c>
      <c r="AD89" s="525">
        <v>1</v>
      </c>
      <c r="AE89" s="525">
        <v>1</v>
      </c>
      <c r="AF89" s="526">
        <v>0</v>
      </c>
      <c r="AG89" s="523">
        <v>1</v>
      </c>
      <c r="AH89" s="172">
        <v>1</v>
      </c>
      <c r="AI89" s="172">
        <v>1</v>
      </c>
      <c r="AJ89" s="172">
        <v>1</v>
      </c>
      <c r="AK89" s="172">
        <v>1</v>
      </c>
    </row>
    <row r="90" spans="1:37" s="527" customFormat="1" ht="15.75" thickBot="1" x14ac:dyDescent="0.3">
      <c r="A90" s="524" t="s">
        <v>292</v>
      </c>
      <c r="B90" s="525">
        <v>1</v>
      </c>
      <c r="C90" s="525">
        <v>1</v>
      </c>
      <c r="D90" s="525">
        <v>1</v>
      </c>
      <c r="E90" s="525">
        <v>0</v>
      </c>
      <c r="F90" s="525">
        <v>1</v>
      </c>
      <c r="G90" s="525">
        <v>1</v>
      </c>
      <c r="H90" s="525">
        <v>1</v>
      </c>
      <c r="I90" s="525">
        <v>1</v>
      </c>
      <c r="J90" s="525">
        <v>1</v>
      </c>
      <c r="K90" s="525">
        <v>1</v>
      </c>
      <c r="L90" s="525">
        <v>1</v>
      </c>
      <c r="M90" s="525">
        <v>1</v>
      </c>
      <c r="N90" s="525">
        <v>1</v>
      </c>
      <c r="O90" s="525">
        <v>1</v>
      </c>
      <c r="P90" s="525">
        <v>1</v>
      </c>
      <c r="Q90" s="525">
        <v>1</v>
      </c>
      <c r="R90" s="525">
        <v>1</v>
      </c>
      <c r="S90" s="525">
        <v>1</v>
      </c>
      <c r="T90" s="525">
        <v>1</v>
      </c>
      <c r="U90" s="525">
        <v>1</v>
      </c>
      <c r="V90" s="525">
        <v>1</v>
      </c>
      <c r="W90" s="525">
        <v>1</v>
      </c>
      <c r="X90" s="525">
        <v>1</v>
      </c>
      <c r="Y90" s="525">
        <v>1</v>
      </c>
      <c r="Z90" s="525">
        <v>1</v>
      </c>
      <c r="AA90" s="525">
        <v>1</v>
      </c>
      <c r="AB90" s="525">
        <v>1</v>
      </c>
      <c r="AC90" s="525">
        <v>1</v>
      </c>
      <c r="AD90" s="525">
        <v>1</v>
      </c>
      <c r="AE90" s="525">
        <v>1</v>
      </c>
      <c r="AF90" s="526">
        <v>0</v>
      </c>
      <c r="AG90" s="523">
        <v>1</v>
      </c>
      <c r="AH90" s="172">
        <v>1</v>
      </c>
      <c r="AI90" s="172">
        <v>1</v>
      </c>
      <c r="AJ90" s="172">
        <v>1</v>
      </c>
      <c r="AK90" s="172">
        <v>1</v>
      </c>
    </row>
    <row r="91" spans="1:37" s="527" customFormat="1" ht="15.75" thickBot="1" x14ac:dyDescent="0.3">
      <c r="A91" s="524" t="s">
        <v>293</v>
      </c>
      <c r="B91" s="525">
        <v>1</v>
      </c>
      <c r="C91" s="525">
        <v>1</v>
      </c>
      <c r="D91" s="525">
        <v>1</v>
      </c>
      <c r="E91" s="525">
        <v>0</v>
      </c>
      <c r="F91" s="525">
        <v>1</v>
      </c>
      <c r="G91" s="525">
        <v>1</v>
      </c>
      <c r="H91" s="525">
        <v>1</v>
      </c>
      <c r="I91" s="525">
        <v>1</v>
      </c>
      <c r="J91" s="525">
        <v>1</v>
      </c>
      <c r="K91" s="525">
        <v>1</v>
      </c>
      <c r="L91" s="525">
        <v>1</v>
      </c>
      <c r="M91" s="525">
        <v>1</v>
      </c>
      <c r="N91" s="525">
        <v>1</v>
      </c>
      <c r="O91" s="525">
        <v>1</v>
      </c>
      <c r="P91" s="525">
        <v>1</v>
      </c>
      <c r="Q91" s="525">
        <v>1</v>
      </c>
      <c r="R91" s="525">
        <v>1</v>
      </c>
      <c r="S91" s="525">
        <v>1</v>
      </c>
      <c r="T91" s="525">
        <v>1</v>
      </c>
      <c r="U91" s="525">
        <v>1</v>
      </c>
      <c r="V91" s="525">
        <v>1</v>
      </c>
      <c r="W91" s="525">
        <v>1</v>
      </c>
      <c r="X91" s="525">
        <v>1</v>
      </c>
      <c r="Y91" s="525">
        <v>1</v>
      </c>
      <c r="Z91" s="525">
        <v>1</v>
      </c>
      <c r="AA91" s="525">
        <v>1</v>
      </c>
      <c r="AB91" s="525">
        <v>1</v>
      </c>
      <c r="AC91" s="525">
        <v>1</v>
      </c>
      <c r="AD91" s="525">
        <v>1</v>
      </c>
      <c r="AE91" s="525">
        <v>1</v>
      </c>
      <c r="AF91" s="526">
        <v>0</v>
      </c>
      <c r="AG91" s="523">
        <v>1</v>
      </c>
      <c r="AH91" s="172">
        <v>1</v>
      </c>
      <c r="AI91" s="172">
        <v>1</v>
      </c>
      <c r="AJ91" s="172">
        <v>1</v>
      </c>
      <c r="AK91" s="172">
        <v>1</v>
      </c>
    </row>
    <row r="92" spans="1:37" s="527" customFormat="1" ht="15.75" thickBot="1" x14ac:dyDescent="0.3">
      <c r="A92" s="524" t="s">
        <v>294</v>
      </c>
      <c r="B92" s="525">
        <v>1</v>
      </c>
      <c r="C92" s="525">
        <v>1</v>
      </c>
      <c r="D92" s="525">
        <v>1</v>
      </c>
      <c r="E92" s="525">
        <v>0</v>
      </c>
      <c r="F92" s="525">
        <v>1</v>
      </c>
      <c r="G92" s="525">
        <v>1</v>
      </c>
      <c r="H92" s="525">
        <v>1</v>
      </c>
      <c r="I92" s="525">
        <v>1</v>
      </c>
      <c r="J92" s="525">
        <v>1</v>
      </c>
      <c r="K92" s="525">
        <v>1</v>
      </c>
      <c r="L92" s="525">
        <v>1</v>
      </c>
      <c r="M92" s="525">
        <v>1</v>
      </c>
      <c r="N92" s="525">
        <v>1</v>
      </c>
      <c r="O92" s="525">
        <v>1</v>
      </c>
      <c r="P92" s="525">
        <v>1</v>
      </c>
      <c r="Q92" s="525">
        <v>1</v>
      </c>
      <c r="R92" s="525">
        <v>1</v>
      </c>
      <c r="S92" s="525">
        <v>1</v>
      </c>
      <c r="T92" s="525">
        <v>1</v>
      </c>
      <c r="U92" s="525">
        <v>1</v>
      </c>
      <c r="V92" s="525">
        <v>1</v>
      </c>
      <c r="W92" s="525">
        <v>1</v>
      </c>
      <c r="X92" s="525">
        <v>1</v>
      </c>
      <c r="Y92" s="525">
        <v>1</v>
      </c>
      <c r="Z92" s="525">
        <v>1</v>
      </c>
      <c r="AA92" s="525">
        <v>1</v>
      </c>
      <c r="AB92" s="525">
        <v>1</v>
      </c>
      <c r="AC92" s="525">
        <v>1</v>
      </c>
      <c r="AD92" s="525">
        <v>1</v>
      </c>
      <c r="AE92" s="525">
        <v>1</v>
      </c>
      <c r="AF92" s="526">
        <v>0</v>
      </c>
      <c r="AG92" s="523">
        <v>1</v>
      </c>
      <c r="AH92" s="172">
        <v>1</v>
      </c>
      <c r="AI92" s="172">
        <v>1</v>
      </c>
      <c r="AJ92" s="172">
        <v>1</v>
      </c>
      <c r="AK92" s="172">
        <v>1</v>
      </c>
    </row>
    <row r="93" spans="1:37" s="527" customFormat="1" ht="15.75" thickBot="1" x14ac:dyDescent="0.3">
      <c r="A93" s="524" t="s">
        <v>295</v>
      </c>
      <c r="B93" s="525">
        <v>1</v>
      </c>
      <c r="C93" s="525">
        <v>1</v>
      </c>
      <c r="D93" s="525">
        <v>1</v>
      </c>
      <c r="E93" s="525">
        <v>0</v>
      </c>
      <c r="F93" s="525">
        <v>1</v>
      </c>
      <c r="G93" s="525">
        <v>1</v>
      </c>
      <c r="H93" s="525">
        <v>1</v>
      </c>
      <c r="I93" s="525">
        <v>1</v>
      </c>
      <c r="J93" s="525">
        <v>1</v>
      </c>
      <c r="K93" s="525">
        <v>1</v>
      </c>
      <c r="L93" s="525">
        <v>1</v>
      </c>
      <c r="M93" s="525">
        <v>1</v>
      </c>
      <c r="N93" s="525">
        <v>1</v>
      </c>
      <c r="O93" s="525">
        <v>1</v>
      </c>
      <c r="P93" s="525">
        <v>1</v>
      </c>
      <c r="Q93" s="525">
        <v>1</v>
      </c>
      <c r="R93" s="525">
        <v>1</v>
      </c>
      <c r="S93" s="525">
        <v>1</v>
      </c>
      <c r="T93" s="525">
        <v>1</v>
      </c>
      <c r="U93" s="525">
        <v>1</v>
      </c>
      <c r="V93" s="525">
        <v>1</v>
      </c>
      <c r="W93" s="525">
        <v>1</v>
      </c>
      <c r="X93" s="525">
        <v>1</v>
      </c>
      <c r="Y93" s="525">
        <v>1</v>
      </c>
      <c r="Z93" s="525">
        <v>1</v>
      </c>
      <c r="AA93" s="525">
        <v>1</v>
      </c>
      <c r="AB93" s="525">
        <v>1</v>
      </c>
      <c r="AC93" s="525">
        <v>1</v>
      </c>
      <c r="AD93" s="525">
        <v>1</v>
      </c>
      <c r="AE93" s="525">
        <v>1</v>
      </c>
      <c r="AF93" s="526">
        <v>0</v>
      </c>
      <c r="AG93" s="523">
        <v>1</v>
      </c>
      <c r="AH93" s="172">
        <v>1</v>
      </c>
      <c r="AI93" s="172">
        <v>1</v>
      </c>
      <c r="AJ93" s="172">
        <v>1</v>
      </c>
      <c r="AK93" s="172">
        <v>1</v>
      </c>
    </row>
    <row r="94" spans="1:37" s="527" customFormat="1" ht="15.75" thickBot="1" x14ac:dyDescent="0.3">
      <c r="A94" s="524" t="s">
        <v>296</v>
      </c>
      <c r="B94" s="525">
        <v>1</v>
      </c>
      <c r="C94" s="525">
        <v>1</v>
      </c>
      <c r="D94" s="525">
        <v>1</v>
      </c>
      <c r="E94" s="525">
        <v>0</v>
      </c>
      <c r="F94" s="525">
        <v>1</v>
      </c>
      <c r="G94" s="525">
        <v>1</v>
      </c>
      <c r="H94" s="525">
        <v>1</v>
      </c>
      <c r="I94" s="525">
        <v>1</v>
      </c>
      <c r="J94" s="525">
        <v>1</v>
      </c>
      <c r="K94" s="525">
        <v>1</v>
      </c>
      <c r="L94" s="525">
        <v>1</v>
      </c>
      <c r="M94" s="525">
        <v>1</v>
      </c>
      <c r="N94" s="525">
        <v>1</v>
      </c>
      <c r="O94" s="525">
        <v>1</v>
      </c>
      <c r="P94" s="525">
        <v>1</v>
      </c>
      <c r="Q94" s="525">
        <v>1</v>
      </c>
      <c r="R94" s="525">
        <v>1</v>
      </c>
      <c r="S94" s="525">
        <v>1</v>
      </c>
      <c r="T94" s="525">
        <v>1</v>
      </c>
      <c r="U94" s="525">
        <v>1</v>
      </c>
      <c r="V94" s="525">
        <v>1</v>
      </c>
      <c r="W94" s="525">
        <v>1</v>
      </c>
      <c r="X94" s="525">
        <v>1</v>
      </c>
      <c r="Y94" s="525">
        <v>1</v>
      </c>
      <c r="Z94" s="525">
        <v>1</v>
      </c>
      <c r="AA94" s="525">
        <v>1</v>
      </c>
      <c r="AB94" s="525">
        <v>1</v>
      </c>
      <c r="AC94" s="525">
        <v>1</v>
      </c>
      <c r="AD94" s="525">
        <v>1</v>
      </c>
      <c r="AE94" s="525">
        <v>1</v>
      </c>
      <c r="AF94" s="526">
        <v>0</v>
      </c>
      <c r="AG94" s="523">
        <v>1</v>
      </c>
      <c r="AH94" s="172">
        <v>1</v>
      </c>
      <c r="AI94" s="172">
        <v>1</v>
      </c>
      <c r="AJ94" s="172">
        <v>1</v>
      </c>
      <c r="AK94" s="172">
        <v>1</v>
      </c>
    </row>
    <row r="95" spans="1:37" s="527" customFormat="1" ht="15.75" thickBot="1" x14ac:dyDescent="0.3">
      <c r="A95" s="524" t="s">
        <v>297</v>
      </c>
      <c r="B95" s="525">
        <v>1</v>
      </c>
      <c r="C95" s="525">
        <v>1</v>
      </c>
      <c r="D95" s="525">
        <v>1</v>
      </c>
      <c r="E95" s="525">
        <v>0</v>
      </c>
      <c r="F95" s="525">
        <v>1</v>
      </c>
      <c r="G95" s="525">
        <v>1</v>
      </c>
      <c r="H95" s="525">
        <v>1</v>
      </c>
      <c r="I95" s="525">
        <v>1</v>
      </c>
      <c r="J95" s="525">
        <v>1</v>
      </c>
      <c r="K95" s="525">
        <v>1</v>
      </c>
      <c r="L95" s="525">
        <v>1</v>
      </c>
      <c r="M95" s="525">
        <v>1</v>
      </c>
      <c r="N95" s="525">
        <v>1</v>
      </c>
      <c r="O95" s="525">
        <v>1</v>
      </c>
      <c r="P95" s="525">
        <v>1</v>
      </c>
      <c r="Q95" s="525">
        <v>1</v>
      </c>
      <c r="R95" s="525">
        <v>1</v>
      </c>
      <c r="S95" s="525">
        <v>1</v>
      </c>
      <c r="T95" s="525">
        <v>1</v>
      </c>
      <c r="U95" s="525">
        <v>1</v>
      </c>
      <c r="V95" s="525">
        <v>1</v>
      </c>
      <c r="W95" s="525">
        <v>1</v>
      </c>
      <c r="X95" s="525">
        <v>1</v>
      </c>
      <c r="Y95" s="525">
        <v>1</v>
      </c>
      <c r="Z95" s="525">
        <v>1</v>
      </c>
      <c r="AA95" s="525">
        <v>1</v>
      </c>
      <c r="AB95" s="525">
        <v>1</v>
      </c>
      <c r="AC95" s="525">
        <v>1</v>
      </c>
      <c r="AD95" s="525">
        <v>1</v>
      </c>
      <c r="AE95" s="525">
        <v>1</v>
      </c>
      <c r="AF95" s="526">
        <v>0</v>
      </c>
      <c r="AG95" s="523">
        <v>1</v>
      </c>
      <c r="AH95" s="172">
        <v>1</v>
      </c>
      <c r="AI95" s="172">
        <v>1</v>
      </c>
      <c r="AJ95" s="172">
        <v>1</v>
      </c>
      <c r="AK95" s="172">
        <v>1</v>
      </c>
    </row>
    <row r="96" spans="1:37" s="527" customFormat="1" ht="15.75" thickBot="1" x14ac:dyDescent="0.3">
      <c r="A96" s="524" t="s">
        <v>298</v>
      </c>
      <c r="B96" s="525">
        <v>0</v>
      </c>
      <c r="C96" s="525">
        <v>0</v>
      </c>
      <c r="D96" s="525">
        <v>0</v>
      </c>
      <c r="E96" s="525">
        <v>0</v>
      </c>
      <c r="F96" s="525">
        <v>0</v>
      </c>
      <c r="G96" s="525">
        <v>0</v>
      </c>
      <c r="H96" s="525">
        <v>0</v>
      </c>
      <c r="I96" s="525">
        <v>0</v>
      </c>
      <c r="J96" s="525">
        <v>0</v>
      </c>
      <c r="K96" s="525">
        <v>0</v>
      </c>
      <c r="L96" s="525">
        <v>0</v>
      </c>
      <c r="M96" s="525">
        <v>0</v>
      </c>
      <c r="N96" s="525">
        <v>0</v>
      </c>
      <c r="O96" s="525">
        <v>0</v>
      </c>
      <c r="P96" s="525">
        <v>0</v>
      </c>
      <c r="Q96" s="525">
        <v>0</v>
      </c>
      <c r="R96" s="525">
        <v>0</v>
      </c>
      <c r="S96" s="525">
        <v>0</v>
      </c>
      <c r="T96" s="525">
        <v>0</v>
      </c>
      <c r="U96" s="525">
        <v>0</v>
      </c>
      <c r="V96" s="525">
        <v>0</v>
      </c>
      <c r="W96" s="525">
        <v>0</v>
      </c>
      <c r="X96" s="525">
        <v>0</v>
      </c>
      <c r="Y96" s="525">
        <v>0</v>
      </c>
      <c r="Z96" s="525">
        <v>0</v>
      </c>
      <c r="AA96" s="525">
        <v>0</v>
      </c>
      <c r="AB96" s="525">
        <v>0</v>
      </c>
      <c r="AC96" s="525">
        <v>0</v>
      </c>
      <c r="AD96" s="525">
        <v>1</v>
      </c>
      <c r="AE96" s="525">
        <v>0</v>
      </c>
      <c r="AF96" s="526">
        <v>0</v>
      </c>
      <c r="AG96" s="523">
        <v>1</v>
      </c>
      <c r="AH96" s="172">
        <v>1</v>
      </c>
      <c r="AI96" s="172">
        <v>1</v>
      </c>
      <c r="AJ96" s="172">
        <v>1</v>
      </c>
      <c r="AK96" s="172">
        <v>1</v>
      </c>
    </row>
    <row r="97" spans="1:37" s="527" customFormat="1" ht="15.75" thickBot="1" x14ac:dyDescent="0.3">
      <c r="A97" s="524" t="s">
        <v>299</v>
      </c>
      <c r="B97" s="525">
        <v>1</v>
      </c>
      <c r="C97" s="525">
        <v>1</v>
      </c>
      <c r="D97" s="525">
        <v>1</v>
      </c>
      <c r="E97" s="525">
        <v>0</v>
      </c>
      <c r="F97" s="525">
        <v>1</v>
      </c>
      <c r="G97" s="525">
        <v>1</v>
      </c>
      <c r="H97" s="525">
        <v>1</v>
      </c>
      <c r="I97" s="525">
        <v>1</v>
      </c>
      <c r="J97" s="525">
        <v>1</v>
      </c>
      <c r="K97" s="525">
        <v>1</v>
      </c>
      <c r="L97" s="525">
        <v>1</v>
      </c>
      <c r="M97" s="525">
        <v>1</v>
      </c>
      <c r="N97" s="525">
        <v>1</v>
      </c>
      <c r="O97" s="525">
        <v>1</v>
      </c>
      <c r="P97" s="525">
        <v>1</v>
      </c>
      <c r="Q97" s="525">
        <v>1</v>
      </c>
      <c r="R97" s="525">
        <v>1</v>
      </c>
      <c r="S97" s="525">
        <v>1</v>
      </c>
      <c r="T97" s="525">
        <v>1</v>
      </c>
      <c r="U97" s="525">
        <v>1</v>
      </c>
      <c r="V97" s="525">
        <v>1</v>
      </c>
      <c r="W97" s="525">
        <v>1</v>
      </c>
      <c r="X97" s="525">
        <v>1</v>
      </c>
      <c r="Y97" s="525">
        <v>1</v>
      </c>
      <c r="Z97" s="525">
        <v>1</v>
      </c>
      <c r="AA97" s="525">
        <v>1</v>
      </c>
      <c r="AB97" s="525">
        <v>1</v>
      </c>
      <c r="AC97" s="525">
        <v>1</v>
      </c>
      <c r="AD97" s="525">
        <v>1</v>
      </c>
      <c r="AE97" s="525">
        <v>1</v>
      </c>
      <c r="AF97" s="526">
        <v>0</v>
      </c>
      <c r="AG97" s="523">
        <v>1</v>
      </c>
      <c r="AH97" s="172">
        <v>1</v>
      </c>
      <c r="AI97" s="172">
        <v>1</v>
      </c>
      <c r="AJ97" s="172">
        <v>1</v>
      </c>
      <c r="AK97" s="172">
        <v>1</v>
      </c>
    </row>
    <row r="98" spans="1:37" s="527" customFormat="1" ht="15.75" thickBot="1" x14ac:dyDescent="0.3">
      <c r="A98" s="524" t="s">
        <v>300</v>
      </c>
      <c r="B98" s="525">
        <v>1</v>
      </c>
      <c r="C98" s="525">
        <v>1</v>
      </c>
      <c r="D98" s="525">
        <v>1</v>
      </c>
      <c r="E98" s="525">
        <v>0</v>
      </c>
      <c r="F98" s="525">
        <v>1</v>
      </c>
      <c r="G98" s="525">
        <v>1</v>
      </c>
      <c r="H98" s="525">
        <v>1</v>
      </c>
      <c r="I98" s="525">
        <v>1</v>
      </c>
      <c r="J98" s="525">
        <v>1</v>
      </c>
      <c r="K98" s="525">
        <v>1</v>
      </c>
      <c r="L98" s="525">
        <v>1</v>
      </c>
      <c r="M98" s="525">
        <v>1</v>
      </c>
      <c r="N98" s="525">
        <v>1</v>
      </c>
      <c r="O98" s="525">
        <v>1</v>
      </c>
      <c r="P98" s="525">
        <v>1</v>
      </c>
      <c r="Q98" s="525">
        <v>1</v>
      </c>
      <c r="R98" s="525">
        <v>1</v>
      </c>
      <c r="S98" s="525">
        <v>1</v>
      </c>
      <c r="T98" s="525">
        <v>1</v>
      </c>
      <c r="U98" s="525">
        <v>1</v>
      </c>
      <c r="V98" s="525">
        <v>1</v>
      </c>
      <c r="W98" s="525">
        <v>1</v>
      </c>
      <c r="X98" s="525">
        <v>1</v>
      </c>
      <c r="Y98" s="525">
        <v>1</v>
      </c>
      <c r="Z98" s="525">
        <v>1</v>
      </c>
      <c r="AA98" s="525">
        <v>1</v>
      </c>
      <c r="AB98" s="525">
        <v>1</v>
      </c>
      <c r="AC98" s="525">
        <v>1</v>
      </c>
      <c r="AD98" s="525">
        <v>1</v>
      </c>
      <c r="AE98" s="525">
        <v>1</v>
      </c>
      <c r="AF98" s="526">
        <v>0</v>
      </c>
      <c r="AG98" s="523">
        <v>1</v>
      </c>
      <c r="AH98" s="172">
        <v>1</v>
      </c>
      <c r="AI98" s="172">
        <v>1</v>
      </c>
      <c r="AJ98" s="172">
        <v>1</v>
      </c>
      <c r="AK98" s="172">
        <v>1</v>
      </c>
    </row>
    <row r="99" spans="1:37" s="527" customFormat="1" ht="15.75" thickBot="1" x14ac:dyDescent="0.3">
      <c r="A99" s="524" t="s">
        <v>301</v>
      </c>
      <c r="B99" s="525">
        <v>1</v>
      </c>
      <c r="C99" s="525">
        <v>1</v>
      </c>
      <c r="D99" s="525">
        <v>1</v>
      </c>
      <c r="E99" s="525">
        <v>0</v>
      </c>
      <c r="F99" s="525">
        <v>1</v>
      </c>
      <c r="G99" s="525">
        <v>1</v>
      </c>
      <c r="H99" s="525">
        <v>1</v>
      </c>
      <c r="I99" s="525">
        <v>1</v>
      </c>
      <c r="J99" s="525">
        <v>1</v>
      </c>
      <c r="K99" s="525">
        <v>1</v>
      </c>
      <c r="L99" s="525">
        <v>1</v>
      </c>
      <c r="M99" s="525">
        <v>1</v>
      </c>
      <c r="N99" s="525">
        <v>1</v>
      </c>
      <c r="O99" s="525">
        <v>1</v>
      </c>
      <c r="P99" s="525">
        <v>1</v>
      </c>
      <c r="Q99" s="525">
        <v>1</v>
      </c>
      <c r="R99" s="525">
        <v>1</v>
      </c>
      <c r="S99" s="525">
        <v>1</v>
      </c>
      <c r="T99" s="525">
        <v>1</v>
      </c>
      <c r="U99" s="525">
        <v>1</v>
      </c>
      <c r="V99" s="525">
        <v>1</v>
      </c>
      <c r="W99" s="525">
        <v>1</v>
      </c>
      <c r="X99" s="525">
        <v>1</v>
      </c>
      <c r="Y99" s="525">
        <v>1</v>
      </c>
      <c r="Z99" s="525">
        <v>1</v>
      </c>
      <c r="AA99" s="525">
        <v>1</v>
      </c>
      <c r="AB99" s="525">
        <v>1</v>
      </c>
      <c r="AC99" s="525">
        <v>1</v>
      </c>
      <c r="AD99" s="525">
        <v>1</v>
      </c>
      <c r="AE99" s="525">
        <v>1</v>
      </c>
      <c r="AF99" s="526">
        <v>0</v>
      </c>
      <c r="AG99" s="523">
        <v>1</v>
      </c>
      <c r="AH99" s="172">
        <v>1</v>
      </c>
      <c r="AI99" s="172">
        <v>1</v>
      </c>
      <c r="AJ99" s="172">
        <v>1</v>
      </c>
      <c r="AK99" s="172">
        <v>1</v>
      </c>
    </row>
    <row r="100" spans="1:37" s="527" customFormat="1" ht="15.75" thickBot="1" x14ac:dyDescent="0.3">
      <c r="A100" s="524" t="s">
        <v>302</v>
      </c>
      <c r="B100" s="525">
        <v>1</v>
      </c>
      <c r="C100" s="525">
        <v>1</v>
      </c>
      <c r="D100" s="525">
        <v>1</v>
      </c>
      <c r="E100" s="525">
        <v>0</v>
      </c>
      <c r="F100" s="525">
        <v>1</v>
      </c>
      <c r="G100" s="525">
        <v>1</v>
      </c>
      <c r="H100" s="525">
        <v>1</v>
      </c>
      <c r="I100" s="525">
        <v>1</v>
      </c>
      <c r="J100" s="525">
        <v>1</v>
      </c>
      <c r="K100" s="525">
        <v>1</v>
      </c>
      <c r="L100" s="525">
        <v>1</v>
      </c>
      <c r="M100" s="525">
        <v>1</v>
      </c>
      <c r="N100" s="525">
        <v>1</v>
      </c>
      <c r="O100" s="525">
        <v>1</v>
      </c>
      <c r="P100" s="525">
        <v>1</v>
      </c>
      <c r="Q100" s="525">
        <v>1</v>
      </c>
      <c r="R100" s="525">
        <v>1</v>
      </c>
      <c r="S100" s="525">
        <v>1</v>
      </c>
      <c r="T100" s="525">
        <v>1</v>
      </c>
      <c r="U100" s="525">
        <v>1</v>
      </c>
      <c r="V100" s="525">
        <v>1</v>
      </c>
      <c r="W100" s="525">
        <v>1</v>
      </c>
      <c r="X100" s="525">
        <v>1</v>
      </c>
      <c r="Y100" s="525">
        <v>1</v>
      </c>
      <c r="Z100" s="525">
        <v>1</v>
      </c>
      <c r="AA100" s="525">
        <v>1</v>
      </c>
      <c r="AB100" s="525">
        <v>1</v>
      </c>
      <c r="AC100" s="525">
        <v>1</v>
      </c>
      <c r="AD100" s="525">
        <v>1</v>
      </c>
      <c r="AE100" s="525">
        <v>1</v>
      </c>
      <c r="AF100" s="526">
        <v>0</v>
      </c>
      <c r="AG100" s="523">
        <v>1</v>
      </c>
      <c r="AH100" s="172">
        <v>1</v>
      </c>
      <c r="AI100" s="172">
        <v>1</v>
      </c>
      <c r="AJ100" s="172">
        <v>1</v>
      </c>
      <c r="AK100" s="172">
        <v>1</v>
      </c>
    </row>
    <row r="101" spans="1:37" s="527" customFormat="1" ht="15.75" thickBot="1" x14ac:dyDescent="0.3">
      <c r="A101" s="524" t="s">
        <v>303</v>
      </c>
      <c r="B101" s="525">
        <v>1</v>
      </c>
      <c r="C101" s="525">
        <v>1</v>
      </c>
      <c r="D101" s="525">
        <v>1</v>
      </c>
      <c r="E101" s="525">
        <v>0</v>
      </c>
      <c r="F101" s="525">
        <v>1</v>
      </c>
      <c r="G101" s="525">
        <v>1</v>
      </c>
      <c r="H101" s="525">
        <v>1</v>
      </c>
      <c r="I101" s="525">
        <v>1</v>
      </c>
      <c r="J101" s="525">
        <v>1</v>
      </c>
      <c r="K101" s="525">
        <v>1</v>
      </c>
      <c r="L101" s="525">
        <v>1</v>
      </c>
      <c r="M101" s="525">
        <v>1</v>
      </c>
      <c r="N101" s="525">
        <v>1</v>
      </c>
      <c r="O101" s="525">
        <v>1</v>
      </c>
      <c r="P101" s="525">
        <v>1</v>
      </c>
      <c r="Q101" s="525">
        <v>1</v>
      </c>
      <c r="R101" s="525">
        <v>1</v>
      </c>
      <c r="S101" s="525">
        <v>1</v>
      </c>
      <c r="T101" s="525">
        <v>1</v>
      </c>
      <c r="U101" s="525">
        <v>1</v>
      </c>
      <c r="V101" s="525">
        <v>1</v>
      </c>
      <c r="W101" s="525">
        <v>1</v>
      </c>
      <c r="X101" s="525">
        <v>1</v>
      </c>
      <c r="Y101" s="525">
        <v>1</v>
      </c>
      <c r="Z101" s="525">
        <v>1</v>
      </c>
      <c r="AA101" s="525">
        <v>1</v>
      </c>
      <c r="AB101" s="525">
        <v>1</v>
      </c>
      <c r="AC101" s="525">
        <v>1</v>
      </c>
      <c r="AD101" s="525">
        <v>1</v>
      </c>
      <c r="AE101" s="525">
        <v>1</v>
      </c>
      <c r="AF101" s="526">
        <v>0</v>
      </c>
      <c r="AG101" s="523">
        <v>1</v>
      </c>
      <c r="AH101" s="172">
        <v>1</v>
      </c>
      <c r="AI101" s="172">
        <v>1</v>
      </c>
      <c r="AJ101" s="172">
        <v>1</v>
      </c>
      <c r="AK101" s="172">
        <v>1</v>
      </c>
    </row>
    <row r="102" spans="1:37" s="527" customFormat="1" ht="15.75" thickBot="1" x14ac:dyDescent="0.3">
      <c r="A102" s="524" t="s">
        <v>304</v>
      </c>
      <c r="B102" s="525">
        <v>1</v>
      </c>
      <c r="C102" s="525">
        <v>1</v>
      </c>
      <c r="D102" s="525">
        <v>1</v>
      </c>
      <c r="E102" s="525">
        <v>0</v>
      </c>
      <c r="F102" s="525">
        <v>1</v>
      </c>
      <c r="G102" s="525">
        <v>1</v>
      </c>
      <c r="H102" s="525">
        <v>1</v>
      </c>
      <c r="I102" s="525">
        <v>1</v>
      </c>
      <c r="J102" s="525">
        <v>1</v>
      </c>
      <c r="K102" s="525">
        <v>1</v>
      </c>
      <c r="L102" s="525">
        <v>1</v>
      </c>
      <c r="M102" s="525">
        <v>1</v>
      </c>
      <c r="N102" s="525">
        <v>1</v>
      </c>
      <c r="O102" s="525">
        <v>1</v>
      </c>
      <c r="P102" s="525">
        <v>1</v>
      </c>
      <c r="Q102" s="525">
        <v>1</v>
      </c>
      <c r="R102" s="525">
        <v>1</v>
      </c>
      <c r="S102" s="525">
        <v>1</v>
      </c>
      <c r="T102" s="525">
        <v>1</v>
      </c>
      <c r="U102" s="525">
        <v>1</v>
      </c>
      <c r="V102" s="525">
        <v>1</v>
      </c>
      <c r="W102" s="525">
        <v>1</v>
      </c>
      <c r="X102" s="525">
        <v>1</v>
      </c>
      <c r="Y102" s="525">
        <v>1</v>
      </c>
      <c r="Z102" s="525">
        <v>1</v>
      </c>
      <c r="AA102" s="525">
        <v>1</v>
      </c>
      <c r="AB102" s="525">
        <v>1</v>
      </c>
      <c r="AC102" s="525">
        <v>1</v>
      </c>
      <c r="AD102" s="525">
        <v>1</v>
      </c>
      <c r="AE102" s="525">
        <v>1</v>
      </c>
      <c r="AF102" s="526">
        <v>0</v>
      </c>
      <c r="AG102" s="523">
        <v>1</v>
      </c>
      <c r="AH102" s="172">
        <v>1</v>
      </c>
      <c r="AI102" s="172">
        <v>1</v>
      </c>
      <c r="AJ102" s="172">
        <v>1</v>
      </c>
      <c r="AK102" s="172">
        <v>1</v>
      </c>
    </row>
    <row r="103" spans="1:37" s="527" customFormat="1" ht="15.75" thickBot="1" x14ac:dyDescent="0.3">
      <c r="A103" s="524" t="s">
        <v>305</v>
      </c>
      <c r="B103" s="525">
        <v>1</v>
      </c>
      <c r="C103" s="525">
        <v>1</v>
      </c>
      <c r="D103" s="525">
        <v>1</v>
      </c>
      <c r="E103" s="525">
        <v>0</v>
      </c>
      <c r="F103" s="525">
        <v>1</v>
      </c>
      <c r="G103" s="525">
        <v>1</v>
      </c>
      <c r="H103" s="525">
        <v>1</v>
      </c>
      <c r="I103" s="525">
        <v>1</v>
      </c>
      <c r="J103" s="525">
        <v>1</v>
      </c>
      <c r="K103" s="525">
        <v>1</v>
      </c>
      <c r="L103" s="525">
        <v>1</v>
      </c>
      <c r="M103" s="525">
        <v>1</v>
      </c>
      <c r="N103" s="525">
        <v>1</v>
      </c>
      <c r="O103" s="525">
        <v>1</v>
      </c>
      <c r="P103" s="525">
        <v>1</v>
      </c>
      <c r="Q103" s="525">
        <v>1</v>
      </c>
      <c r="R103" s="525">
        <v>1</v>
      </c>
      <c r="S103" s="525">
        <v>1</v>
      </c>
      <c r="T103" s="525">
        <v>1</v>
      </c>
      <c r="U103" s="525">
        <v>1</v>
      </c>
      <c r="V103" s="525">
        <v>1</v>
      </c>
      <c r="W103" s="525">
        <v>1</v>
      </c>
      <c r="X103" s="525">
        <v>1</v>
      </c>
      <c r="Y103" s="525">
        <v>1</v>
      </c>
      <c r="Z103" s="525">
        <v>1</v>
      </c>
      <c r="AA103" s="525">
        <v>1</v>
      </c>
      <c r="AB103" s="525">
        <v>1</v>
      </c>
      <c r="AC103" s="525">
        <v>1</v>
      </c>
      <c r="AD103" s="525">
        <v>1</v>
      </c>
      <c r="AE103" s="525">
        <v>1</v>
      </c>
      <c r="AF103" s="526">
        <v>0</v>
      </c>
      <c r="AG103" s="523">
        <v>1</v>
      </c>
      <c r="AH103" s="172">
        <v>1</v>
      </c>
      <c r="AI103" s="172">
        <v>1</v>
      </c>
      <c r="AJ103" s="172">
        <v>1</v>
      </c>
      <c r="AK103" s="172">
        <v>1</v>
      </c>
    </row>
    <row r="104" spans="1:37" s="527" customFormat="1" ht="15.75" thickBot="1" x14ac:dyDescent="0.3">
      <c r="A104" s="524" t="s">
        <v>306</v>
      </c>
      <c r="B104" s="525">
        <v>1</v>
      </c>
      <c r="C104" s="525">
        <v>1</v>
      </c>
      <c r="D104" s="525">
        <v>1</v>
      </c>
      <c r="E104" s="525">
        <v>0</v>
      </c>
      <c r="F104" s="525">
        <v>1</v>
      </c>
      <c r="G104" s="525">
        <v>1</v>
      </c>
      <c r="H104" s="525">
        <v>1</v>
      </c>
      <c r="I104" s="525">
        <v>1</v>
      </c>
      <c r="J104" s="525">
        <v>1</v>
      </c>
      <c r="K104" s="525">
        <v>1</v>
      </c>
      <c r="L104" s="525">
        <v>1</v>
      </c>
      <c r="M104" s="525">
        <v>1</v>
      </c>
      <c r="N104" s="525">
        <v>1</v>
      </c>
      <c r="O104" s="525">
        <v>1</v>
      </c>
      <c r="P104" s="525">
        <v>1</v>
      </c>
      <c r="Q104" s="525">
        <v>1</v>
      </c>
      <c r="R104" s="525">
        <v>1</v>
      </c>
      <c r="S104" s="525">
        <v>1</v>
      </c>
      <c r="T104" s="525">
        <v>1</v>
      </c>
      <c r="U104" s="525">
        <v>1</v>
      </c>
      <c r="V104" s="525">
        <v>1</v>
      </c>
      <c r="W104" s="525">
        <v>1</v>
      </c>
      <c r="X104" s="525">
        <v>1</v>
      </c>
      <c r="Y104" s="525">
        <v>1</v>
      </c>
      <c r="Z104" s="525">
        <v>1</v>
      </c>
      <c r="AA104" s="525">
        <v>1</v>
      </c>
      <c r="AB104" s="525">
        <v>1</v>
      </c>
      <c r="AC104" s="525">
        <v>1</v>
      </c>
      <c r="AD104" s="525">
        <v>1</v>
      </c>
      <c r="AE104" s="525">
        <v>1</v>
      </c>
      <c r="AF104" s="526">
        <v>0</v>
      </c>
      <c r="AG104" s="523">
        <v>1</v>
      </c>
      <c r="AH104" s="172">
        <v>1</v>
      </c>
      <c r="AI104" s="172">
        <v>1</v>
      </c>
      <c r="AJ104" s="172">
        <v>1</v>
      </c>
      <c r="AK104" s="172">
        <v>1</v>
      </c>
    </row>
    <row r="105" spans="1:37" s="527" customFormat="1" ht="15.75" thickBot="1" x14ac:dyDescent="0.3">
      <c r="A105" s="524" t="s">
        <v>307</v>
      </c>
      <c r="B105" s="525">
        <v>1</v>
      </c>
      <c r="C105" s="525">
        <v>1</v>
      </c>
      <c r="D105" s="525">
        <v>1</v>
      </c>
      <c r="E105" s="525">
        <v>0</v>
      </c>
      <c r="F105" s="525">
        <v>1</v>
      </c>
      <c r="G105" s="525">
        <v>1</v>
      </c>
      <c r="H105" s="525">
        <v>1</v>
      </c>
      <c r="I105" s="525">
        <v>1</v>
      </c>
      <c r="J105" s="525">
        <v>1</v>
      </c>
      <c r="K105" s="525">
        <v>1</v>
      </c>
      <c r="L105" s="525">
        <v>1</v>
      </c>
      <c r="M105" s="525">
        <v>1</v>
      </c>
      <c r="N105" s="525">
        <v>1</v>
      </c>
      <c r="O105" s="525">
        <v>1</v>
      </c>
      <c r="P105" s="525">
        <v>1</v>
      </c>
      <c r="Q105" s="525">
        <v>1</v>
      </c>
      <c r="R105" s="525">
        <v>1</v>
      </c>
      <c r="S105" s="525">
        <v>1</v>
      </c>
      <c r="T105" s="525">
        <v>1</v>
      </c>
      <c r="U105" s="525">
        <v>1</v>
      </c>
      <c r="V105" s="525">
        <v>1</v>
      </c>
      <c r="W105" s="525">
        <v>1</v>
      </c>
      <c r="X105" s="525">
        <v>1</v>
      </c>
      <c r="Y105" s="525">
        <v>1</v>
      </c>
      <c r="Z105" s="525">
        <v>1</v>
      </c>
      <c r="AA105" s="525">
        <v>1</v>
      </c>
      <c r="AB105" s="525">
        <v>1</v>
      </c>
      <c r="AC105" s="525">
        <v>1</v>
      </c>
      <c r="AD105" s="525">
        <v>1</v>
      </c>
      <c r="AE105" s="525">
        <v>1</v>
      </c>
      <c r="AF105" s="526">
        <v>0</v>
      </c>
      <c r="AG105" s="523">
        <v>1</v>
      </c>
      <c r="AH105" s="172">
        <v>1</v>
      </c>
      <c r="AI105" s="172">
        <v>1</v>
      </c>
      <c r="AJ105" s="172">
        <v>1</v>
      </c>
      <c r="AK105" s="172">
        <v>1</v>
      </c>
    </row>
    <row r="106" spans="1:37" s="527" customFormat="1" ht="15.75" thickBot="1" x14ac:dyDescent="0.3">
      <c r="A106" s="524" t="s">
        <v>308</v>
      </c>
      <c r="B106" s="525">
        <v>1</v>
      </c>
      <c r="C106" s="525">
        <v>1</v>
      </c>
      <c r="D106" s="525">
        <v>1</v>
      </c>
      <c r="E106" s="525">
        <v>0</v>
      </c>
      <c r="F106" s="525">
        <v>1</v>
      </c>
      <c r="G106" s="525">
        <v>1</v>
      </c>
      <c r="H106" s="525">
        <v>1</v>
      </c>
      <c r="I106" s="525">
        <v>1</v>
      </c>
      <c r="J106" s="525">
        <v>1</v>
      </c>
      <c r="K106" s="525">
        <v>1</v>
      </c>
      <c r="L106" s="525">
        <v>1</v>
      </c>
      <c r="M106" s="525">
        <v>1</v>
      </c>
      <c r="N106" s="525">
        <v>1</v>
      </c>
      <c r="O106" s="525">
        <v>1</v>
      </c>
      <c r="P106" s="525">
        <v>1</v>
      </c>
      <c r="Q106" s="525">
        <v>1</v>
      </c>
      <c r="R106" s="525">
        <v>1</v>
      </c>
      <c r="S106" s="525">
        <v>1</v>
      </c>
      <c r="T106" s="525">
        <v>1</v>
      </c>
      <c r="U106" s="525">
        <v>1</v>
      </c>
      <c r="V106" s="525">
        <v>1</v>
      </c>
      <c r="W106" s="525">
        <v>1</v>
      </c>
      <c r="X106" s="525">
        <v>1</v>
      </c>
      <c r="Y106" s="525">
        <v>1</v>
      </c>
      <c r="Z106" s="525">
        <v>1</v>
      </c>
      <c r="AA106" s="525">
        <v>1</v>
      </c>
      <c r="AB106" s="525">
        <v>1</v>
      </c>
      <c r="AC106" s="525">
        <v>1</v>
      </c>
      <c r="AD106" s="525">
        <v>1</v>
      </c>
      <c r="AE106" s="525">
        <v>1</v>
      </c>
      <c r="AF106" s="526">
        <v>0</v>
      </c>
      <c r="AG106" s="523">
        <v>1</v>
      </c>
      <c r="AH106" s="172">
        <v>1</v>
      </c>
      <c r="AI106" s="172">
        <v>1</v>
      </c>
      <c r="AJ106" s="172">
        <v>1</v>
      </c>
      <c r="AK106" s="172">
        <v>1</v>
      </c>
    </row>
    <row r="107" spans="1:37" s="527" customFormat="1" ht="15.75" thickBot="1" x14ac:dyDescent="0.3">
      <c r="A107" s="524" t="s">
        <v>309</v>
      </c>
      <c r="B107" s="525">
        <v>1</v>
      </c>
      <c r="C107" s="525">
        <v>1</v>
      </c>
      <c r="D107" s="525">
        <v>1</v>
      </c>
      <c r="E107" s="525">
        <v>0</v>
      </c>
      <c r="F107" s="525">
        <v>1</v>
      </c>
      <c r="G107" s="525">
        <v>1</v>
      </c>
      <c r="H107" s="525">
        <v>1</v>
      </c>
      <c r="I107" s="525">
        <v>1</v>
      </c>
      <c r="J107" s="525">
        <v>1</v>
      </c>
      <c r="K107" s="525">
        <v>1</v>
      </c>
      <c r="L107" s="525">
        <v>1</v>
      </c>
      <c r="M107" s="525">
        <v>1</v>
      </c>
      <c r="N107" s="525">
        <v>1</v>
      </c>
      <c r="O107" s="525">
        <v>1</v>
      </c>
      <c r="P107" s="525">
        <v>1</v>
      </c>
      <c r="Q107" s="525">
        <v>1</v>
      </c>
      <c r="R107" s="525">
        <v>1</v>
      </c>
      <c r="S107" s="525">
        <v>1</v>
      </c>
      <c r="T107" s="525">
        <v>1</v>
      </c>
      <c r="U107" s="525">
        <v>1</v>
      </c>
      <c r="V107" s="525">
        <v>1</v>
      </c>
      <c r="W107" s="525">
        <v>1</v>
      </c>
      <c r="X107" s="525">
        <v>1</v>
      </c>
      <c r="Y107" s="525">
        <v>1</v>
      </c>
      <c r="Z107" s="525">
        <v>1</v>
      </c>
      <c r="AA107" s="525">
        <v>1</v>
      </c>
      <c r="AB107" s="525">
        <v>1</v>
      </c>
      <c r="AC107" s="525">
        <v>1</v>
      </c>
      <c r="AD107" s="525">
        <v>1</v>
      </c>
      <c r="AE107" s="525">
        <v>1</v>
      </c>
      <c r="AF107" s="526">
        <v>0</v>
      </c>
      <c r="AG107" s="523">
        <v>1</v>
      </c>
      <c r="AH107" s="172">
        <v>1</v>
      </c>
      <c r="AI107" s="172">
        <v>1</v>
      </c>
      <c r="AJ107" s="172">
        <v>1</v>
      </c>
      <c r="AK107" s="172">
        <v>1</v>
      </c>
    </row>
    <row r="108" spans="1:37" s="527" customFormat="1" ht="15.75" thickBot="1" x14ac:dyDescent="0.3">
      <c r="A108" s="524" t="s">
        <v>310</v>
      </c>
      <c r="B108" s="525">
        <v>1</v>
      </c>
      <c r="C108" s="525">
        <v>1</v>
      </c>
      <c r="D108" s="525">
        <v>1</v>
      </c>
      <c r="E108" s="525">
        <v>0</v>
      </c>
      <c r="F108" s="525">
        <v>1</v>
      </c>
      <c r="G108" s="525">
        <v>1</v>
      </c>
      <c r="H108" s="525">
        <v>1</v>
      </c>
      <c r="I108" s="525">
        <v>1</v>
      </c>
      <c r="J108" s="525">
        <v>1</v>
      </c>
      <c r="K108" s="525">
        <v>1</v>
      </c>
      <c r="L108" s="525">
        <v>1</v>
      </c>
      <c r="M108" s="525">
        <v>1</v>
      </c>
      <c r="N108" s="525">
        <v>1</v>
      </c>
      <c r="O108" s="525">
        <v>1</v>
      </c>
      <c r="P108" s="525">
        <v>1</v>
      </c>
      <c r="Q108" s="525">
        <v>1</v>
      </c>
      <c r="R108" s="525">
        <v>1</v>
      </c>
      <c r="S108" s="525">
        <v>1</v>
      </c>
      <c r="T108" s="525">
        <v>1</v>
      </c>
      <c r="U108" s="525">
        <v>1</v>
      </c>
      <c r="V108" s="525">
        <v>1</v>
      </c>
      <c r="W108" s="525">
        <v>1</v>
      </c>
      <c r="X108" s="525">
        <v>1</v>
      </c>
      <c r="Y108" s="525">
        <v>1</v>
      </c>
      <c r="Z108" s="525">
        <v>1</v>
      </c>
      <c r="AA108" s="525">
        <v>1</v>
      </c>
      <c r="AB108" s="525">
        <v>1</v>
      </c>
      <c r="AC108" s="525">
        <v>1</v>
      </c>
      <c r="AD108" s="525">
        <v>1</v>
      </c>
      <c r="AE108" s="525">
        <v>1</v>
      </c>
      <c r="AF108" s="526">
        <v>0</v>
      </c>
      <c r="AG108" s="523">
        <v>1</v>
      </c>
      <c r="AH108" s="172">
        <v>1</v>
      </c>
      <c r="AI108" s="172">
        <v>1</v>
      </c>
      <c r="AJ108" s="172">
        <v>1</v>
      </c>
      <c r="AK108" s="172">
        <v>1</v>
      </c>
    </row>
    <row r="109" spans="1:37" s="527" customFormat="1" ht="15.75" thickBot="1" x14ac:dyDescent="0.3">
      <c r="A109" s="524" t="s">
        <v>311</v>
      </c>
      <c r="B109" s="525">
        <v>1</v>
      </c>
      <c r="C109" s="525">
        <v>1</v>
      </c>
      <c r="D109" s="525">
        <v>1</v>
      </c>
      <c r="E109" s="525">
        <v>0</v>
      </c>
      <c r="F109" s="525">
        <v>1</v>
      </c>
      <c r="G109" s="525">
        <v>1</v>
      </c>
      <c r="H109" s="525">
        <v>1</v>
      </c>
      <c r="I109" s="525">
        <v>1</v>
      </c>
      <c r="J109" s="525">
        <v>1</v>
      </c>
      <c r="K109" s="525">
        <v>1</v>
      </c>
      <c r="L109" s="525">
        <v>1</v>
      </c>
      <c r="M109" s="525">
        <v>1</v>
      </c>
      <c r="N109" s="525">
        <v>1</v>
      </c>
      <c r="O109" s="525">
        <v>1</v>
      </c>
      <c r="P109" s="525">
        <v>1</v>
      </c>
      <c r="Q109" s="525">
        <v>1</v>
      </c>
      <c r="R109" s="525">
        <v>1</v>
      </c>
      <c r="S109" s="525">
        <v>1</v>
      </c>
      <c r="T109" s="525">
        <v>1</v>
      </c>
      <c r="U109" s="525">
        <v>1</v>
      </c>
      <c r="V109" s="525">
        <v>1</v>
      </c>
      <c r="W109" s="525">
        <v>1</v>
      </c>
      <c r="X109" s="525">
        <v>1</v>
      </c>
      <c r="Y109" s="525">
        <v>1</v>
      </c>
      <c r="Z109" s="525">
        <v>1</v>
      </c>
      <c r="AA109" s="525">
        <v>1</v>
      </c>
      <c r="AB109" s="525">
        <v>1</v>
      </c>
      <c r="AC109" s="525">
        <v>1</v>
      </c>
      <c r="AD109" s="525">
        <v>1</v>
      </c>
      <c r="AE109" s="525">
        <v>1</v>
      </c>
      <c r="AF109" s="526">
        <v>0</v>
      </c>
      <c r="AG109" s="523">
        <v>1</v>
      </c>
      <c r="AH109" s="172">
        <v>1</v>
      </c>
      <c r="AI109" s="172">
        <v>1</v>
      </c>
      <c r="AJ109" s="172">
        <v>1</v>
      </c>
      <c r="AK109" s="172">
        <v>1</v>
      </c>
    </row>
    <row r="110" spans="1:37" s="527" customFormat="1" ht="15.75" thickBot="1" x14ac:dyDescent="0.3">
      <c r="A110" s="524" t="s">
        <v>312</v>
      </c>
      <c r="B110" s="525">
        <v>1</v>
      </c>
      <c r="C110" s="525">
        <v>1</v>
      </c>
      <c r="D110" s="525">
        <v>1</v>
      </c>
      <c r="E110" s="525">
        <v>0</v>
      </c>
      <c r="F110" s="525">
        <v>1</v>
      </c>
      <c r="G110" s="525">
        <v>1</v>
      </c>
      <c r="H110" s="525">
        <v>1</v>
      </c>
      <c r="I110" s="525">
        <v>1</v>
      </c>
      <c r="J110" s="525">
        <v>1</v>
      </c>
      <c r="K110" s="525">
        <v>1</v>
      </c>
      <c r="L110" s="525">
        <v>1</v>
      </c>
      <c r="M110" s="525">
        <v>1</v>
      </c>
      <c r="N110" s="525">
        <v>1</v>
      </c>
      <c r="O110" s="525">
        <v>1</v>
      </c>
      <c r="P110" s="525">
        <v>1</v>
      </c>
      <c r="Q110" s="525">
        <v>1</v>
      </c>
      <c r="R110" s="525">
        <v>1</v>
      </c>
      <c r="S110" s="525">
        <v>1</v>
      </c>
      <c r="T110" s="525">
        <v>1</v>
      </c>
      <c r="U110" s="525">
        <v>1</v>
      </c>
      <c r="V110" s="525">
        <v>1</v>
      </c>
      <c r="W110" s="525">
        <v>1</v>
      </c>
      <c r="X110" s="525">
        <v>1</v>
      </c>
      <c r="Y110" s="525">
        <v>1</v>
      </c>
      <c r="Z110" s="525">
        <v>1</v>
      </c>
      <c r="AA110" s="525">
        <v>1</v>
      </c>
      <c r="AB110" s="525">
        <v>1</v>
      </c>
      <c r="AC110" s="525">
        <v>1</v>
      </c>
      <c r="AD110" s="525">
        <v>1</v>
      </c>
      <c r="AE110" s="525">
        <v>1</v>
      </c>
      <c r="AF110" s="526">
        <v>0</v>
      </c>
      <c r="AG110" s="523">
        <v>1</v>
      </c>
      <c r="AH110" s="172">
        <v>1</v>
      </c>
      <c r="AI110" s="172">
        <v>1</v>
      </c>
      <c r="AJ110" s="172">
        <v>1</v>
      </c>
      <c r="AK110" s="172">
        <v>1</v>
      </c>
    </row>
    <row r="111" spans="1:37" s="527" customFormat="1" ht="15.75" thickBot="1" x14ac:dyDescent="0.3">
      <c r="A111" s="524" t="s">
        <v>313</v>
      </c>
      <c r="B111" s="525">
        <v>1</v>
      </c>
      <c r="C111" s="525">
        <v>1</v>
      </c>
      <c r="D111" s="525">
        <v>1</v>
      </c>
      <c r="E111" s="525">
        <v>0</v>
      </c>
      <c r="F111" s="525">
        <v>1</v>
      </c>
      <c r="G111" s="525">
        <v>1</v>
      </c>
      <c r="H111" s="525">
        <v>1</v>
      </c>
      <c r="I111" s="525">
        <v>1</v>
      </c>
      <c r="J111" s="525">
        <v>1</v>
      </c>
      <c r="K111" s="525">
        <v>1</v>
      </c>
      <c r="L111" s="525">
        <v>1</v>
      </c>
      <c r="M111" s="525">
        <v>1</v>
      </c>
      <c r="N111" s="525">
        <v>1</v>
      </c>
      <c r="O111" s="525">
        <v>1</v>
      </c>
      <c r="P111" s="525">
        <v>1</v>
      </c>
      <c r="Q111" s="525">
        <v>1</v>
      </c>
      <c r="R111" s="525">
        <v>1</v>
      </c>
      <c r="S111" s="525">
        <v>1</v>
      </c>
      <c r="T111" s="525">
        <v>1</v>
      </c>
      <c r="U111" s="525">
        <v>1</v>
      </c>
      <c r="V111" s="525">
        <v>1</v>
      </c>
      <c r="W111" s="525">
        <v>1</v>
      </c>
      <c r="X111" s="525">
        <v>1</v>
      </c>
      <c r="Y111" s="525">
        <v>1</v>
      </c>
      <c r="Z111" s="525">
        <v>1</v>
      </c>
      <c r="AA111" s="525">
        <v>1</v>
      </c>
      <c r="AB111" s="525">
        <v>1</v>
      </c>
      <c r="AC111" s="525">
        <v>1</v>
      </c>
      <c r="AD111" s="525">
        <v>1</v>
      </c>
      <c r="AE111" s="525">
        <v>1</v>
      </c>
      <c r="AF111" s="526">
        <v>0</v>
      </c>
      <c r="AG111" s="523">
        <v>1</v>
      </c>
      <c r="AH111" s="172">
        <v>1</v>
      </c>
      <c r="AI111" s="172">
        <v>1</v>
      </c>
      <c r="AJ111" s="172">
        <v>1</v>
      </c>
      <c r="AK111" s="172">
        <v>1</v>
      </c>
    </row>
    <row r="112" spans="1:37" s="527" customFormat="1" ht="15.75" thickBot="1" x14ac:dyDescent="0.3">
      <c r="A112" s="524" t="s">
        <v>314</v>
      </c>
      <c r="B112" s="525">
        <v>1</v>
      </c>
      <c r="C112" s="525">
        <v>1</v>
      </c>
      <c r="D112" s="525">
        <v>1</v>
      </c>
      <c r="E112" s="525">
        <v>0</v>
      </c>
      <c r="F112" s="525">
        <v>1</v>
      </c>
      <c r="G112" s="525">
        <v>1</v>
      </c>
      <c r="H112" s="525">
        <v>1</v>
      </c>
      <c r="I112" s="525">
        <v>1</v>
      </c>
      <c r="J112" s="525">
        <v>1</v>
      </c>
      <c r="K112" s="525">
        <v>1</v>
      </c>
      <c r="L112" s="525">
        <v>1</v>
      </c>
      <c r="M112" s="525">
        <v>1</v>
      </c>
      <c r="N112" s="525">
        <v>1</v>
      </c>
      <c r="O112" s="525">
        <v>1</v>
      </c>
      <c r="P112" s="525">
        <v>1</v>
      </c>
      <c r="Q112" s="525">
        <v>1</v>
      </c>
      <c r="R112" s="525">
        <v>1</v>
      </c>
      <c r="S112" s="525">
        <v>1</v>
      </c>
      <c r="T112" s="525">
        <v>1</v>
      </c>
      <c r="U112" s="525">
        <v>1</v>
      </c>
      <c r="V112" s="525">
        <v>1</v>
      </c>
      <c r="W112" s="525">
        <v>1</v>
      </c>
      <c r="X112" s="525">
        <v>1</v>
      </c>
      <c r="Y112" s="525">
        <v>1</v>
      </c>
      <c r="Z112" s="525">
        <v>1</v>
      </c>
      <c r="AA112" s="525">
        <v>1</v>
      </c>
      <c r="AB112" s="525">
        <v>1</v>
      </c>
      <c r="AC112" s="525">
        <v>1</v>
      </c>
      <c r="AD112" s="525">
        <v>1</v>
      </c>
      <c r="AE112" s="525">
        <v>1</v>
      </c>
      <c r="AF112" s="526">
        <v>0</v>
      </c>
      <c r="AG112" s="523">
        <v>1</v>
      </c>
      <c r="AH112" s="172">
        <v>1</v>
      </c>
      <c r="AI112" s="172">
        <v>1</v>
      </c>
      <c r="AJ112" s="172">
        <v>1</v>
      </c>
      <c r="AK112" s="172">
        <v>1</v>
      </c>
    </row>
    <row r="113" spans="1:37" s="527" customFormat="1" ht="15.75" thickBot="1" x14ac:dyDescent="0.3">
      <c r="A113" s="524" t="s">
        <v>315</v>
      </c>
      <c r="B113" s="525">
        <v>1</v>
      </c>
      <c r="C113" s="525">
        <v>1</v>
      </c>
      <c r="D113" s="525">
        <v>1</v>
      </c>
      <c r="E113" s="525">
        <v>0</v>
      </c>
      <c r="F113" s="525">
        <v>1</v>
      </c>
      <c r="G113" s="525">
        <v>1</v>
      </c>
      <c r="H113" s="525">
        <v>1</v>
      </c>
      <c r="I113" s="525">
        <v>1</v>
      </c>
      <c r="J113" s="525">
        <v>1</v>
      </c>
      <c r="K113" s="525">
        <v>1</v>
      </c>
      <c r="L113" s="525">
        <v>1</v>
      </c>
      <c r="M113" s="525">
        <v>1</v>
      </c>
      <c r="N113" s="525">
        <v>1</v>
      </c>
      <c r="O113" s="525">
        <v>1</v>
      </c>
      <c r="P113" s="525">
        <v>1</v>
      </c>
      <c r="Q113" s="525">
        <v>1</v>
      </c>
      <c r="R113" s="525">
        <v>1</v>
      </c>
      <c r="S113" s="525">
        <v>1</v>
      </c>
      <c r="T113" s="525">
        <v>1</v>
      </c>
      <c r="U113" s="525">
        <v>1</v>
      </c>
      <c r="V113" s="525">
        <v>1</v>
      </c>
      <c r="W113" s="525">
        <v>1</v>
      </c>
      <c r="X113" s="525">
        <v>1</v>
      </c>
      <c r="Y113" s="525">
        <v>1</v>
      </c>
      <c r="Z113" s="525">
        <v>1</v>
      </c>
      <c r="AA113" s="525">
        <v>1</v>
      </c>
      <c r="AB113" s="525">
        <v>1</v>
      </c>
      <c r="AC113" s="525">
        <v>1</v>
      </c>
      <c r="AD113" s="525">
        <v>1</v>
      </c>
      <c r="AE113" s="525">
        <v>1</v>
      </c>
      <c r="AF113" s="526">
        <v>0</v>
      </c>
      <c r="AG113" s="523">
        <v>1</v>
      </c>
      <c r="AH113" s="172">
        <v>1</v>
      </c>
      <c r="AI113" s="172">
        <v>1</v>
      </c>
      <c r="AJ113" s="172">
        <v>1</v>
      </c>
      <c r="AK113" s="172">
        <v>1</v>
      </c>
    </row>
    <row r="114" spans="1:37" s="527" customFormat="1" ht="15.75" thickBot="1" x14ac:dyDescent="0.3">
      <c r="A114" s="524" t="s">
        <v>316</v>
      </c>
      <c r="B114" s="525">
        <v>1</v>
      </c>
      <c r="C114" s="525">
        <v>1</v>
      </c>
      <c r="D114" s="525">
        <v>1</v>
      </c>
      <c r="E114" s="525">
        <v>0</v>
      </c>
      <c r="F114" s="525">
        <v>1</v>
      </c>
      <c r="G114" s="525">
        <v>1</v>
      </c>
      <c r="H114" s="525">
        <v>1</v>
      </c>
      <c r="I114" s="525">
        <v>1</v>
      </c>
      <c r="J114" s="525">
        <v>1</v>
      </c>
      <c r="K114" s="525">
        <v>1</v>
      </c>
      <c r="L114" s="525">
        <v>1</v>
      </c>
      <c r="M114" s="525">
        <v>1</v>
      </c>
      <c r="N114" s="525">
        <v>1</v>
      </c>
      <c r="O114" s="525">
        <v>1</v>
      </c>
      <c r="P114" s="525">
        <v>1</v>
      </c>
      <c r="Q114" s="525">
        <v>1</v>
      </c>
      <c r="R114" s="525">
        <v>1</v>
      </c>
      <c r="S114" s="525">
        <v>1</v>
      </c>
      <c r="T114" s="525">
        <v>1</v>
      </c>
      <c r="U114" s="525">
        <v>1</v>
      </c>
      <c r="V114" s="525">
        <v>1</v>
      </c>
      <c r="W114" s="525">
        <v>1</v>
      </c>
      <c r="X114" s="525">
        <v>1</v>
      </c>
      <c r="Y114" s="525">
        <v>1</v>
      </c>
      <c r="Z114" s="525">
        <v>1</v>
      </c>
      <c r="AA114" s="525">
        <v>1</v>
      </c>
      <c r="AB114" s="525">
        <v>1</v>
      </c>
      <c r="AC114" s="525">
        <v>1</v>
      </c>
      <c r="AD114" s="525">
        <v>1</v>
      </c>
      <c r="AE114" s="525">
        <v>1</v>
      </c>
      <c r="AF114" s="526">
        <v>0</v>
      </c>
      <c r="AG114" s="523">
        <v>1</v>
      </c>
      <c r="AH114" s="172">
        <v>1</v>
      </c>
      <c r="AI114" s="172">
        <v>1</v>
      </c>
      <c r="AJ114" s="172">
        <v>1</v>
      </c>
      <c r="AK114" s="172">
        <v>1</v>
      </c>
    </row>
    <row r="115" spans="1:37" s="527" customFormat="1" ht="15.75" thickBot="1" x14ac:dyDescent="0.3">
      <c r="A115" s="524" t="s">
        <v>317</v>
      </c>
      <c r="B115" s="525">
        <v>1</v>
      </c>
      <c r="C115" s="525">
        <v>1</v>
      </c>
      <c r="D115" s="525">
        <v>1</v>
      </c>
      <c r="E115" s="525">
        <v>0</v>
      </c>
      <c r="F115" s="525">
        <v>1</v>
      </c>
      <c r="G115" s="525">
        <v>1</v>
      </c>
      <c r="H115" s="525">
        <v>1</v>
      </c>
      <c r="I115" s="525">
        <v>1</v>
      </c>
      <c r="J115" s="525">
        <v>1</v>
      </c>
      <c r="K115" s="525">
        <v>1</v>
      </c>
      <c r="L115" s="525">
        <v>1</v>
      </c>
      <c r="M115" s="525">
        <v>1</v>
      </c>
      <c r="N115" s="525">
        <v>1</v>
      </c>
      <c r="O115" s="525">
        <v>1</v>
      </c>
      <c r="P115" s="525">
        <v>1</v>
      </c>
      <c r="Q115" s="525">
        <v>1</v>
      </c>
      <c r="R115" s="525">
        <v>1</v>
      </c>
      <c r="S115" s="525">
        <v>1</v>
      </c>
      <c r="T115" s="525">
        <v>1</v>
      </c>
      <c r="U115" s="525">
        <v>1</v>
      </c>
      <c r="V115" s="525">
        <v>1</v>
      </c>
      <c r="W115" s="525">
        <v>1</v>
      </c>
      <c r="X115" s="525">
        <v>1</v>
      </c>
      <c r="Y115" s="525">
        <v>1</v>
      </c>
      <c r="Z115" s="525">
        <v>1</v>
      </c>
      <c r="AA115" s="525">
        <v>1</v>
      </c>
      <c r="AB115" s="525">
        <v>1</v>
      </c>
      <c r="AC115" s="525">
        <v>1</v>
      </c>
      <c r="AD115" s="525">
        <v>1</v>
      </c>
      <c r="AE115" s="525">
        <v>1</v>
      </c>
      <c r="AF115" s="526">
        <v>0</v>
      </c>
      <c r="AG115" s="523">
        <v>1</v>
      </c>
      <c r="AH115" s="172">
        <v>1</v>
      </c>
      <c r="AI115" s="172">
        <v>1</v>
      </c>
      <c r="AJ115" s="172">
        <v>1</v>
      </c>
      <c r="AK115" s="172">
        <v>1</v>
      </c>
    </row>
    <row r="116" spans="1:37" s="527" customFormat="1" ht="15.75" thickBot="1" x14ac:dyDescent="0.3">
      <c r="A116" s="524" t="s">
        <v>318</v>
      </c>
      <c r="B116" s="525">
        <v>1</v>
      </c>
      <c r="C116" s="525">
        <v>1</v>
      </c>
      <c r="D116" s="525">
        <v>1</v>
      </c>
      <c r="E116" s="525">
        <v>0</v>
      </c>
      <c r="F116" s="525">
        <v>1</v>
      </c>
      <c r="G116" s="525">
        <v>1</v>
      </c>
      <c r="H116" s="525">
        <v>1</v>
      </c>
      <c r="I116" s="525">
        <v>1</v>
      </c>
      <c r="J116" s="525">
        <v>1</v>
      </c>
      <c r="K116" s="525">
        <v>1</v>
      </c>
      <c r="L116" s="525">
        <v>1</v>
      </c>
      <c r="M116" s="525">
        <v>1</v>
      </c>
      <c r="N116" s="525">
        <v>1</v>
      </c>
      <c r="O116" s="525">
        <v>1</v>
      </c>
      <c r="P116" s="525">
        <v>1</v>
      </c>
      <c r="Q116" s="525">
        <v>1</v>
      </c>
      <c r="R116" s="525">
        <v>1</v>
      </c>
      <c r="S116" s="525">
        <v>1</v>
      </c>
      <c r="T116" s="525">
        <v>1</v>
      </c>
      <c r="U116" s="525">
        <v>1</v>
      </c>
      <c r="V116" s="525">
        <v>1</v>
      </c>
      <c r="W116" s="525">
        <v>1</v>
      </c>
      <c r="X116" s="525">
        <v>1</v>
      </c>
      <c r="Y116" s="525">
        <v>1</v>
      </c>
      <c r="Z116" s="525">
        <v>1</v>
      </c>
      <c r="AA116" s="525">
        <v>1</v>
      </c>
      <c r="AB116" s="525">
        <v>1</v>
      </c>
      <c r="AC116" s="525">
        <v>1</v>
      </c>
      <c r="AD116" s="525">
        <v>1</v>
      </c>
      <c r="AE116" s="525">
        <v>1</v>
      </c>
      <c r="AF116" s="526">
        <v>0</v>
      </c>
      <c r="AG116" s="523">
        <v>1</v>
      </c>
      <c r="AH116" s="172">
        <v>1</v>
      </c>
      <c r="AI116" s="172">
        <v>1</v>
      </c>
      <c r="AJ116" s="172">
        <v>1</v>
      </c>
      <c r="AK116" s="172">
        <v>1</v>
      </c>
    </row>
    <row r="117" spans="1:37" s="527" customFormat="1" ht="15.75" thickBot="1" x14ac:dyDescent="0.3">
      <c r="A117" s="524" t="s">
        <v>319</v>
      </c>
      <c r="B117" s="525">
        <v>1</v>
      </c>
      <c r="C117" s="525">
        <v>1</v>
      </c>
      <c r="D117" s="525">
        <v>1</v>
      </c>
      <c r="E117" s="525">
        <v>0</v>
      </c>
      <c r="F117" s="525">
        <v>1</v>
      </c>
      <c r="G117" s="525">
        <v>1</v>
      </c>
      <c r="H117" s="525">
        <v>1</v>
      </c>
      <c r="I117" s="525">
        <v>1</v>
      </c>
      <c r="J117" s="525">
        <v>1</v>
      </c>
      <c r="K117" s="525">
        <v>1</v>
      </c>
      <c r="L117" s="525">
        <v>1</v>
      </c>
      <c r="M117" s="525">
        <v>1</v>
      </c>
      <c r="N117" s="525">
        <v>1</v>
      </c>
      <c r="O117" s="525">
        <v>1</v>
      </c>
      <c r="P117" s="525">
        <v>1</v>
      </c>
      <c r="Q117" s="525">
        <v>1</v>
      </c>
      <c r="R117" s="525">
        <v>1</v>
      </c>
      <c r="S117" s="525">
        <v>1</v>
      </c>
      <c r="T117" s="525">
        <v>1</v>
      </c>
      <c r="U117" s="525">
        <v>1</v>
      </c>
      <c r="V117" s="525">
        <v>1</v>
      </c>
      <c r="W117" s="525">
        <v>1</v>
      </c>
      <c r="X117" s="525">
        <v>1</v>
      </c>
      <c r="Y117" s="525">
        <v>1</v>
      </c>
      <c r="Z117" s="525">
        <v>1</v>
      </c>
      <c r="AA117" s="525">
        <v>1</v>
      </c>
      <c r="AB117" s="525">
        <v>1</v>
      </c>
      <c r="AC117" s="525">
        <v>1</v>
      </c>
      <c r="AD117" s="525">
        <v>1</v>
      </c>
      <c r="AE117" s="525">
        <v>1</v>
      </c>
      <c r="AF117" s="526">
        <v>0</v>
      </c>
      <c r="AG117" s="523">
        <v>1</v>
      </c>
      <c r="AH117" s="172">
        <v>1</v>
      </c>
      <c r="AI117" s="172">
        <v>1</v>
      </c>
      <c r="AJ117" s="172">
        <v>1</v>
      </c>
      <c r="AK117" s="172">
        <v>1</v>
      </c>
    </row>
    <row r="118" spans="1:37" s="527" customFormat="1" ht="15.75" thickBot="1" x14ac:dyDescent="0.3">
      <c r="A118" s="524" t="s">
        <v>320</v>
      </c>
      <c r="B118" s="525">
        <v>1</v>
      </c>
      <c r="C118" s="525">
        <v>1</v>
      </c>
      <c r="D118" s="525">
        <v>1</v>
      </c>
      <c r="E118" s="525">
        <v>0</v>
      </c>
      <c r="F118" s="525">
        <v>1</v>
      </c>
      <c r="G118" s="525">
        <v>1</v>
      </c>
      <c r="H118" s="525">
        <v>1</v>
      </c>
      <c r="I118" s="525">
        <v>1</v>
      </c>
      <c r="J118" s="525">
        <v>1</v>
      </c>
      <c r="K118" s="525">
        <v>1</v>
      </c>
      <c r="L118" s="525">
        <v>1</v>
      </c>
      <c r="M118" s="525">
        <v>1</v>
      </c>
      <c r="N118" s="525">
        <v>1</v>
      </c>
      <c r="O118" s="525">
        <v>1</v>
      </c>
      <c r="P118" s="525">
        <v>1</v>
      </c>
      <c r="Q118" s="525">
        <v>1</v>
      </c>
      <c r="R118" s="525">
        <v>1</v>
      </c>
      <c r="S118" s="525">
        <v>1</v>
      </c>
      <c r="T118" s="525">
        <v>1</v>
      </c>
      <c r="U118" s="525">
        <v>1</v>
      </c>
      <c r="V118" s="525">
        <v>1</v>
      </c>
      <c r="W118" s="525">
        <v>1</v>
      </c>
      <c r="X118" s="525">
        <v>1</v>
      </c>
      <c r="Y118" s="525">
        <v>1</v>
      </c>
      <c r="Z118" s="525">
        <v>1</v>
      </c>
      <c r="AA118" s="525">
        <v>1</v>
      </c>
      <c r="AB118" s="525">
        <v>1</v>
      </c>
      <c r="AC118" s="525">
        <v>1</v>
      </c>
      <c r="AD118" s="525">
        <v>1</v>
      </c>
      <c r="AE118" s="525">
        <v>1</v>
      </c>
      <c r="AF118" s="526">
        <v>0</v>
      </c>
      <c r="AG118" s="523">
        <v>1</v>
      </c>
      <c r="AH118" s="172">
        <v>1</v>
      </c>
      <c r="AI118" s="172">
        <v>1</v>
      </c>
      <c r="AJ118" s="172">
        <v>1</v>
      </c>
      <c r="AK118" s="172">
        <v>1</v>
      </c>
    </row>
    <row r="119" spans="1:37" s="527" customFormat="1" ht="15.75" thickBot="1" x14ac:dyDescent="0.3">
      <c r="A119" s="524" t="s">
        <v>321</v>
      </c>
      <c r="B119" s="525">
        <v>1</v>
      </c>
      <c r="C119" s="525">
        <v>1</v>
      </c>
      <c r="D119" s="525">
        <v>1</v>
      </c>
      <c r="E119" s="525">
        <v>0</v>
      </c>
      <c r="F119" s="525">
        <v>1</v>
      </c>
      <c r="G119" s="525">
        <v>1</v>
      </c>
      <c r="H119" s="525">
        <v>1</v>
      </c>
      <c r="I119" s="525">
        <v>1</v>
      </c>
      <c r="J119" s="525">
        <v>1</v>
      </c>
      <c r="K119" s="525">
        <v>1</v>
      </c>
      <c r="L119" s="525">
        <v>1</v>
      </c>
      <c r="M119" s="525">
        <v>1</v>
      </c>
      <c r="N119" s="525">
        <v>1</v>
      </c>
      <c r="O119" s="525">
        <v>1</v>
      </c>
      <c r="P119" s="525">
        <v>1</v>
      </c>
      <c r="Q119" s="525">
        <v>1</v>
      </c>
      <c r="R119" s="525">
        <v>1</v>
      </c>
      <c r="S119" s="525">
        <v>1</v>
      </c>
      <c r="T119" s="525">
        <v>1</v>
      </c>
      <c r="U119" s="525">
        <v>1</v>
      </c>
      <c r="V119" s="525">
        <v>1</v>
      </c>
      <c r="W119" s="525">
        <v>1</v>
      </c>
      <c r="X119" s="525">
        <v>1</v>
      </c>
      <c r="Y119" s="525">
        <v>1</v>
      </c>
      <c r="Z119" s="525">
        <v>1</v>
      </c>
      <c r="AA119" s="525">
        <v>1</v>
      </c>
      <c r="AB119" s="525">
        <v>1</v>
      </c>
      <c r="AC119" s="525">
        <v>1</v>
      </c>
      <c r="AD119" s="525">
        <v>1</v>
      </c>
      <c r="AE119" s="525">
        <v>1</v>
      </c>
      <c r="AF119" s="526">
        <v>0</v>
      </c>
      <c r="AG119" s="523">
        <v>1</v>
      </c>
      <c r="AH119" s="172">
        <v>1</v>
      </c>
      <c r="AI119" s="172">
        <v>1</v>
      </c>
      <c r="AJ119" s="172">
        <v>1</v>
      </c>
      <c r="AK119" s="172">
        <v>1</v>
      </c>
    </row>
    <row r="120" spans="1:37" s="527" customFormat="1" ht="15.75" thickBot="1" x14ac:dyDescent="0.3">
      <c r="A120" s="524" t="s">
        <v>322</v>
      </c>
      <c r="B120" s="525">
        <v>1</v>
      </c>
      <c r="C120" s="525">
        <v>1</v>
      </c>
      <c r="D120" s="525">
        <v>1</v>
      </c>
      <c r="E120" s="525">
        <v>0</v>
      </c>
      <c r="F120" s="525">
        <v>1</v>
      </c>
      <c r="G120" s="525">
        <v>1</v>
      </c>
      <c r="H120" s="525">
        <v>1</v>
      </c>
      <c r="I120" s="525">
        <v>1</v>
      </c>
      <c r="J120" s="525">
        <v>1</v>
      </c>
      <c r="K120" s="525">
        <v>1</v>
      </c>
      <c r="L120" s="525">
        <v>1</v>
      </c>
      <c r="M120" s="525">
        <v>1</v>
      </c>
      <c r="N120" s="525">
        <v>1</v>
      </c>
      <c r="O120" s="525">
        <v>1</v>
      </c>
      <c r="P120" s="525">
        <v>1</v>
      </c>
      <c r="Q120" s="525">
        <v>1</v>
      </c>
      <c r="R120" s="525">
        <v>1</v>
      </c>
      <c r="S120" s="525">
        <v>1</v>
      </c>
      <c r="T120" s="525">
        <v>1</v>
      </c>
      <c r="U120" s="525">
        <v>1</v>
      </c>
      <c r="V120" s="525">
        <v>1</v>
      </c>
      <c r="W120" s="525">
        <v>1</v>
      </c>
      <c r="X120" s="525">
        <v>1</v>
      </c>
      <c r="Y120" s="525">
        <v>1</v>
      </c>
      <c r="Z120" s="525">
        <v>1</v>
      </c>
      <c r="AA120" s="525">
        <v>1</v>
      </c>
      <c r="AB120" s="525">
        <v>1</v>
      </c>
      <c r="AC120" s="525">
        <v>1</v>
      </c>
      <c r="AD120" s="525">
        <v>1</v>
      </c>
      <c r="AE120" s="525">
        <v>1</v>
      </c>
      <c r="AF120" s="526">
        <v>0</v>
      </c>
      <c r="AG120" s="523">
        <v>1</v>
      </c>
      <c r="AH120" s="172">
        <v>1</v>
      </c>
      <c r="AI120" s="172">
        <v>1</v>
      </c>
      <c r="AJ120" s="172">
        <v>1</v>
      </c>
      <c r="AK120" s="172">
        <v>1</v>
      </c>
    </row>
    <row r="121" spans="1:37" s="527" customFormat="1" ht="15.75" thickBot="1" x14ac:dyDescent="0.3">
      <c r="A121" s="524" t="s">
        <v>323</v>
      </c>
      <c r="B121" s="525">
        <v>1</v>
      </c>
      <c r="C121" s="525">
        <v>1</v>
      </c>
      <c r="D121" s="525">
        <v>1</v>
      </c>
      <c r="E121" s="525">
        <v>0</v>
      </c>
      <c r="F121" s="525">
        <v>1</v>
      </c>
      <c r="G121" s="525">
        <v>1</v>
      </c>
      <c r="H121" s="525">
        <v>1</v>
      </c>
      <c r="I121" s="525">
        <v>1</v>
      </c>
      <c r="J121" s="525">
        <v>1</v>
      </c>
      <c r="K121" s="525">
        <v>1</v>
      </c>
      <c r="L121" s="525">
        <v>1</v>
      </c>
      <c r="M121" s="525">
        <v>1</v>
      </c>
      <c r="N121" s="525">
        <v>1</v>
      </c>
      <c r="O121" s="525">
        <v>1</v>
      </c>
      <c r="P121" s="525">
        <v>1</v>
      </c>
      <c r="Q121" s="525">
        <v>1</v>
      </c>
      <c r="R121" s="525">
        <v>1</v>
      </c>
      <c r="S121" s="525">
        <v>1</v>
      </c>
      <c r="T121" s="525">
        <v>1</v>
      </c>
      <c r="U121" s="525">
        <v>1</v>
      </c>
      <c r="V121" s="525">
        <v>1</v>
      </c>
      <c r="W121" s="525">
        <v>1</v>
      </c>
      <c r="X121" s="525">
        <v>1</v>
      </c>
      <c r="Y121" s="525">
        <v>1</v>
      </c>
      <c r="Z121" s="525">
        <v>1</v>
      </c>
      <c r="AA121" s="525">
        <v>1</v>
      </c>
      <c r="AB121" s="525">
        <v>1</v>
      </c>
      <c r="AC121" s="525">
        <v>1</v>
      </c>
      <c r="AD121" s="525">
        <v>1</v>
      </c>
      <c r="AE121" s="525">
        <v>1</v>
      </c>
      <c r="AF121" s="526">
        <v>0</v>
      </c>
      <c r="AG121" s="523">
        <v>1</v>
      </c>
      <c r="AH121" s="172">
        <v>1</v>
      </c>
      <c r="AI121" s="172">
        <v>1</v>
      </c>
      <c r="AJ121" s="172">
        <v>1</v>
      </c>
      <c r="AK121" s="172">
        <v>1</v>
      </c>
    </row>
    <row r="122" spans="1:37" s="527" customFormat="1" ht="15.75" thickBot="1" x14ac:dyDescent="0.3">
      <c r="A122" s="524" t="s">
        <v>324</v>
      </c>
      <c r="B122" s="525">
        <v>1</v>
      </c>
      <c r="C122" s="525">
        <v>1</v>
      </c>
      <c r="D122" s="525">
        <v>1</v>
      </c>
      <c r="E122" s="525">
        <v>0</v>
      </c>
      <c r="F122" s="525">
        <v>1</v>
      </c>
      <c r="G122" s="525">
        <v>1</v>
      </c>
      <c r="H122" s="525">
        <v>1</v>
      </c>
      <c r="I122" s="525">
        <v>1</v>
      </c>
      <c r="J122" s="525">
        <v>1</v>
      </c>
      <c r="K122" s="525">
        <v>1</v>
      </c>
      <c r="L122" s="525">
        <v>1</v>
      </c>
      <c r="M122" s="525">
        <v>1</v>
      </c>
      <c r="N122" s="525">
        <v>1</v>
      </c>
      <c r="O122" s="525">
        <v>1</v>
      </c>
      <c r="P122" s="525">
        <v>1</v>
      </c>
      <c r="Q122" s="525">
        <v>1</v>
      </c>
      <c r="R122" s="525">
        <v>1</v>
      </c>
      <c r="S122" s="525">
        <v>1</v>
      </c>
      <c r="T122" s="525">
        <v>1</v>
      </c>
      <c r="U122" s="525">
        <v>1</v>
      </c>
      <c r="V122" s="525">
        <v>1</v>
      </c>
      <c r="W122" s="525">
        <v>1</v>
      </c>
      <c r="X122" s="525">
        <v>1</v>
      </c>
      <c r="Y122" s="525">
        <v>1</v>
      </c>
      <c r="Z122" s="525">
        <v>1</v>
      </c>
      <c r="AA122" s="525">
        <v>1</v>
      </c>
      <c r="AB122" s="525">
        <v>1</v>
      </c>
      <c r="AC122" s="525">
        <v>1</v>
      </c>
      <c r="AD122" s="525">
        <v>1</v>
      </c>
      <c r="AE122" s="525">
        <v>1</v>
      </c>
      <c r="AF122" s="526">
        <v>0</v>
      </c>
      <c r="AG122" s="523">
        <v>1</v>
      </c>
      <c r="AH122" s="172">
        <v>1</v>
      </c>
      <c r="AI122" s="172">
        <v>1</v>
      </c>
      <c r="AJ122" s="172">
        <v>1</v>
      </c>
      <c r="AK122" s="172">
        <v>1</v>
      </c>
    </row>
    <row r="123" spans="1:37" s="527" customFormat="1" ht="15.75" thickBot="1" x14ac:dyDescent="0.3">
      <c r="A123" s="524" t="s">
        <v>325</v>
      </c>
      <c r="B123" s="525">
        <v>1</v>
      </c>
      <c r="C123" s="525">
        <v>1</v>
      </c>
      <c r="D123" s="525">
        <v>1</v>
      </c>
      <c r="E123" s="525">
        <v>0</v>
      </c>
      <c r="F123" s="525">
        <v>1</v>
      </c>
      <c r="G123" s="525">
        <v>1</v>
      </c>
      <c r="H123" s="525">
        <v>1</v>
      </c>
      <c r="I123" s="525">
        <v>1</v>
      </c>
      <c r="J123" s="525">
        <v>1</v>
      </c>
      <c r="K123" s="525">
        <v>1</v>
      </c>
      <c r="L123" s="525">
        <v>1</v>
      </c>
      <c r="M123" s="525">
        <v>1</v>
      </c>
      <c r="N123" s="525">
        <v>1</v>
      </c>
      <c r="O123" s="525">
        <v>1</v>
      </c>
      <c r="P123" s="525">
        <v>1</v>
      </c>
      <c r="Q123" s="525">
        <v>1</v>
      </c>
      <c r="R123" s="525">
        <v>1</v>
      </c>
      <c r="S123" s="525">
        <v>1</v>
      </c>
      <c r="T123" s="525">
        <v>1</v>
      </c>
      <c r="U123" s="525">
        <v>1</v>
      </c>
      <c r="V123" s="525">
        <v>1</v>
      </c>
      <c r="W123" s="525">
        <v>1</v>
      </c>
      <c r="X123" s="525">
        <v>1</v>
      </c>
      <c r="Y123" s="525">
        <v>1</v>
      </c>
      <c r="Z123" s="525">
        <v>1</v>
      </c>
      <c r="AA123" s="525">
        <v>1</v>
      </c>
      <c r="AB123" s="525">
        <v>1</v>
      </c>
      <c r="AC123" s="525">
        <v>1</v>
      </c>
      <c r="AD123" s="525">
        <v>1</v>
      </c>
      <c r="AE123" s="525">
        <v>1</v>
      </c>
      <c r="AF123" s="526">
        <v>0</v>
      </c>
      <c r="AG123" s="523">
        <v>1</v>
      </c>
      <c r="AH123" s="172">
        <v>1</v>
      </c>
      <c r="AI123" s="172">
        <v>1</v>
      </c>
      <c r="AJ123" s="172">
        <v>1</v>
      </c>
      <c r="AK123" s="172">
        <v>1</v>
      </c>
    </row>
    <row r="124" spans="1:37" s="527" customFormat="1" ht="15.75" thickBot="1" x14ac:dyDescent="0.3">
      <c r="A124" s="524" t="s">
        <v>326</v>
      </c>
      <c r="B124" s="525">
        <v>1</v>
      </c>
      <c r="C124" s="525">
        <v>1</v>
      </c>
      <c r="D124" s="525">
        <v>1</v>
      </c>
      <c r="E124" s="525">
        <v>0</v>
      </c>
      <c r="F124" s="525">
        <v>1</v>
      </c>
      <c r="G124" s="525">
        <v>1</v>
      </c>
      <c r="H124" s="525">
        <v>1</v>
      </c>
      <c r="I124" s="525">
        <v>1</v>
      </c>
      <c r="J124" s="525">
        <v>1</v>
      </c>
      <c r="K124" s="525">
        <v>1</v>
      </c>
      <c r="L124" s="525">
        <v>1</v>
      </c>
      <c r="M124" s="525">
        <v>1</v>
      </c>
      <c r="N124" s="525">
        <v>1</v>
      </c>
      <c r="O124" s="525">
        <v>1</v>
      </c>
      <c r="P124" s="525">
        <v>1</v>
      </c>
      <c r="Q124" s="525">
        <v>1</v>
      </c>
      <c r="R124" s="525">
        <v>1</v>
      </c>
      <c r="S124" s="525">
        <v>1</v>
      </c>
      <c r="T124" s="525">
        <v>1</v>
      </c>
      <c r="U124" s="525">
        <v>1</v>
      </c>
      <c r="V124" s="525">
        <v>1</v>
      </c>
      <c r="W124" s="525">
        <v>1</v>
      </c>
      <c r="X124" s="525">
        <v>1</v>
      </c>
      <c r="Y124" s="525">
        <v>1</v>
      </c>
      <c r="Z124" s="525">
        <v>1</v>
      </c>
      <c r="AA124" s="525">
        <v>1</v>
      </c>
      <c r="AB124" s="525">
        <v>1</v>
      </c>
      <c r="AC124" s="525">
        <v>1</v>
      </c>
      <c r="AD124" s="525">
        <v>1</v>
      </c>
      <c r="AE124" s="525">
        <v>1</v>
      </c>
      <c r="AF124" s="526">
        <v>0</v>
      </c>
      <c r="AG124" s="523">
        <v>1</v>
      </c>
      <c r="AH124" s="172">
        <v>1</v>
      </c>
      <c r="AI124" s="172">
        <v>1</v>
      </c>
      <c r="AJ124" s="172">
        <v>1</v>
      </c>
      <c r="AK124" s="172">
        <v>1</v>
      </c>
    </row>
    <row r="125" spans="1:37" s="527" customFormat="1" ht="15.75" thickBot="1" x14ac:dyDescent="0.3">
      <c r="A125" s="524" t="s">
        <v>327</v>
      </c>
      <c r="B125" s="525">
        <v>1</v>
      </c>
      <c r="C125" s="525">
        <v>1</v>
      </c>
      <c r="D125" s="525">
        <v>1</v>
      </c>
      <c r="E125" s="525">
        <v>0</v>
      </c>
      <c r="F125" s="525">
        <v>1</v>
      </c>
      <c r="G125" s="525">
        <v>1</v>
      </c>
      <c r="H125" s="525">
        <v>1</v>
      </c>
      <c r="I125" s="525">
        <v>1</v>
      </c>
      <c r="J125" s="525">
        <v>1</v>
      </c>
      <c r="K125" s="525">
        <v>1</v>
      </c>
      <c r="L125" s="525">
        <v>1</v>
      </c>
      <c r="M125" s="525">
        <v>1</v>
      </c>
      <c r="N125" s="525">
        <v>1</v>
      </c>
      <c r="O125" s="525">
        <v>1</v>
      </c>
      <c r="P125" s="525">
        <v>1</v>
      </c>
      <c r="Q125" s="525">
        <v>1</v>
      </c>
      <c r="R125" s="525">
        <v>1</v>
      </c>
      <c r="S125" s="525">
        <v>1</v>
      </c>
      <c r="T125" s="525">
        <v>1</v>
      </c>
      <c r="U125" s="525">
        <v>1</v>
      </c>
      <c r="V125" s="525">
        <v>1</v>
      </c>
      <c r="W125" s="525">
        <v>1</v>
      </c>
      <c r="X125" s="525">
        <v>1</v>
      </c>
      <c r="Y125" s="525">
        <v>1</v>
      </c>
      <c r="Z125" s="525">
        <v>1</v>
      </c>
      <c r="AA125" s="525">
        <v>1</v>
      </c>
      <c r="AB125" s="525">
        <v>1</v>
      </c>
      <c r="AC125" s="525">
        <v>1</v>
      </c>
      <c r="AD125" s="525">
        <v>1</v>
      </c>
      <c r="AE125" s="525">
        <v>1</v>
      </c>
      <c r="AF125" s="526">
        <v>0</v>
      </c>
      <c r="AG125" s="523">
        <v>1</v>
      </c>
      <c r="AH125" s="172">
        <v>1</v>
      </c>
      <c r="AI125" s="172">
        <v>1</v>
      </c>
      <c r="AJ125" s="172">
        <v>1</v>
      </c>
      <c r="AK125" s="172">
        <v>1</v>
      </c>
    </row>
    <row r="126" spans="1:37" s="527" customFormat="1" ht="15.75" thickBot="1" x14ac:dyDescent="0.3">
      <c r="A126" s="524" t="s">
        <v>328</v>
      </c>
      <c r="B126" s="525">
        <v>1</v>
      </c>
      <c r="C126" s="525">
        <v>1</v>
      </c>
      <c r="D126" s="525">
        <v>1</v>
      </c>
      <c r="E126" s="525">
        <v>0</v>
      </c>
      <c r="F126" s="525">
        <v>1</v>
      </c>
      <c r="G126" s="525">
        <v>1</v>
      </c>
      <c r="H126" s="525">
        <v>1</v>
      </c>
      <c r="I126" s="525">
        <v>1</v>
      </c>
      <c r="J126" s="525">
        <v>1</v>
      </c>
      <c r="K126" s="525">
        <v>1</v>
      </c>
      <c r="L126" s="525">
        <v>1</v>
      </c>
      <c r="M126" s="525">
        <v>1</v>
      </c>
      <c r="N126" s="525">
        <v>1</v>
      </c>
      <c r="O126" s="525">
        <v>1</v>
      </c>
      <c r="P126" s="525">
        <v>1</v>
      </c>
      <c r="Q126" s="525">
        <v>1</v>
      </c>
      <c r="R126" s="525">
        <v>1</v>
      </c>
      <c r="S126" s="525">
        <v>1</v>
      </c>
      <c r="T126" s="525">
        <v>1</v>
      </c>
      <c r="U126" s="525">
        <v>1</v>
      </c>
      <c r="V126" s="525">
        <v>1</v>
      </c>
      <c r="W126" s="525">
        <v>1</v>
      </c>
      <c r="X126" s="525">
        <v>1</v>
      </c>
      <c r="Y126" s="525">
        <v>1</v>
      </c>
      <c r="Z126" s="525">
        <v>1</v>
      </c>
      <c r="AA126" s="525">
        <v>1</v>
      </c>
      <c r="AB126" s="525">
        <v>1</v>
      </c>
      <c r="AC126" s="525">
        <v>1</v>
      </c>
      <c r="AD126" s="525">
        <v>1</v>
      </c>
      <c r="AE126" s="525">
        <v>1</v>
      </c>
      <c r="AF126" s="526">
        <v>0</v>
      </c>
      <c r="AG126" s="523">
        <v>1</v>
      </c>
      <c r="AH126" s="172">
        <v>1</v>
      </c>
      <c r="AI126" s="172">
        <v>1</v>
      </c>
      <c r="AJ126" s="172">
        <v>1</v>
      </c>
      <c r="AK126" s="172">
        <v>1</v>
      </c>
    </row>
    <row r="127" spans="1:37" s="527" customFormat="1" ht="15.75" thickBot="1" x14ac:dyDescent="0.3">
      <c r="A127" s="524" t="s">
        <v>329</v>
      </c>
      <c r="B127" s="525">
        <v>1</v>
      </c>
      <c r="C127" s="525">
        <v>1</v>
      </c>
      <c r="D127" s="525">
        <v>1</v>
      </c>
      <c r="E127" s="525">
        <v>0</v>
      </c>
      <c r="F127" s="525">
        <v>1</v>
      </c>
      <c r="G127" s="525">
        <v>1</v>
      </c>
      <c r="H127" s="525">
        <v>1</v>
      </c>
      <c r="I127" s="525">
        <v>1</v>
      </c>
      <c r="J127" s="525">
        <v>1</v>
      </c>
      <c r="K127" s="525">
        <v>1</v>
      </c>
      <c r="L127" s="525">
        <v>1</v>
      </c>
      <c r="M127" s="525">
        <v>1</v>
      </c>
      <c r="N127" s="525">
        <v>1</v>
      </c>
      <c r="O127" s="525">
        <v>1</v>
      </c>
      <c r="P127" s="525">
        <v>1</v>
      </c>
      <c r="Q127" s="525">
        <v>1</v>
      </c>
      <c r="R127" s="525">
        <v>1</v>
      </c>
      <c r="S127" s="525">
        <v>1</v>
      </c>
      <c r="T127" s="525">
        <v>1</v>
      </c>
      <c r="U127" s="525">
        <v>1</v>
      </c>
      <c r="V127" s="525">
        <v>1</v>
      </c>
      <c r="W127" s="525">
        <v>1</v>
      </c>
      <c r="X127" s="525">
        <v>1</v>
      </c>
      <c r="Y127" s="525">
        <v>1</v>
      </c>
      <c r="Z127" s="525">
        <v>1</v>
      </c>
      <c r="AA127" s="525">
        <v>1</v>
      </c>
      <c r="AB127" s="525">
        <v>1</v>
      </c>
      <c r="AC127" s="525">
        <v>1</v>
      </c>
      <c r="AD127" s="525">
        <v>1</v>
      </c>
      <c r="AE127" s="525">
        <v>1</v>
      </c>
      <c r="AF127" s="526">
        <v>0</v>
      </c>
      <c r="AG127" s="523">
        <v>1</v>
      </c>
      <c r="AH127" s="172">
        <v>1</v>
      </c>
      <c r="AI127" s="172">
        <v>1</v>
      </c>
      <c r="AJ127" s="172">
        <v>1</v>
      </c>
      <c r="AK127" s="172">
        <v>1</v>
      </c>
    </row>
    <row r="128" spans="1:37" s="527" customFormat="1" ht="15.75" thickBot="1" x14ac:dyDescent="0.3">
      <c r="A128" s="524" t="s">
        <v>330</v>
      </c>
      <c r="B128" s="525">
        <v>1</v>
      </c>
      <c r="C128" s="525">
        <v>1</v>
      </c>
      <c r="D128" s="525">
        <v>1</v>
      </c>
      <c r="E128" s="525">
        <v>0</v>
      </c>
      <c r="F128" s="525">
        <v>1</v>
      </c>
      <c r="G128" s="525">
        <v>1</v>
      </c>
      <c r="H128" s="525">
        <v>1</v>
      </c>
      <c r="I128" s="525">
        <v>1</v>
      </c>
      <c r="J128" s="525">
        <v>1</v>
      </c>
      <c r="K128" s="525">
        <v>1</v>
      </c>
      <c r="L128" s="525">
        <v>1</v>
      </c>
      <c r="M128" s="525">
        <v>1</v>
      </c>
      <c r="N128" s="525">
        <v>1</v>
      </c>
      <c r="O128" s="525">
        <v>1</v>
      </c>
      <c r="P128" s="525">
        <v>1</v>
      </c>
      <c r="Q128" s="525">
        <v>1</v>
      </c>
      <c r="R128" s="525">
        <v>1</v>
      </c>
      <c r="S128" s="525">
        <v>1</v>
      </c>
      <c r="T128" s="525">
        <v>1</v>
      </c>
      <c r="U128" s="525">
        <v>1</v>
      </c>
      <c r="V128" s="525">
        <v>1</v>
      </c>
      <c r="W128" s="525">
        <v>1</v>
      </c>
      <c r="X128" s="525">
        <v>1</v>
      </c>
      <c r="Y128" s="525">
        <v>1</v>
      </c>
      <c r="Z128" s="525">
        <v>1</v>
      </c>
      <c r="AA128" s="525">
        <v>1</v>
      </c>
      <c r="AB128" s="525">
        <v>1</v>
      </c>
      <c r="AC128" s="525">
        <v>1</v>
      </c>
      <c r="AD128" s="525">
        <v>1</v>
      </c>
      <c r="AE128" s="525">
        <v>1</v>
      </c>
      <c r="AF128" s="526">
        <v>0</v>
      </c>
      <c r="AG128" s="523">
        <v>1</v>
      </c>
      <c r="AH128" s="172">
        <v>1</v>
      </c>
      <c r="AI128" s="172">
        <v>1</v>
      </c>
      <c r="AJ128" s="172">
        <v>1</v>
      </c>
      <c r="AK128" s="172">
        <v>1</v>
      </c>
    </row>
    <row r="129" spans="1:37" s="527" customFormat="1" ht="15.75" thickBot="1" x14ac:dyDescent="0.3">
      <c r="A129" s="524" t="s">
        <v>331</v>
      </c>
      <c r="B129" s="525">
        <v>1</v>
      </c>
      <c r="C129" s="525">
        <v>1</v>
      </c>
      <c r="D129" s="525">
        <v>1</v>
      </c>
      <c r="E129" s="525">
        <v>0</v>
      </c>
      <c r="F129" s="525">
        <v>1</v>
      </c>
      <c r="G129" s="525">
        <v>1</v>
      </c>
      <c r="H129" s="525">
        <v>1</v>
      </c>
      <c r="I129" s="525">
        <v>1</v>
      </c>
      <c r="J129" s="525">
        <v>1</v>
      </c>
      <c r="K129" s="525">
        <v>1</v>
      </c>
      <c r="L129" s="525">
        <v>1</v>
      </c>
      <c r="M129" s="525">
        <v>1</v>
      </c>
      <c r="N129" s="525">
        <v>1</v>
      </c>
      <c r="O129" s="525">
        <v>1</v>
      </c>
      <c r="P129" s="525">
        <v>1</v>
      </c>
      <c r="Q129" s="525">
        <v>1</v>
      </c>
      <c r="R129" s="525">
        <v>1</v>
      </c>
      <c r="S129" s="525">
        <v>1</v>
      </c>
      <c r="T129" s="525">
        <v>1</v>
      </c>
      <c r="U129" s="525">
        <v>1</v>
      </c>
      <c r="V129" s="525">
        <v>1</v>
      </c>
      <c r="W129" s="525">
        <v>1</v>
      </c>
      <c r="X129" s="525">
        <v>1</v>
      </c>
      <c r="Y129" s="525">
        <v>1</v>
      </c>
      <c r="Z129" s="525">
        <v>1</v>
      </c>
      <c r="AA129" s="525">
        <v>1</v>
      </c>
      <c r="AB129" s="525">
        <v>1</v>
      </c>
      <c r="AC129" s="525">
        <v>1</v>
      </c>
      <c r="AD129" s="525">
        <v>1</v>
      </c>
      <c r="AE129" s="525">
        <v>1</v>
      </c>
      <c r="AF129" s="526">
        <v>0</v>
      </c>
      <c r="AG129" s="523">
        <v>1</v>
      </c>
      <c r="AH129" s="172">
        <v>1</v>
      </c>
      <c r="AI129" s="172">
        <v>1</v>
      </c>
      <c r="AJ129" s="172">
        <v>1</v>
      </c>
      <c r="AK129" s="172">
        <v>1</v>
      </c>
    </row>
    <row r="130" spans="1:37" s="527" customFormat="1" ht="15.75" thickBot="1" x14ac:dyDescent="0.3">
      <c r="A130" s="524" t="s">
        <v>332</v>
      </c>
      <c r="B130" s="525">
        <v>1</v>
      </c>
      <c r="C130" s="525">
        <v>1</v>
      </c>
      <c r="D130" s="525">
        <v>1</v>
      </c>
      <c r="E130" s="525">
        <v>0</v>
      </c>
      <c r="F130" s="525">
        <v>1</v>
      </c>
      <c r="G130" s="525">
        <v>1</v>
      </c>
      <c r="H130" s="525">
        <v>1</v>
      </c>
      <c r="I130" s="525">
        <v>1</v>
      </c>
      <c r="J130" s="525">
        <v>1</v>
      </c>
      <c r="K130" s="525">
        <v>1</v>
      </c>
      <c r="L130" s="525">
        <v>1</v>
      </c>
      <c r="M130" s="525">
        <v>1</v>
      </c>
      <c r="N130" s="525">
        <v>1</v>
      </c>
      <c r="O130" s="525">
        <v>1</v>
      </c>
      <c r="P130" s="525">
        <v>1</v>
      </c>
      <c r="Q130" s="525">
        <v>1</v>
      </c>
      <c r="R130" s="525">
        <v>1</v>
      </c>
      <c r="S130" s="525">
        <v>1</v>
      </c>
      <c r="T130" s="525">
        <v>1</v>
      </c>
      <c r="U130" s="525">
        <v>1</v>
      </c>
      <c r="V130" s="525">
        <v>1</v>
      </c>
      <c r="W130" s="525">
        <v>1</v>
      </c>
      <c r="X130" s="525">
        <v>1</v>
      </c>
      <c r="Y130" s="525">
        <v>1</v>
      </c>
      <c r="Z130" s="525">
        <v>1</v>
      </c>
      <c r="AA130" s="525">
        <v>1</v>
      </c>
      <c r="AB130" s="525">
        <v>1</v>
      </c>
      <c r="AC130" s="525">
        <v>1</v>
      </c>
      <c r="AD130" s="525">
        <v>1</v>
      </c>
      <c r="AE130" s="525">
        <v>1</v>
      </c>
      <c r="AF130" s="526">
        <v>0</v>
      </c>
      <c r="AG130" s="523">
        <v>1</v>
      </c>
      <c r="AH130" s="172">
        <v>1</v>
      </c>
      <c r="AI130" s="172">
        <v>1</v>
      </c>
      <c r="AJ130" s="172">
        <v>1</v>
      </c>
      <c r="AK130" s="172">
        <v>1</v>
      </c>
    </row>
    <row r="131" spans="1:37" s="527" customFormat="1" ht="15.75" thickBot="1" x14ac:dyDescent="0.3">
      <c r="A131" s="524" t="s">
        <v>333</v>
      </c>
      <c r="B131" s="525">
        <v>1</v>
      </c>
      <c r="C131" s="525">
        <v>1</v>
      </c>
      <c r="D131" s="525">
        <v>1</v>
      </c>
      <c r="E131" s="525">
        <v>0</v>
      </c>
      <c r="F131" s="525">
        <v>1</v>
      </c>
      <c r="G131" s="525">
        <v>1</v>
      </c>
      <c r="H131" s="525">
        <v>1</v>
      </c>
      <c r="I131" s="525">
        <v>1</v>
      </c>
      <c r="J131" s="525">
        <v>1</v>
      </c>
      <c r="K131" s="525">
        <v>1</v>
      </c>
      <c r="L131" s="525">
        <v>1</v>
      </c>
      <c r="M131" s="525">
        <v>1</v>
      </c>
      <c r="N131" s="525">
        <v>1</v>
      </c>
      <c r="O131" s="525">
        <v>1</v>
      </c>
      <c r="P131" s="525">
        <v>1</v>
      </c>
      <c r="Q131" s="525">
        <v>1</v>
      </c>
      <c r="R131" s="525">
        <v>1</v>
      </c>
      <c r="S131" s="525">
        <v>1</v>
      </c>
      <c r="T131" s="525">
        <v>1</v>
      </c>
      <c r="U131" s="525">
        <v>1</v>
      </c>
      <c r="V131" s="525">
        <v>1</v>
      </c>
      <c r="W131" s="525">
        <v>1</v>
      </c>
      <c r="X131" s="525">
        <v>1</v>
      </c>
      <c r="Y131" s="525">
        <v>1</v>
      </c>
      <c r="Z131" s="525">
        <v>1</v>
      </c>
      <c r="AA131" s="525">
        <v>1</v>
      </c>
      <c r="AB131" s="525">
        <v>1</v>
      </c>
      <c r="AC131" s="525">
        <v>1</v>
      </c>
      <c r="AD131" s="525">
        <v>1</v>
      </c>
      <c r="AE131" s="525">
        <v>1</v>
      </c>
      <c r="AF131" s="526">
        <v>0</v>
      </c>
      <c r="AG131" s="523">
        <v>1</v>
      </c>
      <c r="AH131" s="172">
        <v>1</v>
      </c>
      <c r="AI131" s="172">
        <v>1</v>
      </c>
      <c r="AJ131" s="172">
        <v>1</v>
      </c>
      <c r="AK131" s="172">
        <v>1</v>
      </c>
    </row>
    <row r="132" spans="1:37" s="527" customFormat="1" ht="15.75" thickBot="1" x14ac:dyDescent="0.3">
      <c r="A132" s="524" t="s">
        <v>334</v>
      </c>
      <c r="B132" s="525">
        <v>1</v>
      </c>
      <c r="C132" s="525">
        <v>1</v>
      </c>
      <c r="D132" s="525">
        <v>1</v>
      </c>
      <c r="E132" s="525">
        <v>0</v>
      </c>
      <c r="F132" s="525">
        <v>1</v>
      </c>
      <c r="G132" s="525">
        <v>1</v>
      </c>
      <c r="H132" s="525">
        <v>1</v>
      </c>
      <c r="I132" s="525">
        <v>1</v>
      </c>
      <c r="J132" s="525">
        <v>1</v>
      </c>
      <c r="K132" s="525">
        <v>1</v>
      </c>
      <c r="L132" s="525">
        <v>1</v>
      </c>
      <c r="M132" s="525">
        <v>1</v>
      </c>
      <c r="N132" s="525">
        <v>1</v>
      </c>
      <c r="O132" s="525">
        <v>1</v>
      </c>
      <c r="P132" s="525">
        <v>1</v>
      </c>
      <c r="Q132" s="525">
        <v>1</v>
      </c>
      <c r="R132" s="525">
        <v>1</v>
      </c>
      <c r="S132" s="525">
        <v>1</v>
      </c>
      <c r="T132" s="525">
        <v>1</v>
      </c>
      <c r="U132" s="525">
        <v>1</v>
      </c>
      <c r="V132" s="525">
        <v>1</v>
      </c>
      <c r="W132" s="525">
        <v>1</v>
      </c>
      <c r="X132" s="525">
        <v>1</v>
      </c>
      <c r="Y132" s="525">
        <v>1</v>
      </c>
      <c r="Z132" s="525">
        <v>1</v>
      </c>
      <c r="AA132" s="525">
        <v>1</v>
      </c>
      <c r="AB132" s="525">
        <v>1</v>
      </c>
      <c r="AC132" s="525">
        <v>1</v>
      </c>
      <c r="AD132" s="525">
        <v>1</v>
      </c>
      <c r="AE132" s="525">
        <v>1</v>
      </c>
      <c r="AF132" s="526">
        <v>0</v>
      </c>
      <c r="AG132" s="523">
        <v>1</v>
      </c>
      <c r="AH132" s="172">
        <v>1</v>
      </c>
      <c r="AI132" s="172">
        <v>1</v>
      </c>
      <c r="AJ132" s="172">
        <v>1</v>
      </c>
      <c r="AK132" s="172">
        <v>1</v>
      </c>
    </row>
    <row r="133" spans="1:37" s="527" customFormat="1" ht="15.75" thickBot="1" x14ac:dyDescent="0.3">
      <c r="A133" s="524" t="s">
        <v>335</v>
      </c>
      <c r="B133" s="525">
        <v>1</v>
      </c>
      <c r="C133" s="525">
        <v>1</v>
      </c>
      <c r="D133" s="525">
        <v>1</v>
      </c>
      <c r="E133" s="525">
        <v>0</v>
      </c>
      <c r="F133" s="525">
        <v>1</v>
      </c>
      <c r="G133" s="525">
        <v>1</v>
      </c>
      <c r="H133" s="525">
        <v>1</v>
      </c>
      <c r="I133" s="525">
        <v>1</v>
      </c>
      <c r="J133" s="525">
        <v>1</v>
      </c>
      <c r="K133" s="525">
        <v>1</v>
      </c>
      <c r="L133" s="525">
        <v>1</v>
      </c>
      <c r="M133" s="525">
        <v>1</v>
      </c>
      <c r="N133" s="525">
        <v>1</v>
      </c>
      <c r="O133" s="525">
        <v>1</v>
      </c>
      <c r="P133" s="525">
        <v>1</v>
      </c>
      <c r="Q133" s="525">
        <v>1</v>
      </c>
      <c r="R133" s="525">
        <v>1</v>
      </c>
      <c r="S133" s="525">
        <v>1</v>
      </c>
      <c r="T133" s="525">
        <v>1</v>
      </c>
      <c r="U133" s="525">
        <v>1</v>
      </c>
      <c r="V133" s="525">
        <v>1</v>
      </c>
      <c r="W133" s="525">
        <v>1</v>
      </c>
      <c r="X133" s="525">
        <v>1</v>
      </c>
      <c r="Y133" s="525">
        <v>1</v>
      </c>
      <c r="Z133" s="525">
        <v>1</v>
      </c>
      <c r="AA133" s="525">
        <v>1</v>
      </c>
      <c r="AB133" s="525">
        <v>1</v>
      </c>
      <c r="AC133" s="525">
        <v>1</v>
      </c>
      <c r="AD133" s="525">
        <v>1</v>
      </c>
      <c r="AE133" s="525">
        <v>1</v>
      </c>
      <c r="AF133" s="526">
        <v>0</v>
      </c>
      <c r="AG133" s="523">
        <v>1</v>
      </c>
      <c r="AH133" s="172">
        <v>1</v>
      </c>
      <c r="AI133" s="172">
        <v>1</v>
      </c>
      <c r="AJ133" s="172">
        <v>1</v>
      </c>
      <c r="AK133" s="172">
        <v>1</v>
      </c>
    </row>
    <row r="134" spans="1:37" s="527" customFormat="1" ht="15.75" thickBot="1" x14ac:dyDescent="0.3">
      <c r="A134" s="524" t="s">
        <v>336</v>
      </c>
      <c r="B134" s="525">
        <v>1</v>
      </c>
      <c r="C134" s="525">
        <v>1</v>
      </c>
      <c r="D134" s="525">
        <v>1</v>
      </c>
      <c r="E134" s="525">
        <v>0</v>
      </c>
      <c r="F134" s="525">
        <v>1</v>
      </c>
      <c r="G134" s="525">
        <v>1</v>
      </c>
      <c r="H134" s="525">
        <v>1</v>
      </c>
      <c r="I134" s="525">
        <v>1</v>
      </c>
      <c r="J134" s="525">
        <v>1</v>
      </c>
      <c r="K134" s="525">
        <v>1</v>
      </c>
      <c r="L134" s="525">
        <v>1</v>
      </c>
      <c r="M134" s="525">
        <v>1</v>
      </c>
      <c r="N134" s="525">
        <v>1</v>
      </c>
      <c r="O134" s="525">
        <v>1</v>
      </c>
      <c r="P134" s="525">
        <v>1</v>
      </c>
      <c r="Q134" s="525">
        <v>1</v>
      </c>
      <c r="R134" s="525">
        <v>1</v>
      </c>
      <c r="S134" s="525">
        <v>1</v>
      </c>
      <c r="T134" s="525">
        <v>1</v>
      </c>
      <c r="U134" s="525">
        <v>1</v>
      </c>
      <c r="V134" s="525">
        <v>1</v>
      </c>
      <c r="W134" s="525">
        <v>1</v>
      </c>
      <c r="X134" s="525">
        <v>1</v>
      </c>
      <c r="Y134" s="525">
        <v>1</v>
      </c>
      <c r="Z134" s="525">
        <v>1</v>
      </c>
      <c r="AA134" s="525">
        <v>1</v>
      </c>
      <c r="AB134" s="525">
        <v>1</v>
      </c>
      <c r="AC134" s="525">
        <v>1</v>
      </c>
      <c r="AD134" s="525">
        <v>1</v>
      </c>
      <c r="AE134" s="525">
        <v>1</v>
      </c>
      <c r="AF134" s="526">
        <v>0</v>
      </c>
      <c r="AG134" s="523">
        <v>1</v>
      </c>
      <c r="AH134" s="172">
        <v>1</v>
      </c>
      <c r="AI134" s="172">
        <v>1</v>
      </c>
      <c r="AJ134" s="172">
        <v>1</v>
      </c>
      <c r="AK134" s="172">
        <v>1</v>
      </c>
    </row>
    <row r="135" spans="1:37" s="527" customFormat="1" ht="15.75" thickBot="1" x14ac:dyDescent="0.3">
      <c r="A135" s="524" t="s">
        <v>337</v>
      </c>
      <c r="B135" s="525">
        <v>1</v>
      </c>
      <c r="C135" s="525">
        <v>1</v>
      </c>
      <c r="D135" s="525">
        <v>1</v>
      </c>
      <c r="E135" s="525">
        <v>0</v>
      </c>
      <c r="F135" s="525">
        <v>1</v>
      </c>
      <c r="G135" s="525">
        <v>1</v>
      </c>
      <c r="H135" s="525">
        <v>1</v>
      </c>
      <c r="I135" s="525">
        <v>1</v>
      </c>
      <c r="J135" s="525">
        <v>1</v>
      </c>
      <c r="K135" s="525">
        <v>1</v>
      </c>
      <c r="L135" s="525">
        <v>1</v>
      </c>
      <c r="M135" s="525">
        <v>1</v>
      </c>
      <c r="N135" s="525">
        <v>1</v>
      </c>
      <c r="O135" s="525">
        <v>1</v>
      </c>
      <c r="P135" s="525">
        <v>1</v>
      </c>
      <c r="Q135" s="525">
        <v>1</v>
      </c>
      <c r="R135" s="525">
        <v>1</v>
      </c>
      <c r="S135" s="525">
        <v>1</v>
      </c>
      <c r="T135" s="525">
        <v>1</v>
      </c>
      <c r="U135" s="525">
        <v>1</v>
      </c>
      <c r="V135" s="525">
        <v>1</v>
      </c>
      <c r="W135" s="525">
        <v>1</v>
      </c>
      <c r="X135" s="525">
        <v>1</v>
      </c>
      <c r="Y135" s="525">
        <v>1</v>
      </c>
      <c r="Z135" s="525">
        <v>1</v>
      </c>
      <c r="AA135" s="525">
        <v>1</v>
      </c>
      <c r="AB135" s="525">
        <v>1</v>
      </c>
      <c r="AC135" s="525">
        <v>1</v>
      </c>
      <c r="AD135" s="525">
        <v>1</v>
      </c>
      <c r="AE135" s="525">
        <v>1</v>
      </c>
      <c r="AF135" s="526">
        <v>0</v>
      </c>
      <c r="AG135" s="523">
        <v>1</v>
      </c>
      <c r="AH135" s="172">
        <v>1</v>
      </c>
      <c r="AI135" s="172">
        <v>1</v>
      </c>
      <c r="AJ135" s="172">
        <v>1</v>
      </c>
      <c r="AK135" s="172">
        <v>1</v>
      </c>
    </row>
    <row r="136" spans="1:37" s="527" customFormat="1" ht="15.75" thickBot="1" x14ac:dyDescent="0.3">
      <c r="A136" s="524" t="s">
        <v>338</v>
      </c>
      <c r="B136" s="525">
        <v>1</v>
      </c>
      <c r="C136" s="525">
        <v>1</v>
      </c>
      <c r="D136" s="525">
        <v>1</v>
      </c>
      <c r="E136" s="525">
        <v>0</v>
      </c>
      <c r="F136" s="525">
        <v>1</v>
      </c>
      <c r="G136" s="525">
        <v>1</v>
      </c>
      <c r="H136" s="525">
        <v>1</v>
      </c>
      <c r="I136" s="525">
        <v>1</v>
      </c>
      <c r="J136" s="525">
        <v>1</v>
      </c>
      <c r="K136" s="525">
        <v>1</v>
      </c>
      <c r="L136" s="525">
        <v>1</v>
      </c>
      <c r="M136" s="525">
        <v>1</v>
      </c>
      <c r="N136" s="525">
        <v>1</v>
      </c>
      <c r="O136" s="525">
        <v>1</v>
      </c>
      <c r="P136" s="525">
        <v>1</v>
      </c>
      <c r="Q136" s="525">
        <v>1</v>
      </c>
      <c r="R136" s="525">
        <v>1</v>
      </c>
      <c r="S136" s="525">
        <v>1</v>
      </c>
      <c r="T136" s="525">
        <v>1</v>
      </c>
      <c r="U136" s="525">
        <v>1</v>
      </c>
      <c r="V136" s="525">
        <v>1</v>
      </c>
      <c r="W136" s="525">
        <v>1</v>
      </c>
      <c r="X136" s="525">
        <v>1</v>
      </c>
      <c r="Y136" s="525">
        <v>1</v>
      </c>
      <c r="Z136" s="525">
        <v>1</v>
      </c>
      <c r="AA136" s="525">
        <v>1</v>
      </c>
      <c r="AB136" s="525">
        <v>1</v>
      </c>
      <c r="AC136" s="525">
        <v>1</v>
      </c>
      <c r="AD136" s="525">
        <v>1</v>
      </c>
      <c r="AE136" s="525">
        <v>1</v>
      </c>
      <c r="AF136" s="526">
        <v>0</v>
      </c>
      <c r="AG136" s="523">
        <v>1</v>
      </c>
      <c r="AH136" s="172">
        <v>1</v>
      </c>
      <c r="AI136" s="172">
        <v>1</v>
      </c>
      <c r="AJ136" s="172">
        <v>1</v>
      </c>
      <c r="AK136" s="172">
        <v>1</v>
      </c>
    </row>
    <row r="137" spans="1:37" s="527" customFormat="1" ht="15.75" thickBot="1" x14ac:dyDescent="0.3">
      <c r="A137" s="524" t="s">
        <v>339</v>
      </c>
      <c r="B137" s="525">
        <v>1</v>
      </c>
      <c r="C137" s="525">
        <v>1</v>
      </c>
      <c r="D137" s="525">
        <v>1</v>
      </c>
      <c r="E137" s="525">
        <v>0</v>
      </c>
      <c r="F137" s="525">
        <v>1</v>
      </c>
      <c r="G137" s="525">
        <v>1</v>
      </c>
      <c r="H137" s="525">
        <v>1</v>
      </c>
      <c r="I137" s="525">
        <v>1</v>
      </c>
      <c r="J137" s="525">
        <v>1</v>
      </c>
      <c r="K137" s="525">
        <v>1</v>
      </c>
      <c r="L137" s="525">
        <v>1</v>
      </c>
      <c r="M137" s="525">
        <v>1</v>
      </c>
      <c r="N137" s="525">
        <v>1</v>
      </c>
      <c r="O137" s="525">
        <v>1</v>
      </c>
      <c r="P137" s="525">
        <v>1</v>
      </c>
      <c r="Q137" s="525">
        <v>1</v>
      </c>
      <c r="R137" s="525">
        <v>1</v>
      </c>
      <c r="S137" s="525">
        <v>1</v>
      </c>
      <c r="T137" s="525">
        <v>1</v>
      </c>
      <c r="U137" s="525">
        <v>1</v>
      </c>
      <c r="V137" s="525">
        <v>1</v>
      </c>
      <c r="W137" s="525">
        <v>1</v>
      </c>
      <c r="X137" s="525">
        <v>1</v>
      </c>
      <c r="Y137" s="525">
        <v>1</v>
      </c>
      <c r="Z137" s="525">
        <v>1</v>
      </c>
      <c r="AA137" s="525">
        <v>1</v>
      </c>
      <c r="AB137" s="525">
        <v>1</v>
      </c>
      <c r="AC137" s="525">
        <v>1</v>
      </c>
      <c r="AD137" s="525">
        <v>1</v>
      </c>
      <c r="AE137" s="525">
        <v>1</v>
      </c>
      <c r="AF137" s="526">
        <v>0</v>
      </c>
      <c r="AG137" s="523">
        <v>1</v>
      </c>
      <c r="AH137" s="172">
        <v>1</v>
      </c>
      <c r="AI137" s="172">
        <v>1</v>
      </c>
      <c r="AJ137" s="172">
        <v>1</v>
      </c>
      <c r="AK137" s="172">
        <v>1</v>
      </c>
    </row>
    <row r="138" spans="1:37" s="527" customFormat="1" ht="15.75" thickBot="1" x14ac:dyDescent="0.3">
      <c r="A138" s="524" t="s">
        <v>340</v>
      </c>
      <c r="B138" s="525">
        <v>1</v>
      </c>
      <c r="C138" s="525">
        <v>1</v>
      </c>
      <c r="D138" s="525">
        <v>1</v>
      </c>
      <c r="E138" s="525">
        <v>0</v>
      </c>
      <c r="F138" s="525">
        <v>1</v>
      </c>
      <c r="G138" s="525">
        <v>1</v>
      </c>
      <c r="H138" s="525">
        <v>1</v>
      </c>
      <c r="I138" s="525">
        <v>1</v>
      </c>
      <c r="J138" s="525">
        <v>1</v>
      </c>
      <c r="K138" s="525">
        <v>1</v>
      </c>
      <c r="L138" s="525">
        <v>1</v>
      </c>
      <c r="M138" s="525">
        <v>1</v>
      </c>
      <c r="N138" s="525">
        <v>1</v>
      </c>
      <c r="O138" s="525">
        <v>1</v>
      </c>
      <c r="P138" s="525">
        <v>1</v>
      </c>
      <c r="Q138" s="525">
        <v>1</v>
      </c>
      <c r="R138" s="525">
        <v>1</v>
      </c>
      <c r="S138" s="525">
        <v>1</v>
      </c>
      <c r="T138" s="525">
        <v>1</v>
      </c>
      <c r="U138" s="525">
        <v>1</v>
      </c>
      <c r="V138" s="525">
        <v>1</v>
      </c>
      <c r="W138" s="525">
        <v>1</v>
      </c>
      <c r="X138" s="525">
        <v>1</v>
      </c>
      <c r="Y138" s="525">
        <v>1</v>
      </c>
      <c r="Z138" s="525">
        <v>1</v>
      </c>
      <c r="AA138" s="525">
        <v>1</v>
      </c>
      <c r="AB138" s="525">
        <v>1</v>
      </c>
      <c r="AC138" s="525">
        <v>1</v>
      </c>
      <c r="AD138" s="525">
        <v>1</v>
      </c>
      <c r="AE138" s="525">
        <v>1</v>
      </c>
      <c r="AF138" s="526">
        <v>0</v>
      </c>
      <c r="AG138" s="523">
        <v>1</v>
      </c>
      <c r="AH138" s="172">
        <v>1</v>
      </c>
      <c r="AI138" s="172">
        <v>1</v>
      </c>
      <c r="AJ138" s="172">
        <v>1</v>
      </c>
      <c r="AK138" s="172">
        <v>1</v>
      </c>
    </row>
    <row r="139" spans="1:37" s="527" customFormat="1" ht="15.75" thickBot="1" x14ac:dyDescent="0.3">
      <c r="A139" s="524" t="s">
        <v>341</v>
      </c>
      <c r="B139" s="525">
        <v>1</v>
      </c>
      <c r="C139" s="525">
        <v>1</v>
      </c>
      <c r="D139" s="525">
        <v>1</v>
      </c>
      <c r="E139" s="525">
        <v>0</v>
      </c>
      <c r="F139" s="525">
        <v>1</v>
      </c>
      <c r="G139" s="525">
        <v>1</v>
      </c>
      <c r="H139" s="525">
        <v>1</v>
      </c>
      <c r="I139" s="525">
        <v>1</v>
      </c>
      <c r="J139" s="525">
        <v>1</v>
      </c>
      <c r="K139" s="525">
        <v>1</v>
      </c>
      <c r="L139" s="525">
        <v>1</v>
      </c>
      <c r="M139" s="525">
        <v>1</v>
      </c>
      <c r="N139" s="525">
        <v>1</v>
      </c>
      <c r="O139" s="525">
        <v>1</v>
      </c>
      <c r="P139" s="525">
        <v>1</v>
      </c>
      <c r="Q139" s="525">
        <v>1</v>
      </c>
      <c r="R139" s="525">
        <v>1</v>
      </c>
      <c r="S139" s="525">
        <v>1</v>
      </c>
      <c r="T139" s="525">
        <v>1</v>
      </c>
      <c r="U139" s="525">
        <v>1</v>
      </c>
      <c r="V139" s="525">
        <v>1</v>
      </c>
      <c r="W139" s="525">
        <v>1</v>
      </c>
      <c r="X139" s="525">
        <v>1</v>
      </c>
      <c r="Y139" s="525">
        <v>1</v>
      </c>
      <c r="Z139" s="525">
        <v>1</v>
      </c>
      <c r="AA139" s="525">
        <v>1</v>
      </c>
      <c r="AB139" s="525">
        <v>1</v>
      </c>
      <c r="AC139" s="525">
        <v>1</v>
      </c>
      <c r="AD139" s="525">
        <v>1</v>
      </c>
      <c r="AE139" s="525">
        <v>1</v>
      </c>
      <c r="AF139" s="526">
        <v>0</v>
      </c>
      <c r="AG139" s="523">
        <v>1</v>
      </c>
      <c r="AH139" s="172">
        <v>1</v>
      </c>
      <c r="AI139" s="172">
        <v>1</v>
      </c>
      <c r="AJ139" s="172">
        <v>1</v>
      </c>
      <c r="AK139" s="172">
        <v>1</v>
      </c>
    </row>
    <row r="140" spans="1:37" s="527" customFormat="1" ht="15.75" thickBot="1" x14ac:dyDescent="0.3">
      <c r="A140" s="524" t="s">
        <v>342</v>
      </c>
      <c r="B140" s="525">
        <v>1</v>
      </c>
      <c r="C140" s="525">
        <v>1</v>
      </c>
      <c r="D140" s="525">
        <v>1</v>
      </c>
      <c r="E140" s="525">
        <v>0</v>
      </c>
      <c r="F140" s="525">
        <v>1</v>
      </c>
      <c r="G140" s="525">
        <v>1</v>
      </c>
      <c r="H140" s="525">
        <v>1</v>
      </c>
      <c r="I140" s="525">
        <v>1</v>
      </c>
      <c r="J140" s="525">
        <v>1</v>
      </c>
      <c r="K140" s="525">
        <v>1</v>
      </c>
      <c r="L140" s="525">
        <v>1</v>
      </c>
      <c r="M140" s="525">
        <v>1</v>
      </c>
      <c r="N140" s="525">
        <v>1</v>
      </c>
      <c r="O140" s="525">
        <v>1</v>
      </c>
      <c r="P140" s="525">
        <v>1</v>
      </c>
      <c r="Q140" s="525">
        <v>1</v>
      </c>
      <c r="R140" s="525">
        <v>1</v>
      </c>
      <c r="S140" s="525">
        <v>1</v>
      </c>
      <c r="T140" s="525">
        <v>1</v>
      </c>
      <c r="U140" s="525">
        <v>1</v>
      </c>
      <c r="V140" s="525">
        <v>1</v>
      </c>
      <c r="W140" s="525">
        <v>1</v>
      </c>
      <c r="X140" s="525">
        <v>1</v>
      </c>
      <c r="Y140" s="525">
        <v>1</v>
      </c>
      <c r="Z140" s="525">
        <v>1</v>
      </c>
      <c r="AA140" s="525">
        <v>1</v>
      </c>
      <c r="AB140" s="525">
        <v>1</v>
      </c>
      <c r="AC140" s="525">
        <v>1</v>
      </c>
      <c r="AD140" s="525">
        <v>1</v>
      </c>
      <c r="AE140" s="525">
        <v>1</v>
      </c>
      <c r="AF140" s="526">
        <v>0</v>
      </c>
      <c r="AG140" s="523">
        <v>1</v>
      </c>
      <c r="AH140" s="172">
        <v>1</v>
      </c>
      <c r="AI140" s="172">
        <v>1</v>
      </c>
      <c r="AJ140" s="172">
        <v>1</v>
      </c>
      <c r="AK140" s="172">
        <v>1</v>
      </c>
    </row>
    <row r="141" spans="1:37" s="527" customFormat="1" ht="15.75" thickBot="1" x14ac:dyDescent="0.3">
      <c r="A141" s="524" t="s">
        <v>343</v>
      </c>
      <c r="B141" s="525">
        <v>1</v>
      </c>
      <c r="C141" s="525">
        <v>1</v>
      </c>
      <c r="D141" s="525">
        <v>1</v>
      </c>
      <c r="E141" s="525">
        <v>0</v>
      </c>
      <c r="F141" s="525">
        <v>1</v>
      </c>
      <c r="G141" s="525">
        <v>1</v>
      </c>
      <c r="H141" s="525">
        <v>1</v>
      </c>
      <c r="I141" s="525">
        <v>1</v>
      </c>
      <c r="J141" s="525">
        <v>1</v>
      </c>
      <c r="K141" s="525">
        <v>1</v>
      </c>
      <c r="L141" s="525">
        <v>1</v>
      </c>
      <c r="M141" s="525">
        <v>1</v>
      </c>
      <c r="N141" s="525">
        <v>1</v>
      </c>
      <c r="O141" s="525">
        <v>1</v>
      </c>
      <c r="P141" s="525">
        <v>1</v>
      </c>
      <c r="Q141" s="525">
        <v>1</v>
      </c>
      <c r="R141" s="525">
        <v>1</v>
      </c>
      <c r="S141" s="525">
        <v>1</v>
      </c>
      <c r="T141" s="525">
        <v>1</v>
      </c>
      <c r="U141" s="525">
        <v>1</v>
      </c>
      <c r="V141" s="525">
        <v>1</v>
      </c>
      <c r="W141" s="525">
        <v>1</v>
      </c>
      <c r="X141" s="525">
        <v>1</v>
      </c>
      <c r="Y141" s="525">
        <v>1</v>
      </c>
      <c r="Z141" s="525">
        <v>1</v>
      </c>
      <c r="AA141" s="525">
        <v>1</v>
      </c>
      <c r="AB141" s="525">
        <v>1</v>
      </c>
      <c r="AC141" s="525">
        <v>1</v>
      </c>
      <c r="AD141" s="525">
        <v>1</v>
      </c>
      <c r="AE141" s="525">
        <v>1</v>
      </c>
      <c r="AF141" s="526">
        <v>0</v>
      </c>
      <c r="AG141" s="523">
        <v>1</v>
      </c>
      <c r="AH141" s="172">
        <v>1</v>
      </c>
      <c r="AI141" s="172">
        <v>1</v>
      </c>
      <c r="AJ141" s="172">
        <v>1</v>
      </c>
      <c r="AK141" s="172">
        <v>1</v>
      </c>
    </row>
    <row r="142" spans="1:37" s="527" customFormat="1" ht="15.75" thickBot="1" x14ac:dyDescent="0.3">
      <c r="A142" s="524" t="s">
        <v>344</v>
      </c>
      <c r="B142" s="525">
        <v>1</v>
      </c>
      <c r="C142" s="525">
        <v>1</v>
      </c>
      <c r="D142" s="525">
        <v>1</v>
      </c>
      <c r="E142" s="525">
        <v>0</v>
      </c>
      <c r="F142" s="525">
        <v>1</v>
      </c>
      <c r="G142" s="525">
        <v>1</v>
      </c>
      <c r="H142" s="525">
        <v>1</v>
      </c>
      <c r="I142" s="525">
        <v>1</v>
      </c>
      <c r="J142" s="525">
        <v>1</v>
      </c>
      <c r="K142" s="525">
        <v>1</v>
      </c>
      <c r="L142" s="525">
        <v>1</v>
      </c>
      <c r="M142" s="525">
        <v>1</v>
      </c>
      <c r="N142" s="525">
        <v>1</v>
      </c>
      <c r="O142" s="525">
        <v>1</v>
      </c>
      <c r="P142" s="525">
        <v>1</v>
      </c>
      <c r="Q142" s="525">
        <v>1</v>
      </c>
      <c r="R142" s="525">
        <v>1</v>
      </c>
      <c r="S142" s="525">
        <v>1</v>
      </c>
      <c r="T142" s="525">
        <v>1</v>
      </c>
      <c r="U142" s="525">
        <v>1</v>
      </c>
      <c r="V142" s="525">
        <v>1</v>
      </c>
      <c r="W142" s="525">
        <v>1</v>
      </c>
      <c r="X142" s="525">
        <v>1</v>
      </c>
      <c r="Y142" s="525">
        <v>1</v>
      </c>
      <c r="Z142" s="525">
        <v>1</v>
      </c>
      <c r="AA142" s="525">
        <v>1</v>
      </c>
      <c r="AB142" s="525">
        <v>1</v>
      </c>
      <c r="AC142" s="525">
        <v>1</v>
      </c>
      <c r="AD142" s="525">
        <v>1</v>
      </c>
      <c r="AE142" s="525">
        <v>1</v>
      </c>
      <c r="AF142" s="526">
        <v>0</v>
      </c>
      <c r="AG142" s="523">
        <v>1</v>
      </c>
      <c r="AH142" s="172">
        <v>1</v>
      </c>
      <c r="AI142" s="172">
        <v>1</v>
      </c>
      <c r="AJ142" s="172">
        <v>1</v>
      </c>
      <c r="AK142" s="172">
        <v>1</v>
      </c>
    </row>
    <row r="143" spans="1:37" s="527" customFormat="1" ht="15.75" thickBot="1" x14ac:dyDescent="0.3">
      <c r="A143" s="524" t="s">
        <v>345</v>
      </c>
      <c r="B143" s="525">
        <v>1</v>
      </c>
      <c r="C143" s="525">
        <v>1</v>
      </c>
      <c r="D143" s="525">
        <v>1</v>
      </c>
      <c r="E143" s="525">
        <v>0</v>
      </c>
      <c r="F143" s="525">
        <v>1</v>
      </c>
      <c r="G143" s="525">
        <v>1</v>
      </c>
      <c r="H143" s="525">
        <v>1</v>
      </c>
      <c r="I143" s="525">
        <v>1</v>
      </c>
      <c r="J143" s="525">
        <v>1</v>
      </c>
      <c r="K143" s="525">
        <v>1</v>
      </c>
      <c r="L143" s="525">
        <v>1</v>
      </c>
      <c r="M143" s="525">
        <v>1</v>
      </c>
      <c r="N143" s="525">
        <v>1</v>
      </c>
      <c r="O143" s="525">
        <v>1</v>
      </c>
      <c r="P143" s="525">
        <v>1</v>
      </c>
      <c r="Q143" s="525">
        <v>1</v>
      </c>
      <c r="R143" s="525">
        <v>1</v>
      </c>
      <c r="S143" s="525">
        <v>1</v>
      </c>
      <c r="T143" s="525">
        <v>1</v>
      </c>
      <c r="U143" s="525">
        <v>1</v>
      </c>
      <c r="V143" s="525">
        <v>1</v>
      </c>
      <c r="W143" s="525">
        <v>1</v>
      </c>
      <c r="X143" s="525">
        <v>1</v>
      </c>
      <c r="Y143" s="525">
        <v>1</v>
      </c>
      <c r="Z143" s="525">
        <v>1</v>
      </c>
      <c r="AA143" s="525">
        <v>1</v>
      </c>
      <c r="AB143" s="525">
        <v>1</v>
      </c>
      <c r="AC143" s="525">
        <v>1</v>
      </c>
      <c r="AD143" s="525">
        <v>1</v>
      </c>
      <c r="AE143" s="525">
        <v>1</v>
      </c>
      <c r="AF143" s="526">
        <v>0</v>
      </c>
      <c r="AG143" s="523">
        <v>1</v>
      </c>
      <c r="AH143" s="172">
        <v>1</v>
      </c>
      <c r="AI143" s="172">
        <v>1</v>
      </c>
      <c r="AJ143" s="172">
        <v>1</v>
      </c>
      <c r="AK143" s="172">
        <v>1</v>
      </c>
    </row>
    <row r="144" spans="1:37" s="527" customFormat="1" ht="15.75" thickBot="1" x14ac:dyDescent="0.3">
      <c r="A144" s="524" t="s">
        <v>346</v>
      </c>
      <c r="B144" s="525">
        <v>1</v>
      </c>
      <c r="C144" s="525">
        <v>1</v>
      </c>
      <c r="D144" s="525">
        <v>1</v>
      </c>
      <c r="E144" s="525">
        <v>0</v>
      </c>
      <c r="F144" s="525">
        <v>1</v>
      </c>
      <c r="G144" s="525">
        <v>1</v>
      </c>
      <c r="H144" s="525">
        <v>1</v>
      </c>
      <c r="I144" s="525">
        <v>1</v>
      </c>
      <c r="J144" s="525">
        <v>1</v>
      </c>
      <c r="K144" s="525">
        <v>1</v>
      </c>
      <c r="L144" s="525">
        <v>1</v>
      </c>
      <c r="M144" s="525">
        <v>1</v>
      </c>
      <c r="N144" s="525">
        <v>1</v>
      </c>
      <c r="O144" s="525">
        <v>1</v>
      </c>
      <c r="P144" s="525">
        <v>1</v>
      </c>
      <c r="Q144" s="525">
        <v>1</v>
      </c>
      <c r="R144" s="525">
        <v>1</v>
      </c>
      <c r="S144" s="525">
        <v>1</v>
      </c>
      <c r="T144" s="525">
        <v>1</v>
      </c>
      <c r="U144" s="525">
        <v>1</v>
      </c>
      <c r="V144" s="525">
        <v>1</v>
      </c>
      <c r="W144" s="525">
        <v>1</v>
      </c>
      <c r="X144" s="525">
        <v>1</v>
      </c>
      <c r="Y144" s="525">
        <v>1</v>
      </c>
      <c r="Z144" s="525">
        <v>1</v>
      </c>
      <c r="AA144" s="525">
        <v>1</v>
      </c>
      <c r="AB144" s="525">
        <v>1</v>
      </c>
      <c r="AC144" s="525">
        <v>1</v>
      </c>
      <c r="AD144" s="525">
        <v>1</v>
      </c>
      <c r="AE144" s="525">
        <v>1</v>
      </c>
      <c r="AF144" s="526">
        <v>0</v>
      </c>
      <c r="AG144" s="523">
        <v>1</v>
      </c>
      <c r="AH144" s="172">
        <v>1</v>
      </c>
      <c r="AI144" s="172">
        <v>1</v>
      </c>
      <c r="AJ144" s="172">
        <v>1</v>
      </c>
      <c r="AK144" s="172">
        <v>1</v>
      </c>
    </row>
    <row r="145" spans="1:37" s="527" customFormat="1" ht="15.75" thickBot="1" x14ac:dyDescent="0.3">
      <c r="A145" s="524" t="s">
        <v>347</v>
      </c>
      <c r="B145" s="525">
        <v>1</v>
      </c>
      <c r="C145" s="525">
        <v>1</v>
      </c>
      <c r="D145" s="525">
        <v>1</v>
      </c>
      <c r="E145" s="525">
        <v>0</v>
      </c>
      <c r="F145" s="525">
        <v>1</v>
      </c>
      <c r="G145" s="525">
        <v>1</v>
      </c>
      <c r="H145" s="525">
        <v>1</v>
      </c>
      <c r="I145" s="525">
        <v>1</v>
      </c>
      <c r="J145" s="525">
        <v>1</v>
      </c>
      <c r="K145" s="525">
        <v>1</v>
      </c>
      <c r="L145" s="525">
        <v>1</v>
      </c>
      <c r="M145" s="525">
        <v>1</v>
      </c>
      <c r="N145" s="525">
        <v>1</v>
      </c>
      <c r="O145" s="525">
        <v>1</v>
      </c>
      <c r="P145" s="525">
        <v>1</v>
      </c>
      <c r="Q145" s="525">
        <v>1</v>
      </c>
      <c r="R145" s="525">
        <v>1</v>
      </c>
      <c r="S145" s="525">
        <v>1</v>
      </c>
      <c r="T145" s="525">
        <v>1</v>
      </c>
      <c r="U145" s="525">
        <v>1</v>
      </c>
      <c r="V145" s="525">
        <v>1</v>
      </c>
      <c r="W145" s="525">
        <v>1</v>
      </c>
      <c r="X145" s="525">
        <v>1</v>
      </c>
      <c r="Y145" s="525">
        <v>1</v>
      </c>
      <c r="Z145" s="525">
        <v>1</v>
      </c>
      <c r="AA145" s="525">
        <v>1</v>
      </c>
      <c r="AB145" s="525">
        <v>1</v>
      </c>
      <c r="AC145" s="525">
        <v>1</v>
      </c>
      <c r="AD145" s="525">
        <v>1</v>
      </c>
      <c r="AE145" s="525">
        <v>1</v>
      </c>
      <c r="AF145" s="526">
        <v>0</v>
      </c>
      <c r="AG145" s="523">
        <v>1</v>
      </c>
      <c r="AH145" s="172">
        <v>1</v>
      </c>
      <c r="AI145" s="172">
        <v>1</v>
      </c>
      <c r="AJ145" s="172">
        <v>1</v>
      </c>
      <c r="AK145" s="172">
        <v>1</v>
      </c>
    </row>
    <row r="146" spans="1:37" s="527" customFormat="1" ht="15.75" thickBot="1" x14ac:dyDescent="0.3">
      <c r="A146" s="524" t="s">
        <v>348</v>
      </c>
      <c r="B146" s="525">
        <v>1</v>
      </c>
      <c r="C146" s="525">
        <v>1</v>
      </c>
      <c r="D146" s="525">
        <v>1</v>
      </c>
      <c r="E146" s="525">
        <v>0</v>
      </c>
      <c r="F146" s="525">
        <v>1</v>
      </c>
      <c r="G146" s="525">
        <v>1</v>
      </c>
      <c r="H146" s="525">
        <v>1</v>
      </c>
      <c r="I146" s="525">
        <v>1</v>
      </c>
      <c r="J146" s="525">
        <v>1</v>
      </c>
      <c r="K146" s="525">
        <v>1</v>
      </c>
      <c r="L146" s="525">
        <v>1</v>
      </c>
      <c r="M146" s="525">
        <v>1</v>
      </c>
      <c r="N146" s="525">
        <v>1</v>
      </c>
      <c r="O146" s="525">
        <v>1</v>
      </c>
      <c r="P146" s="525">
        <v>1</v>
      </c>
      <c r="Q146" s="525">
        <v>1</v>
      </c>
      <c r="R146" s="525">
        <v>1</v>
      </c>
      <c r="S146" s="525">
        <v>1</v>
      </c>
      <c r="T146" s="525">
        <v>1</v>
      </c>
      <c r="U146" s="525">
        <v>1</v>
      </c>
      <c r="V146" s="525">
        <v>1</v>
      </c>
      <c r="W146" s="525">
        <v>1</v>
      </c>
      <c r="X146" s="525">
        <v>1</v>
      </c>
      <c r="Y146" s="525">
        <v>1</v>
      </c>
      <c r="Z146" s="525">
        <v>1</v>
      </c>
      <c r="AA146" s="525">
        <v>1</v>
      </c>
      <c r="AB146" s="525">
        <v>1</v>
      </c>
      <c r="AC146" s="525">
        <v>1</v>
      </c>
      <c r="AD146" s="525">
        <v>1</v>
      </c>
      <c r="AE146" s="525">
        <v>1</v>
      </c>
      <c r="AF146" s="526">
        <v>0</v>
      </c>
      <c r="AG146" s="523">
        <v>1</v>
      </c>
      <c r="AH146" s="172">
        <v>1</v>
      </c>
      <c r="AI146" s="172">
        <v>1</v>
      </c>
      <c r="AJ146" s="172">
        <v>1</v>
      </c>
      <c r="AK146" s="172">
        <v>1</v>
      </c>
    </row>
    <row r="147" spans="1:37" s="527" customFormat="1" ht="15.75" thickBot="1" x14ac:dyDescent="0.3">
      <c r="A147" s="524" t="s">
        <v>349</v>
      </c>
      <c r="B147" s="525">
        <v>1</v>
      </c>
      <c r="C147" s="525">
        <v>1</v>
      </c>
      <c r="D147" s="525">
        <v>1</v>
      </c>
      <c r="E147" s="525">
        <v>0</v>
      </c>
      <c r="F147" s="525">
        <v>1</v>
      </c>
      <c r="G147" s="525">
        <v>1</v>
      </c>
      <c r="H147" s="525">
        <v>1</v>
      </c>
      <c r="I147" s="525">
        <v>1</v>
      </c>
      <c r="J147" s="525">
        <v>1</v>
      </c>
      <c r="K147" s="525">
        <v>1</v>
      </c>
      <c r="L147" s="525">
        <v>1</v>
      </c>
      <c r="M147" s="525">
        <v>1</v>
      </c>
      <c r="N147" s="525">
        <v>1</v>
      </c>
      <c r="O147" s="525">
        <v>1</v>
      </c>
      <c r="P147" s="525">
        <v>1</v>
      </c>
      <c r="Q147" s="525">
        <v>1</v>
      </c>
      <c r="R147" s="525">
        <v>1</v>
      </c>
      <c r="S147" s="525">
        <v>1</v>
      </c>
      <c r="T147" s="525">
        <v>1</v>
      </c>
      <c r="U147" s="525">
        <v>1</v>
      </c>
      <c r="V147" s="525">
        <v>1</v>
      </c>
      <c r="W147" s="525">
        <v>1</v>
      </c>
      <c r="X147" s="525">
        <v>1</v>
      </c>
      <c r="Y147" s="525">
        <v>1</v>
      </c>
      <c r="Z147" s="525">
        <v>1</v>
      </c>
      <c r="AA147" s="525">
        <v>1</v>
      </c>
      <c r="AB147" s="525">
        <v>1</v>
      </c>
      <c r="AC147" s="525">
        <v>1</v>
      </c>
      <c r="AD147" s="525">
        <v>1</v>
      </c>
      <c r="AE147" s="525">
        <v>1</v>
      </c>
      <c r="AF147" s="526">
        <v>0</v>
      </c>
      <c r="AG147" s="523">
        <v>1</v>
      </c>
      <c r="AH147" s="172">
        <v>1</v>
      </c>
      <c r="AI147" s="172">
        <v>1</v>
      </c>
      <c r="AJ147" s="172">
        <v>1</v>
      </c>
      <c r="AK147" s="172">
        <v>1</v>
      </c>
    </row>
    <row r="148" spans="1:37" s="527" customFormat="1" ht="15.75" thickBot="1" x14ac:dyDescent="0.3">
      <c r="A148" s="524" t="s">
        <v>350</v>
      </c>
      <c r="B148" s="525">
        <v>1</v>
      </c>
      <c r="C148" s="525">
        <v>1</v>
      </c>
      <c r="D148" s="525">
        <v>1</v>
      </c>
      <c r="E148" s="525">
        <v>0</v>
      </c>
      <c r="F148" s="525">
        <v>1</v>
      </c>
      <c r="G148" s="525">
        <v>1</v>
      </c>
      <c r="H148" s="525">
        <v>1</v>
      </c>
      <c r="I148" s="525">
        <v>1</v>
      </c>
      <c r="J148" s="525">
        <v>1</v>
      </c>
      <c r="K148" s="525">
        <v>1</v>
      </c>
      <c r="L148" s="525">
        <v>1</v>
      </c>
      <c r="M148" s="525">
        <v>1</v>
      </c>
      <c r="N148" s="525">
        <v>1</v>
      </c>
      <c r="O148" s="525">
        <v>1</v>
      </c>
      <c r="P148" s="525">
        <v>1</v>
      </c>
      <c r="Q148" s="525">
        <v>1</v>
      </c>
      <c r="R148" s="525">
        <v>1</v>
      </c>
      <c r="S148" s="525">
        <v>1</v>
      </c>
      <c r="T148" s="525">
        <v>1</v>
      </c>
      <c r="U148" s="525">
        <v>1</v>
      </c>
      <c r="V148" s="525">
        <v>1</v>
      </c>
      <c r="W148" s="525">
        <v>1</v>
      </c>
      <c r="X148" s="525">
        <v>1</v>
      </c>
      <c r="Y148" s="525">
        <v>1</v>
      </c>
      <c r="Z148" s="525">
        <v>1</v>
      </c>
      <c r="AA148" s="525">
        <v>1</v>
      </c>
      <c r="AB148" s="525">
        <v>1</v>
      </c>
      <c r="AC148" s="525">
        <v>1</v>
      </c>
      <c r="AD148" s="525">
        <v>1</v>
      </c>
      <c r="AE148" s="525">
        <v>1</v>
      </c>
      <c r="AF148" s="526">
        <v>0</v>
      </c>
      <c r="AG148" s="523">
        <v>1</v>
      </c>
      <c r="AH148" s="172">
        <v>1</v>
      </c>
      <c r="AI148" s="172">
        <v>1</v>
      </c>
      <c r="AJ148" s="172">
        <v>1</v>
      </c>
      <c r="AK148" s="172">
        <v>1</v>
      </c>
    </row>
    <row r="149" spans="1:37" s="527" customFormat="1" ht="15.75" thickBot="1" x14ac:dyDescent="0.3">
      <c r="A149" s="524" t="s">
        <v>351</v>
      </c>
      <c r="B149" s="525">
        <v>1</v>
      </c>
      <c r="C149" s="525">
        <v>1</v>
      </c>
      <c r="D149" s="525">
        <v>1</v>
      </c>
      <c r="E149" s="525">
        <v>0</v>
      </c>
      <c r="F149" s="525">
        <v>1</v>
      </c>
      <c r="G149" s="525">
        <v>1</v>
      </c>
      <c r="H149" s="525">
        <v>1</v>
      </c>
      <c r="I149" s="525">
        <v>1</v>
      </c>
      <c r="J149" s="525">
        <v>1</v>
      </c>
      <c r="K149" s="525">
        <v>1</v>
      </c>
      <c r="L149" s="525">
        <v>1</v>
      </c>
      <c r="M149" s="525">
        <v>1</v>
      </c>
      <c r="N149" s="525">
        <v>1</v>
      </c>
      <c r="O149" s="525">
        <v>1</v>
      </c>
      <c r="P149" s="525">
        <v>1</v>
      </c>
      <c r="Q149" s="525">
        <v>1</v>
      </c>
      <c r="R149" s="525">
        <v>1</v>
      </c>
      <c r="S149" s="525">
        <v>1</v>
      </c>
      <c r="T149" s="525">
        <v>1</v>
      </c>
      <c r="U149" s="525">
        <v>1</v>
      </c>
      <c r="V149" s="525">
        <v>1</v>
      </c>
      <c r="W149" s="525">
        <v>1</v>
      </c>
      <c r="X149" s="525">
        <v>1</v>
      </c>
      <c r="Y149" s="525">
        <v>1</v>
      </c>
      <c r="Z149" s="525">
        <v>1</v>
      </c>
      <c r="AA149" s="525">
        <v>1</v>
      </c>
      <c r="AB149" s="525">
        <v>1</v>
      </c>
      <c r="AC149" s="525">
        <v>1</v>
      </c>
      <c r="AD149" s="525">
        <v>1</v>
      </c>
      <c r="AE149" s="525">
        <v>1</v>
      </c>
      <c r="AF149" s="526">
        <v>0</v>
      </c>
      <c r="AG149" s="523">
        <v>1</v>
      </c>
      <c r="AH149" s="172">
        <v>1</v>
      </c>
      <c r="AI149" s="172">
        <v>1</v>
      </c>
      <c r="AJ149" s="172">
        <v>1</v>
      </c>
      <c r="AK149" s="172">
        <v>1</v>
      </c>
    </row>
    <row r="150" spans="1:37" s="527" customFormat="1" ht="15.75" thickBot="1" x14ac:dyDescent="0.3">
      <c r="A150" s="524" t="s">
        <v>352</v>
      </c>
      <c r="B150" s="525">
        <v>1</v>
      </c>
      <c r="C150" s="525">
        <v>1</v>
      </c>
      <c r="D150" s="525">
        <v>1</v>
      </c>
      <c r="E150" s="525">
        <v>0</v>
      </c>
      <c r="F150" s="525">
        <v>1</v>
      </c>
      <c r="G150" s="525">
        <v>1</v>
      </c>
      <c r="H150" s="525">
        <v>1</v>
      </c>
      <c r="I150" s="525">
        <v>1</v>
      </c>
      <c r="J150" s="525">
        <v>1</v>
      </c>
      <c r="K150" s="525">
        <v>1</v>
      </c>
      <c r="L150" s="525">
        <v>1</v>
      </c>
      <c r="M150" s="525">
        <v>1</v>
      </c>
      <c r="N150" s="525">
        <v>1</v>
      </c>
      <c r="O150" s="525">
        <v>1</v>
      </c>
      <c r="P150" s="525">
        <v>1</v>
      </c>
      <c r="Q150" s="525">
        <v>1</v>
      </c>
      <c r="R150" s="525">
        <v>1</v>
      </c>
      <c r="S150" s="525">
        <v>1</v>
      </c>
      <c r="T150" s="525">
        <v>1</v>
      </c>
      <c r="U150" s="525">
        <v>1</v>
      </c>
      <c r="V150" s="525">
        <v>1</v>
      </c>
      <c r="W150" s="525">
        <v>1</v>
      </c>
      <c r="X150" s="525">
        <v>1</v>
      </c>
      <c r="Y150" s="525">
        <v>1</v>
      </c>
      <c r="Z150" s="525">
        <v>1</v>
      </c>
      <c r="AA150" s="525">
        <v>1</v>
      </c>
      <c r="AB150" s="525">
        <v>1</v>
      </c>
      <c r="AC150" s="525">
        <v>1</v>
      </c>
      <c r="AD150" s="525">
        <v>1</v>
      </c>
      <c r="AE150" s="525">
        <v>1</v>
      </c>
      <c r="AF150" s="526">
        <v>0</v>
      </c>
      <c r="AG150" s="523">
        <v>1</v>
      </c>
      <c r="AH150" s="172">
        <v>1</v>
      </c>
      <c r="AI150" s="172">
        <v>1</v>
      </c>
      <c r="AJ150" s="172">
        <v>1</v>
      </c>
      <c r="AK150" s="172">
        <v>1</v>
      </c>
    </row>
    <row r="151" spans="1:37" s="527" customFormat="1" ht="15.75" thickBot="1" x14ac:dyDescent="0.3">
      <c r="A151" s="524" t="s">
        <v>353</v>
      </c>
      <c r="B151" s="525">
        <v>1</v>
      </c>
      <c r="C151" s="525">
        <v>1</v>
      </c>
      <c r="D151" s="525">
        <v>1</v>
      </c>
      <c r="E151" s="525">
        <v>0</v>
      </c>
      <c r="F151" s="525">
        <v>1</v>
      </c>
      <c r="G151" s="525">
        <v>1</v>
      </c>
      <c r="H151" s="525">
        <v>1</v>
      </c>
      <c r="I151" s="525">
        <v>1</v>
      </c>
      <c r="J151" s="525">
        <v>1</v>
      </c>
      <c r="K151" s="525">
        <v>1</v>
      </c>
      <c r="L151" s="525">
        <v>1</v>
      </c>
      <c r="M151" s="525">
        <v>1</v>
      </c>
      <c r="N151" s="525">
        <v>1</v>
      </c>
      <c r="O151" s="525">
        <v>1</v>
      </c>
      <c r="P151" s="525">
        <v>1</v>
      </c>
      <c r="Q151" s="525">
        <v>1</v>
      </c>
      <c r="R151" s="525">
        <v>1</v>
      </c>
      <c r="S151" s="525">
        <v>1</v>
      </c>
      <c r="T151" s="525">
        <v>1</v>
      </c>
      <c r="U151" s="525">
        <v>1</v>
      </c>
      <c r="V151" s="525">
        <v>1</v>
      </c>
      <c r="W151" s="525">
        <v>1</v>
      </c>
      <c r="X151" s="525">
        <v>1</v>
      </c>
      <c r="Y151" s="525">
        <v>1</v>
      </c>
      <c r="Z151" s="525">
        <v>1</v>
      </c>
      <c r="AA151" s="525">
        <v>1</v>
      </c>
      <c r="AB151" s="525">
        <v>1</v>
      </c>
      <c r="AC151" s="525">
        <v>1</v>
      </c>
      <c r="AD151" s="525">
        <v>1</v>
      </c>
      <c r="AE151" s="525">
        <v>1</v>
      </c>
      <c r="AF151" s="526">
        <v>0</v>
      </c>
      <c r="AG151" s="523">
        <v>1</v>
      </c>
      <c r="AH151" s="172">
        <v>1</v>
      </c>
      <c r="AI151" s="172">
        <v>1</v>
      </c>
      <c r="AJ151" s="172">
        <v>1</v>
      </c>
      <c r="AK151" s="172">
        <v>1</v>
      </c>
    </row>
    <row r="152" spans="1:37" s="527" customFormat="1" ht="15.75" thickBot="1" x14ac:dyDescent="0.3">
      <c r="A152" s="524" t="s">
        <v>354</v>
      </c>
      <c r="B152" s="525">
        <v>0</v>
      </c>
      <c r="C152" s="525">
        <v>0</v>
      </c>
      <c r="D152" s="525">
        <v>0</v>
      </c>
      <c r="E152" s="525">
        <v>0</v>
      </c>
      <c r="F152" s="525">
        <v>0</v>
      </c>
      <c r="G152" s="525">
        <v>0</v>
      </c>
      <c r="H152" s="525">
        <v>0</v>
      </c>
      <c r="I152" s="525">
        <v>0</v>
      </c>
      <c r="J152" s="525">
        <v>0</v>
      </c>
      <c r="K152" s="525">
        <v>0</v>
      </c>
      <c r="L152" s="525">
        <v>0</v>
      </c>
      <c r="M152" s="525">
        <v>0</v>
      </c>
      <c r="N152" s="525">
        <v>0</v>
      </c>
      <c r="O152" s="525">
        <v>0</v>
      </c>
      <c r="P152" s="525">
        <v>0</v>
      </c>
      <c r="Q152" s="525">
        <v>0</v>
      </c>
      <c r="R152" s="525">
        <v>0</v>
      </c>
      <c r="S152" s="525">
        <v>0</v>
      </c>
      <c r="T152" s="525">
        <v>0</v>
      </c>
      <c r="U152" s="525">
        <v>0</v>
      </c>
      <c r="V152" s="525">
        <v>0</v>
      </c>
      <c r="W152" s="525">
        <v>0</v>
      </c>
      <c r="X152" s="525">
        <v>0</v>
      </c>
      <c r="Y152" s="525">
        <v>0</v>
      </c>
      <c r="Z152" s="525">
        <v>0</v>
      </c>
      <c r="AA152" s="525">
        <v>0</v>
      </c>
      <c r="AB152" s="525">
        <v>0</v>
      </c>
      <c r="AC152" s="525">
        <v>0</v>
      </c>
      <c r="AD152" s="525">
        <v>1</v>
      </c>
      <c r="AE152" s="525">
        <v>0</v>
      </c>
      <c r="AF152" s="526">
        <v>0</v>
      </c>
      <c r="AG152" s="523">
        <v>1</v>
      </c>
      <c r="AH152" s="172">
        <v>1</v>
      </c>
      <c r="AI152" s="172">
        <v>1</v>
      </c>
      <c r="AJ152" s="172">
        <v>1</v>
      </c>
      <c r="AK152" s="172">
        <v>1</v>
      </c>
    </row>
    <row r="153" spans="1:37" s="527" customFormat="1" ht="15.75" thickBot="1" x14ac:dyDescent="0.3">
      <c r="A153" s="524" t="s">
        <v>355</v>
      </c>
      <c r="B153" s="525">
        <v>1</v>
      </c>
      <c r="C153" s="525">
        <v>1</v>
      </c>
      <c r="D153" s="525">
        <v>1</v>
      </c>
      <c r="E153" s="525">
        <v>0</v>
      </c>
      <c r="F153" s="525">
        <v>1</v>
      </c>
      <c r="G153" s="525">
        <v>1</v>
      </c>
      <c r="H153" s="525">
        <v>1</v>
      </c>
      <c r="I153" s="525">
        <v>1</v>
      </c>
      <c r="J153" s="525">
        <v>1</v>
      </c>
      <c r="K153" s="525">
        <v>1</v>
      </c>
      <c r="L153" s="525">
        <v>1</v>
      </c>
      <c r="M153" s="525">
        <v>1</v>
      </c>
      <c r="N153" s="525">
        <v>1</v>
      </c>
      <c r="O153" s="525">
        <v>1</v>
      </c>
      <c r="P153" s="525">
        <v>1</v>
      </c>
      <c r="Q153" s="525">
        <v>1</v>
      </c>
      <c r="R153" s="525">
        <v>1</v>
      </c>
      <c r="S153" s="525">
        <v>1</v>
      </c>
      <c r="T153" s="525">
        <v>1</v>
      </c>
      <c r="U153" s="525">
        <v>1</v>
      </c>
      <c r="V153" s="525">
        <v>1</v>
      </c>
      <c r="W153" s="525">
        <v>1</v>
      </c>
      <c r="X153" s="525">
        <v>1</v>
      </c>
      <c r="Y153" s="525">
        <v>1</v>
      </c>
      <c r="Z153" s="525">
        <v>1</v>
      </c>
      <c r="AA153" s="525">
        <v>1</v>
      </c>
      <c r="AB153" s="525">
        <v>1</v>
      </c>
      <c r="AC153" s="525">
        <v>1</v>
      </c>
      <c r="AD153" s="525">
        <v>1</v>
      </c>
      <c r="AE153" s="525">
        <v>1</v>
      </c>
      <c r="AF153" s="526">
        <v>0</v>
      </c>
      <c r="AG153" s="523">
        <v>1</v>
      </c>
      <c r="AH153" s="172">
        <v>1</v>
      </c>
      <c r="AI153" s="172">
        <v>1</v>
      </c>
      <c r="AJ153" s="172">
        <v>1</v>
      </c>
      <c r="AK153" s="172">
        <v>1</v>
      </c>
    </row>
    <row r="154" spans="1:37" s="527" customFormat="1" ht="15.75" thickBot="1" x14ac:dyDescent="0.3">
      <c r="A154" s="524" t="s">
        <v>356</v>
      </c>
      <c r="B154" s="172">
        <v>1</v>
      </c>
      <c r="C154" s="172">
        <v>1</v>
      </c>
      <c r="D154" s="172">
        <v>1</v>
      </c>
      <c r="E154" s="525">
        <v>0</v>
      </c>
      <c r="F154" s="172">
        <v>1</v>
      </c>
      <c r="G154" s="172">
        <v>1</v>
      </c>
      <c r="H154" s="172">
        <v>1</v>
      </c>
      <c r="I154" s="172">
        <v>1</v>
      </c>
      <c r="J154" s="172">
        <v>1</v>
      </c>
      <c r="K154" s="172">
        <v>1</v>
      </c>
      <c r="L154" s="172">
        <v>1</v>
      </c>
      <c r="M154" s="172">
        <v>1</v>
      </c>
      <c r="N154" s="172">
        <v>1</v>
      </c>
      <c r="O154" s="172">
        <v>1</v>
      </c>
      <c r="P154" s="172">
        <v>1</v>
      </c>
      <c r="Q154" s="172">
        <v>1</v>
      </c>
      <c r="R154" s="172">
        <v>1</v>
      </c>
      <c r="S154" s="172">
        <v>1</v>
      </c>
      <c r="T154" s="172">
        <v>1</v>
      </c>
      <c r="U154" s="172">
        <v>1</v>
      </c>
      <c r="V154" s="172">
        <v>1</v>
      </c>
      <c r="W154" s="172">
        <v>1</v>
      </c>
      <c r="X154" s="172">
        <v>1</v>
      </c>
      <c r="Y154" s="172">
        <v>1</v>
      </c>
      <c r="Z154" s="172">
        <v>1</v>
      </c>
      <c r="AA154" s="172">
        <v>1</v>
      </c>
      <c r="AB154" s="172">
        <v>1</v>
      </c>
      <c r="AC154" s="172">
        <v>1</v>
      </c>
      <c r="AD154" s="172">
        <v>1</v>
      </c>
      <c r="AE154" s="172">
        <v>1</v>
      </c>
      <c r="AF154" s="522">
        <v>0</v>
      </c>
      <c r="AG154" s="523">
        <v>1</v>
      </c>
      <c r="AH154" s="172">
        <v>1</v>
      </c>
      <c r="AI154" s="172">
        <v>1</v>
      </c>
      <c r="AJ154" s="172">
        <v>1</v>
      </c>
      <c r="AK154" s="172">
        <v>1</v>
      </c>
    </row>
    <row r="155" spans="1:37" s="527" customFormat="1" ht="15.75" thickBot="1" x14ac:dyDescent="0.3">
      <c r="A155" s="524" t="s">
        <v>357</v>
      </c>
      <c r="B155" s="172">
        <v>1</v>
      </c>
      <c r="C155" s="172">
        <v>1</v>
      </c>
      <c r="D155" s="172">
        <v>1</v>
      </c>
      <c r="E155" s="525">
        <v>0</v>
      </c>
      <c r="F155" s="172">
        <v>1</v>
      </c>
      <c r="G155" s="172">
        <v>1</v>
      </c>
      <c r="H155" s="172">
        <v>1</v>
      </c>
      <c r="I155" s="172">
        <v>1</v>
      </c>
      <c r="J155" s="172">
        <v>1</v>
      </c>
      <c r="K155" s="172">
        <v>1</v>
      </c>
      <c r="L155" s="172">
        <v>1</v>
      </c>
      <c r="M155" s="172">
        <v>1</v>
      </c>
      <c r="N155" s="172">
        <v>1</v>
      </c>
      <c r="O155" s="172">
        <v>1</v>
      </c>
      <c r="P155" s="172">
        <v>1</v>
      </c>
      <c r="Q155" s="172">
        <v>1</v>
      </c>
      <c r="R155" s="172">
        <v>1</v>
      </c>
      <c r="S155" s="172">
        <v>1</v>
      </c>
      <c r="T155" s="172">
        <v>1</v>
      </c>
      <c r="U155" s="172">
        <v>1</v>
      </c>
      <c r="V155" s="172">
        <v>1</v>
      </c>
      <c r="W155" s="172">
        <v>1</v>
      </c>
      <c r="X155" s="172">
        <v>1</v>
      </c>
      <c r="Y155" s="172">
        <v>1</v>
      </c>
      <c r="Z155" s="172">
        <v>1</v>
      </c>
      <c r="AA155" s="172">
        <v>1</v>
      </c>
      <c r="AB155" s="172">
        <v>1</v>
      </c>
      <c r="AC155" s="172">
        <v>1</v>
      </c>
      <c r="AD155" s="172">
        <v>1</v>
      </c>
      <c r="AE155" s="172">
        <v>1</v>
      </c>
      <c r="AF155" s="522">
        <v>0</v>
      </c>
      <c r="AG155" s="523">
        <v>1</v>
      </c>
      <c r="AH155" s="172">
        <v>1</v>
      </c>
      <c r="AI155" s="172">
        <v>1</v>
      </c>
      <c r="AJ155" s="172">
        <v>1</v>
      </c>
      <c r="AK155" s="172">
        <v>1</v>
      </c>
    </row>
    <row r="156" spans="1:37" s="527" customFormat="1" ht="15.75" thickBot="1" x14ac:dyDescent="0.3">
      <c r="A156" s="524" t="s">
        <v>358</v>
      </c>
      <c r="B156" s="172">
        <v>0</v>
      </c>
      <c r="C156" s="172">
        <v>0</v>
      </c>
      <c r="D156" s="172">
        <v>0</v>
      </c>
      <c r="E156" s="525">
        <v>0</v>
      </c>
      <c r="F156" s="172">
        <v>0</v>
      </c>
      <c r="G156" s="172">
        <v>0</v>
      </c>
      <c r="H156" s="172">
        <v>0</v>
      </c>
      <c r="I156" s="172">
        <v>0</v>
      </c>
      <c r="J156" s="172">
        <v>0</v>
      </c>
      <c r="K156" s="172">
        <v>0</v>
      </c>
      <c r="L156" s="172">
        <v>0</v>
      </c>
      <c r="M156" s="172">
        <v>0</v>
      </c>
      <c r="N156" s="172">
        <v>0</v>
      </c>
      <c r="O156" s="172">
        <v>0</v>
      </c>
      <c r="P156" s="172">
        <v>0</v>
      </c>
      <c r="Q156" s="172">
        <v>0</v>
      </c>
      <c r="R156" s="172">
        <v>0</v>
      </c>
      <c r="S156" s="172">
        <v>0</v>
      </c>
      <c r="T156" s="172">
        <v>0</v>
      </c>
      <c r="U156" s="172">
        <v>0</v>
      </c>
      <c r="V156" s="172">
        <v>0</v>
      </c>
      <c r="W156" s="172">
        <v>0</v>
      </c>
      <c r="X156" s="172">
        <v>0</v>
      </c>
      <c r="Y156" s="172">
        <v>0</v>
      </c>
      <c r="Z156" s="172">
        <v>1</v>
      </c>
      <c r="AA156" s="172">
        <v>1</v>
      </c>
      <c r="AB156" s="172">
        <v>1</v>
      </c>
      <c r="AC156" s="172">
        <v>1</v>
      </c>
      <c r="AD156" s="172">
        <v>1</v>
      </c>
      <c r="AE156" s="172">
        <v>0</v>
      </c>
      <c r="AF156" s="522">
        <v>0</v>
      </c>
      <c r="AG156" s="523">
        <v>1</v>
      </c>
      <c r="AH156" s="172">
        <v>1</v>
      </c>
      <c r="AI156" s="172">
        <v>1</v>
      </c>
      <c r="AJ156" s="172">
        <v>1</v>
      </c>
      <c r="AK156" s="172">
        <v>1</v>
      </c>
    </row>
    <row r="157" spans="1:37" s="527" customFormat="1" ht="15.75" thickBot="1" x14ac:dyDescent="0.3">
      <c r="A157" s="524" t="s">
        <v>359</v>
      </c>
      <c r="B157" s="525">
        <v>0</v>
      </c>
      <c r="C157" s="525">
        <v>0</v>
      </c>
      <c r="D157" s="525">
        <v>0</v>
      </c>
      <c r="E157" s="525">
        <v>0</v>
      </c>
      <c r="F157" s="525">
        <v>0</v>
      </c>
      <c r="G157" s="525">
        <v>0</v>
      </c>
      <c r="H157" s="525">
        <v>0</v>
      </c>
      <c r="I157" s="525">
        <v>0</v>
      </c>
      <c r="J157" s="525">
        <v>0</v>
      </c>
      <c r="K157" s="525">
        <v>0</v>
      </c>
      <c r="L157" s="525">
        <v>0</v>
      </c>
      <c r="M157" s="525">
        <v>0</v>
      </c>
      <c r="N157" s="525">
        <v>0</v>
      </c>
      <c r="O157" s="525">
        <v>0</v>
      </c>
      <c r="P157" s="525">
        <v>0</v>
      </c>
      <c r="Q157" s="525">
        <v>0</v>
      </c>
      <c r="R157" s="525">
        <v>0</v>
      </c>
      <c r="S157" s="525">
        <v>0</v>
      </c>
      <c r="T157" s="525">
        <v>0</v>
      </c>
      <c r="U157" s="525">
        <v>0</v>
      </c>
      <c r="V157" s="525">
        <v>0</v>
      </c>
      <c r="W157" s="525">
        <v>0</v>
      </c>
      <c r="X157" s="525">
        <v>0</v>
      </c>
      <c r="Y157" s="525">
        <v>0</v>
      </c>
      <c r="Z157" s="525">
        <v>1</v>
      </c>
      <c r="AA157" s="525">
        <v>0</v>
      </c>
      <c r="AB157" s="525">
        <v>0</v>
      </c>
      <c r="AC157" s="525">
        <v>0</v>
      </c>
      <c r="AD157" s="525">
        <v>0</v>
      </c>
      <c r="AE157" s="525">
        <v>0</v>
      </c>
      <c r="AF157" s="526">
        <v>0</v>
      </c>
      <c r="AG157" s="523">
        <v>1</v>
      </c>
      <c r="AH157" s="172">
        <v>1</v>
      </c>
      <c r="AI157" s="172">
        <v>1</v>
      </c>
      <c r="AJ157" s="172">
        <v>1</v>
      </c>
      <c r="AK157" s="172">
        <v>1</v>
      </c>
    </row>
    <row r="158" spans="1:37" s="527" customFormat="1" ht="15.75" thickBot="1" x14ac:dyDescent="0.3">
      <c r="A158" s="524" t="s">
        <v>360</v>
      </c>
      <c r="B158" s="525">
        <v>0</v>
      </c>
      <c r="C158" s="525">
        <v>0</v>
      </c>
      <c r="D158" s="525">
        <v>0</v>
      </c>
      <c r="E158" s="525">
        <v>0</v>
      </c>
      <c r="F158" s="525">
        <v>0</v>
      </c>
      <c r="G158" s="525">
        <v>0</v>
      </c>
      <c r="H158" s="525">
        <v>0</v>
      </c>
      <c r="I158" s="525">
        <v>0</v>
      </c>
      <c r="J158" s="525">
        <v>0</v>
      </c>
      <c r="K158" s="525">
        <v>0</v>
      </c>
      <c r="L158" s="525">
        <v>0</v>
      </c>
      <c r="M158" s="525">
        <v>0</v>
      </c>
      <c r="N158" s="525">
        <v>0</v>
      </c>
      <c r="O158" s="525">
        <v>0</v>
      </c>
      <c r="P158" s="525">
        <v>0</v>
      </c>
      <c r="Q158" s="525">
        <v>0</v>
      </c>
      <c r="R158" s="525">
        <v>0</v>
      </c>
      <c r="S158" s="525">
        <v>0</v>
      </c>
      <c r="T158" s="525">
        <v>0</v>
      </c>
      <c r="U158" s="525">
        <v>0</v>
      </c>
      <c r="V158" s="525">
        <v>0</v>
      </c>
      <c r="W158" s="525">
        <v>0</v>
      </c>
      <c r="X158" s="525">
        <v>0</v>
      </c>
      <c r="Y158" s="525">
        <v>0</v>
      </c>
      <c r="Z158" s="525">
        <v>1</v>
      </c>
      <c r="AA158" s="525">
        <v>0</v>
      </c>
      <c r="AB158" s="525">
        <v>0</v>
      </c>
      <c r="AC158" s="525">
        <v>0</v>
      </c>
      <c r="AD158" s="525">
        <v>0</v>
      </c>
      <c r="AE158" s="525">
        <v>0</v>
      </c>
      <c r="AF158" s="526">
        <v>0</v>
      </c>
      <c r="AG158" s="523">
        <v>1</v>
      </c>
      <c r="AH158" s="172">
        <v>1</v>
      </c>
      <c r="AI158" s="172">
        <v>1</v>
      </c>
      <c r="AJ158" s="172">
        <v>1</v>
      </c>
      <c r="AK158" s="172">
        <v>1</v>
      </c>
    </row>
    <row r="159" spans="1:37" s="527" customFormat="1" ht="15.75" thickBot="1" x14ac:dyDescent="0.3">
      <c r="A159" s="524" t="s">
        <v>361</v>
      </c>
      <c r="B159" s="525">
        <v>0</v>
      </c>
      <c r="C159" s="525">
        <v>0</v>
      </c>
      <c r="D159" s="525">
        <v>0</v>
      </c>
      <c r="E159" s="525">
        <v>0</v>
      </c>
      <c r="F159" s="525">
        <v>0</v>
      </c>
      <c r="G159" s="525">
        <v>0</v>
      </c>
      <c r="H159" s="525">
        <v>0</v>
      </c>
      <c r="I159" s="525">
        <v>0</v>
      </c>
      <c r="J159" s="525">
        <v>0</v>
      </c>
      <c r="K159" s="525">
        <v>0</v>
      </c>
      <c r="L159" s="525">
        <v>0</v>
      </c>
      <c r="M159" s="525">
        <v>0</v>
      </c>
      <c r="N159" s="525">
        <v>0</v>
      </c>
      <c r="O159" s="525">
        <v>0</v>
      </c>
      <c r="P159" s="525">
        <v>0</v>
      </c>
      <c r="Q159" s="525">
        <v>0</v>
      </c>
      <c r="R159" s="525">
        <v>0</v>
      </c>
      <c r="S159" s="525">
        <v>0</v>
      </c>
      <c r="T159" s="525">
        <v>0</v>
      </c>
      <c r="U159" s="525">
        <v>0</v>
      </c>
      <c r="V159" s="525">
        <v>0</v>
      </c>
      <c r="W159" s="525">
        <v>0</v>
      </c>
      <c r="X159" s="525">
        <v>0</v>
      </c>
      <c r="Y159" s="525">
        <v>0</v>
      </c>
      <c r="Z159" s="525">
        <v>1</v>
      </c>
      <c r="AA159" s="525">
        <v>0</v>
      </c>
      <c r="AB159" s="525">
        <v>0</v>
      </c>
      <c r="AC159" s="525">
        <v>0</v>
      </c>
      <c r="AD159" s="525">
        <v>0</v>
      </c>
      <c r="AE159" s="525">
        <v>0</v>
      </c>
      <c r="AF159" s="526">
        <v>0</v>
      </c>
      <c r="AG159" s="523">
        <v>1</v>
      </c>
      <c r="AH159" s="172">
        <v>1</v>
      </c>
      <c r="AI159" s="172">
        <v>1</v>
      </c>
      <c r="AJ159" s="172">
        <v>1</v>
      </c>
      <c r="AK159" s="172">
        <v>1</v>
      </c>
    </row>
    <row r="160" spans="1:37" s="527" customFormat="1" ht="15.75" thickBot="1" x14ac:dyDescent="0.3">
      <c r="A160" s="524" t="s">
        <v>362</v>
      </c>
      <c r="B160" s="525">
        <v>0</v>
      </c>
      <c r="C160" s="525">
        <v>0</v>
      </c>
      <c r="D160" s="525">
        <v>0</v>
      </c>
      <c r="E160" s="525">
        <v>0</v>
      </c>
      <c r="F160" s="525">
        <v>0</v>
      </c>
      <c r="G160" s="525">
        <v>0</v>
      </c>
      <c r="H160" s="525">
        <v>0</v>
      </c>
      <c r="I160" s="525">
        <v>0</v>
      </c>
      <c r="J160" s="525">
        <v>0</v>
      </c>
      <c r="K160" s="525">
        <v>0</v>
      </c>
      <c r="L160" s="525">
        <v>0</v>
      </c>
      <c r="M160" s="525">
        <v>0</v>
      </c>
      <c r="N160" s="525">
        <v>0</v>
      </c>
      <c r="O160" s="525">
        <v>0</v>
      </c>
      <c r="P160" s="525">
        <v>0</v>
      </c>
      <c r="Q160" s="525">
        <v>0</v>
      </c>
      <c r="R160" s="525">
        <v>0</v>
      </c>
      <c r="S160" s="525">
        <v>0</v>
      </c>
      <c r="T160" s="525">
        <v>0</v>
      </c>
      <c r="U160" s="525">
        <v>0</v>
      </c>
      <c r="V160" s="525">
        <v>0</v>
      </c>
      <c r="W160" s="525">
        <v>0</v>
      </c>
      <c r="X160" s="525">
        <v>0</v>
      </c>
      <c r="Y160" s="525">
        <v>0</v>
      </c>
      <c r="Z160" s="525">
        <v>1</v>
      </c>
      <c r="AA160" s="525">
        <v>0</v>
      </c>
      <c r="AB160" s="525">
        <v>0</v>
      </c>
      <c r="AC160" s="525">
        <v>0</v>
      </c>
      <c r="AD160" s="525">
        <v>0</v>
      </c>
      <c r="AE160" s="525">
        <v>0</v>
      </c>
      <c r="AF160" s="526">
        <v>0</v>
      </c>
      <c r="AG160" s="523">
        <v>1</v>
      </c>
      <c r="AH160" s="172">
        <v>1</v>
      </c>
      <c r="AI160" s="172">
        <v>1</v>
      </c>
      <c r="AJ160" s="172">
        <v>1</v>
      </c>
      <c r="AK160" s="172">
        <v>1</v>
      </c>
    </row>
    <row r="161" spans="1:37" s="527" customFormat="1" ht="15.75" thickBot="1" x14ac:dyDescent="0.3">
      <c r="A161" s="524" t="s">
        <v>363</v>
      </c>
      <c r="B161" s="525">
        <v>0</v>
      </c>
      <c r="C161" s="525">
        <v>0</v>
      </c>
      <c r="D161" s="525">
        <v>0</v>
      </c>
      <c r="E161" s="525">
        <v>0</v>
      </c>
      <c r="F161" s="525">
        <v>0</v>
      </c>
      <c r="G161" s="525">
        <v>0</v>
      </c>
      <c r="H161" s="525">
        <v>0</v>
      </c>
      <c r="I161" s="525">
        <v>0</v>
      </c>
      <c r="J161" s="525">
        <v>0</v>
      </c>
      <c r="K161" s="525">
        <v>0</v>
      </c>
      <c r="L161" s="525">
        <v>0</v>
      </c>
      <c r="M161" s="525">
        <v>0</v>
      </c>
      <c r="N161" s="525">
        <v>0</v>
      </c>
      <c r="O161" s="525">
        <v>0</v>
      </c>
      <c r="P161" s="525">
        <v>0</v>
      </c>
      <c r="Q161" s="525">
        <v>0</v>
      </c>
      <c r="R161" s="525">
        <v>0</v>
      </c>
      <c r="S161" s="525">
        <v>0</v>
      </c>
      <c r="T161" s="525">
        <v>0</v>
      </c>
      <c r="U161" s="525">
        <v>0</v>
      </c>
      <c r="V161" s="525">
        <v>0</v>
      </c>
      <c r="W161" s="525">
        <v>0</v>
      </c>
      <c r="X161" s="525">
        <v>0</v>
      </c>
      <c r="Y161" s="525">
        <v>0</v>
      </c>
      <c r="Z161" s="525">
        <v>1</v>
      </c>
      <c r="AA161" s="525">
        <v>0</v>
      </c>
      <c r="AB161" s="525">
        <v>0</v>
      </c>
      <c r="AC161" s="525">
        <v>0</v>
      </c>
      <c r="AD161" s="525">
        <v>0</v>
      </c>
      <c r="AE161" s="525">
        <v>0</v>
      </c>
      <c r="AF161" s="526">
        <v>0</v>
      </c>
      <c r="AG161" s="523">
        <v>1</v>
      </c>
      <c r="AH161" s="172">
        <v>1</v>
      </c>
      <c r="AI161" s="172">
        <v>1</v>
      </c>
      <c r="AJ161" s="172">
        <v>1</v>
      </c>
      <c r="AK161" s="172">
        <v>1</v>
      </c>
    </row>
    <row r="162" spans="1:37" s="527" customFormat="1" ht="15.75" thickBot="1" x14ac:dyDescent="0.3">
      <c r="A162" s="524" t="s">
        <v>364</v>
      </c>
      <c r="B162" s="525">
        <v>0</v>
      </c>
      <c r="C162" s="525">
        <v>0</v>
      </c>
      <c r="D162" s="525">
        <v>0</v>
      </c>
      <c r="E162" s="525">
        <v>0</v>
      </c>
      <c r="F162" s="525">
        <v>0</v>
      </c>
      <c r="G162" s="525">
        <v>0</v>
      </c>
      <c r="H162" s="525">
        <v>0</v>
      </c>
      <c r="I162" s="525">
        <v>0</v>
      </c>
      <c r="J162" s="525">
        <v>0</v>
      </c>
      <c r="K162" s="525">
        <v>0</v>
      </c>
      <c r="L162" s="525">
        <v>0</v>
      </c>
      <c r="M162" s="525">
        <v>0</v>
      </c>
      <c r="N162" s="525">
        <v>0</v>
      </c>
      <c r="O162" s="525">
        <v>0</v>
      </c>
      <c r="P162" s="525">
        <v>0</v>
      </c>
      <c r="Q162" s="525">
        <v>0</v>
      </c>
      <c r="R162" s="525">
        <v>0</v>
      </c>
      <c r="S162" s="525">
        <v>0</v>
      </c>
      <c r="T162" s="525">
        <v>0</v>
      </c>
      <c r="U162" s="525">
        <v>0</v>
      </c>
      <c r="V162" s="525">
        <v>0</v>
      </c>
      <c r="W162" s="525">
        <v>0</v>
      </c>
      <c r="X162" s="525">
        <v>0</v>
      </c>
      <c r="Y162" s="525">
        <v>0</v>
      </c>
      <c r="Z162" s="525">
        <v>1</v>
      </c>
      <c r="AA162" s="525">
        <v>0</v>
      </c>
      <c r="AB162" s="525">
        <v>0</v>
      </c>
      <c r="AC162" s="525">
        <v>0</v>
      </c>
      <c r="AD162" s="525">
        <v>0</v>
      </c>
      <c r="AE162" s="525">
        <v>0</v>
      </c>
      <c r="AF162" s="526">
        <v>0</v>
      </c>
      <c r="AG162" s="523">
        <v>1</v>
      </c>
      <c r="AH162" s="172">
        <v>1</v>
      </c>
      <c r="AI162" s="172">
        <v>1</v>
      </c>
      <c r="AJ162" s="172">
        <v>1</v>
      </c>
      <c r="AK162" s="172">
        <v>1</v>
      </c>
    </row>
    <row r="163" spans="1:37" s="527" customFormat="1" ht="15.75" thickBot="1" x14ac:dyDescent="0.3">
      <c r="A163" s="524" t="s">
        <v>365</v>
      </c>
      <c r="B163" s="172">
        <v>1</v>
      </c>
      <c r="C163" s="172">
        <v>1</v>
      </c>
      <c r="D163" s="172">
        <v>1</v>
      </c>
      <c r="E163" s="525">
        <v>0</v>
      </c>
      <c r="F163" s="172">
        <v>1</v>
      </c>
      <c r="G163" s="172">
        <v>1</v>
      </c>
      <c r="H163" s="172">
        <v>1</v>
      </c>
      <c r="I163" s="172">
        <v>1</v>
      </c>
      <c r="J163" s="172">
        <v>1</v>
      </c>
      <c r="K163" s="172">
        <v>1</v>
      </c>
      <c r="L163" s="172">
        <v>1</v>
      </c>
      <c r="M163" s="172">
        <v>1</v>
      </c>
      <c r="N163" s="172">
        <v>1</v>
      </c>
      <c r="O163" s="172">
        <v>1</v>
      </c>
      <c r="P163" s="172">
        <v>1</v>
      </c>
      <c r="Q163" s="172">
        <v>1</v>
      </c>
      <c r="R163" s="172">
        <v>1</v>
      </c>
      <c r="S163" s="172">
        <v>1</v>
      </c>
      <c r="T163" s="172">
        <v>1</v>
      </c>
      <c r="U163" s="172">
        <v>1</v>
      </c>
      <c r="V163" s="172">
        <v>1</v>
      </c>
      <c r="W163" s="172">
        <v>1</v>
      </c>
      <c r="X163" s="172">
        <v>1</v>
      </c>
      <c r="Y163" s="172">
        <v>1</v>
      </c>
      <c r="Z163" s="172">
        <v>1</v>
      </c>
      <c r="AA163" s="172">
        <v>1</v>
      </c>
      <c r="AB163" s="172">
        <v>1</v>
      </c>
      <c r="AC163" s="172">
        <v>1</v>
      </c>
      <c r="AD163" s="172">
        <v>1</v>
      </c>
      <c r="AE163" s="172">
        <v>1</v>
      </c>
      <c r="AF163" s="522">
        <v>0</v>
      </c>
      <c r="AG163" s="523">
        <v>1</v>
      </c>
      <c r="AH163" s="172">
        <v>1</v>
      </c>
      <c r="AI163" s="172">
        <v>1</v>
      </c>
      <c r="AJ163" s="172">
        <v>1</v>
      </c>
      <c r="AK163" s="172">
        <v>1</v>
      </c>
    </row>
    <row r="164" spans="1:37" s="527" customFormat="1" ht="15.75" thickBot="1" x14ac:dyDescent="0.3">
      <c r="A164" s="524" t="s">
        <v>366</v>
      </c>
      <c r="B164" s="172">
        <v>1</v>
      </c>
      <c r="C164" s="172">
        <v>1</v>
      </c>
      <c r="D164" s="172">
        <v>1</v>
      </c>
      <c r="E164" s="525">
        <v>0</v>
      </c>
      <c r="F164" s="172">
        <v>1</v>
      </c>
      <c r="G164" s="172">
        <v>1</v>
      </c>
      <c r="H164" s="172">
        <v>1</v>
      </c>
      <c r="I164" s="172">
        <v>1</v>
      </c>
      <c r="J164" s="172">
        <v>1</v>
      </c>
      <c r="K164" s="172">
        <v>1</v>
      </c>
      <c r="L164" s="172">
        <v>1</v>
      </c>
      <c r="M164" s="172">
        <v>1</v>
      </c>
      <c r="N164" s="172">
        <v>1</v>
      </c>
      <c r="O164" s="172">
        <v>1</v>
      </c>
      <c r="P164" s="172">
        <v>1</v>
      </c>
      <c r="Q164" s="172">
        <v>1</v>
      </c>
      <c r="R164" s="172">
        <v>1</v>
      </c>
      <c r="S164" s="172">
        <v>1</v>
      </c>
      <c r="T164" s="172">
        <v>1</v>
      </c>
      <c r="U164" s="172">
        <v>1</v>
      </c>
      <c r="V164" s="172">
        <v>1</v>
      </c>
      <c r="W164" s="172">
        <v>1</v>
      </c>
      <c r="X164" s="172">
        <v>1</v>
      </c>
      <c r="Y164" s="172">
        <v>1</v>
      </c>
      <c r="Z164" s="172">
        <v>1</v>
      </c>
      <c r="AA164" s="172">
        <v>1</v>
      </c>
      <c r="AB164" s="172">
        <v>1</v>
      </c>
      <c r="AC164" s="172">
        <v>1</v>
      </c>
      <c r="AD164" s="172">
        <v>1</v>
      </c>
      <c r="AE164" s="172">
        <v>1</v>
      </c>
      <c r="AF164" s="522">
        <v>0</v>
      </c>
      <c r="AG164" s="523">
        <v>1</v>
      </c>
      <c r="AH164" s="172">
        <v>1</v>
      </c>
      <c r="AI164" s="172">
        <v>1</v>
      </c>
      <c r="AJ164" s="172">
        <v>1</v>
      </c>
      <c r="AK164" s="172">
        <v>1</v>
      </c>
    </row>
    <row r="165" spans="1:37" s="527" customFormat="1" ht="15.75" thickBot="1" x14ac:dyDescent="0.3">
      <c r="A165" s="524" t="s">
        <v>367</v>
      </c>
      <c r="B165" s="172">
        <v>1</v>
      </c>
      <c r="C165" s="172">
        <v>1</v>
      </c>
      <c r="D165" s="172">
        <v>1</v>
      </c>
      <c r="E165" s="525">
        <v>0</v>
      </c>
      <c r="F165" s="172">
        <v>1</v>
      </c>
      <c r="G165" s="172">
        <v>1</v>
      </c>
      <c r="H165" s="172">
        <v>1</v>
      </c>
      <c r="I165" s="172">
        <v>1</v>
      </c>
      <c r="J165" s="172">
        <v>1</v>
      </c>
      <c r="K165" s="172">
        <v>1</v>
      </c>
      <c r="L165" s="172">
        <v>1</v>
      </c>
      <c r="M165" s="172">
        <v>1</v>
      </c>
      <c r="N165" s="172">
        <v>1</v>
      </c>
      <c r="O165" s="172">
        <v>1</v>
      </c>
      <c r="P165" s="172">
        <v>1</v>
      </c>
      <c r="Q165" s="172">
        <v>1</v>
      </c>
      <c r="R165" s="172">
        <v>1</v>
      </c>
      <c r="S165" s="172">
        <v>1</v>
      </c>
      <c r="T165" s="172">
        <v>1</v>
      </c>
      <c r="U165" s="172">
        <v>1</v>
      </c>
      <c r="V165" s="172">
        <v>1</v>
      </c>
      <c r="W165" s="172">
        <v>1</v>
      </c>
      <c r="X165" s="172">
        <v>1</v>
      </c>
      <c r="Y165" s="172">
        <v>1</v>
      </c>
      <c r="Z165" s="172">
        <v>1</v>
      </c>
      <c r="AA165" s="172">
        <v>1</v>
      </c>
      <c r="AB165" s="172">
        <v>1</v>
      </c>
      <c r="AC165" s="172">
        <v>1</v>
      </c>
      <c r="AD165" s="172">
        <v>1</v>
      </c>
      <c r="AE165" s="172">
        <v>1</v>
      </c>
      <c r="AF165" s="522">
        <v>0</v>
      </c>
      <c r="AG165" s="523">
        <v>1</v>
      </c>
      <c r="AH165" s="172">
        <v>1</v>
      </c>
      <c r="AI165" s="172">
        <v>1</v>
      </c>
      <c r="AJ165" s="172">
        <v>1</v>
      </c>
      <c r="AK165" s="172">
        <v>1</v>
      </c>
    </row>
    <row r="166" spans="1:37" s="527" customFormat="1" ht="15.75" thickBot="1" x14ac:dyDescent="0.3">
      <c r="A166" s="524" t="s">
        <v>368</v>
      </c>
      <c r="B166" s="172">
        <v>1</v>
      </c>
      <c r="C166" s="172">
        <v>1</v>
      </c>
      <c r="D166" s="172">
        <v>1</v>
      </c>
      <c r="E166" s="525">
        <v>0</v>
      </c>
      <c r="F166" s="172">
        <v>1</v>
      </c>
      <c r="G166" s="172">
        <v>1</v>
      </c>
      <c r="H166" s="172">
        <v>1</v>
      </c>
      <c r="I166" s="172">
        <v>1</v>
      </c>
      <c r="J166" s="172">
        <v>1</v>
      </c>
      <c r="K166" s="172">
        <v>1</v>
      </c>
      <c r="L166" s="172">
        <v>1</v>
      </c>
      <c r="M166" s="172">
        <v>1</v>
      </c>
      <c r="N166" s="172">
        <v>1</v>
      </c>
      <c r="O166" s="172">
        <v>1</v>
      </c>
      <c r="P166" s="172">
        <v>1</v>
      </c>
      <c r="Q166" s="172">
        <v>1</v>
      </c>
      <c r="R166" s="172">
        <v>1</v>
      </c>
      <c r="S166" s="172">
        <v>1</v>
      </c>
      <c r="T166" s="172">
        <v>1</v>
      </c>
      <c r="U166" s="172">
        <v>1</v>
      </c>
      <c r="V166" s="172">
        <v>1</v>
      </c>
      <c r="W166" s="172">
        <v>1</v>
      </c>
      <c r="X166" s="172">
        <v>1</v>
      </c>
      <c r="Y166" s="172">
        <v>1</v>
      </c>
      <c r="Z166" s="172">
        <v>1</v>
      </c>
      <c r="AA166" s="172">
        <v>1</v>
      </c>
      <c r="AB166" s="172">
        <v>1</v>
      </c>
      <c r="AC166" s="172">
        <v>1</v>
      </c>
      <c r="AD166" s="172">
        <v>1</v>
      </c>
      <c r="AE166" s="172">
        <v>1</v>
      </c>
      <c r="AF166" s="522">
        <v>0</v>
      </c>
      <c r="AG166" s="523">
        <v>1</v>
      </c>
      <c r="AH166" s="172">
        <v>1</v>
      </c>
      <c r="AI166" s="172">
        <v>1</v>
      </c>
      <c r="AJ166" s="172">
        <v>1</v>
      </c>
      <c r="AK166" s="172">
        <v>1</v>
      </c>
    </row>
    <row r="167" spans="1:37" s="527" customFormat="1" ht="15.75" thickBot="1" x14ac:dyDescent="0.3">
      <c r="A167" s="524" t="s">
        <v>369</v>
      </c>
      <c r="B167" s="525">
        <v>0</v>
      </c>
      <c r="C167" s="525">
        <v>0</v>
      </c>
      <c r="D167" s="525">
        <v>0</v>
      </c>
      <c r="E167" s="525">
        <v>0</v>
      </c>
      <c r="F167" s="525">
        <v>0</v>
      </c>
      <c r="G167" s="525">
        <v>0</v>
      </c>
      <c r="H167" s="525">
        <v>0</v>
      </c>
      <c r="I167" s="525">
        <v>0</v>
      </c>
      <c r="J167" s="525">
        <v>0</v>
      </c>
      <c r="K167" s="525">
        <v>0</v>
      </c>
      <c r="L167" s="525">
        <v>0</v>
      </c>
      <c r="M167" s="525">
        <v>0</v>
      </c>
      <c r="N167" s="525">
        <v>0</v>
      </c>
      <c r="O167" s="525">
        <v>0</v>
      </c>
      <c r="P167" s="525">
        <v>0</v>
      </c>
      <c r="Q167" s="525">
        <v>0</v>
      </c>
      <c r="R167" s="525">
        <v>0</v>
      </c>
      <c r="S167" s="525">
        <v>0</v>
      </c>
      <c r="T167" s="525">
        <v>0</v>
      </c>
      <c r="U167" s="525">
        <v>0</v>
      </c>
      <c r="V167" s="525">
        <v>0</v>
      </c>
      <c r="W167" s="525">
        <v>0</v>
      </c>
      <c r="X167" s="525">
        <v>0</v>
      </c>
      <c r="Y167" s="525">
        <v>0</v>
      </c>
      <c r="Z167" s="525">
        <v>1</v>
      </c>
      <c r="AA167" s="525">
        <v>0</v>
      </c>
      <c r="AB167" s="525">
        <v>0</v>
      </c>
      <c r="AC167" s="525">
        <v>0</v>
      </c>
      <c r="AD167" s="525">
        <v>0</v>
      </c>
      <c r="AE167" s="525">
        <v>0</v>
      </c>
      <c r="AF167" s="526">
        <v>0</v>
      </c>
      <c r="AG167" s="523">
        <v>1</v>
      </c>
      <c r="AH167" s="172">
        <v>1</v>
      </c>
      <c r="AI167" s="172">
        <v>1</v>
      </c>
      <c r="AJ167" s="172">
        <v>1</v>
      </c>
      <c r="AK167" s="172">
        <v>1</v>
      </c>
    </row>
    <row r="168" spans="1:37" s="527" customFormat="1" ht="15.75" thickBot="1" x14ac:dyDescent="0.3">
      <c r="A168" s="524" t="s">
        <v>370</v>
      </c>
      <c r="B168" s="525">
        <v>0</v>
      </c>
      <c r="C168" s="525">
        <v>0</v>
      </c>
      <c r="D168" s="525">
        <v>0</v>
      </c>
      <c r="E168" s="525">
        <v>0</v>
      </c>
      <c r="F168" s="525">
        <v>0</v>
      </c>
      <c r="G168" s="525">
        <v>0</v>
      </c>
      <c r="H168" s="525">
        <v>0</v>
      </c>
      <c r="I168" s="525">
        <v>0</v>
      </c>
      <c r="J168" s="525">
        <v>0</v>
      </c>
      <c r="K168" s="525">
        <v>0</v>
      </c>
      <c r="L168" s="525">
        <v>0</v>
      </c>
      <c r="M168" s="525">
        <v>0</v>
      </c>
      <c r="N168" s="525">
        <v>0</v>
      </c>
      <c r="O168" s="525">
        <v>0</v>
      </c>
      <c r="P168" s="525">
        <v>0</v>
      </c>
      <c r="Q168" s="525">
        <v>0</v>
      </c>
      <c r="R168" s="525">
        <v>0</v>
      </c>
      <c r="S168" s="525">
        <v>0</v>
      </c>
      <c r="T168" s="525">
        <v>0</v>
      </c>
      <c r="U168" s="525">
        <v>0</v>
      </c>
      <c r="V168" s="525">
        <v>0</v>
      </c>
      <c r="W168" s="525">
        <v>0</v>
      </c>
      <c r="X168" s="525">
        <v>0</v>
      </c>
      <c r="Y168" s="525">
        <v>0</v>
      </c>
      <c r="Z168" s="525">
        <v>1</v>
      </c>
      <c r="AA168" s="525">
        <v>0</v>
      </c>
      <c r="AB168" s="525">
        <v>0</v>
      </c>
      <c r="AC168" s="525">
        <v>0</v>
      </c>
      <c r="AD168" s="525">
        <v>0</v>
      </c>
      <c r="AE168" s="525">
        <v>0</v>
      </c>
      <c r="AF168" s="526">
        <v>0</v>
      </c>
      <c r="AG168" s="523">
        <v>1</v>
      </c>
      <c r="AH168" s="172">
        <v>1</v>
      </c>
      <c r="AI168" s="172">
        <v>1</v>
      </c>
      <c r="AJ168" s="172">
        <v>1</v>
      </c>
      <c r="AK168" s="172">
        <v>1</v>
      </c>
    </row>
    <row r="169" spans="1:37" s="527" customFormat="1" ht="15.75" thickBot="1" x14ac:dyDescent="0.3">
      <c r="A169" s="529" t="s">
        <v>371</v>
      </c>
      <c r="B169" s="525">
        <v>0</v>
      </c>
      <c r="C169" s="525">
        <v>0</v>
      </c>
      <c r="D169" s="525">
        <v>0</v>
      </c>
      <c r="E169" s="525">
        <v>0</v>
      </c>
      <c r="F169" s="525">
        <v>0</v>
      </c>
      <c r="G169" s="525">
        <v>0</v>
      </c>
      <c r="H169" s="525">
        <v>0</v>
      </c>
      <c r="I169" s="525">
        <v>0</v>
      </c>
      <c r="J169" s="525">
        <v>0</v>
      </c>
      <c r="K169" s="525">
        <v>0</v>
      </c>
      <c r="L169" s="525">
        <v>0</v>
      </c>
      <c r="M169" s="525">
        <v>0</v>
      </c>
      <c r="N169" s="525">
        <v>0</v>
      </c>
      <c r="O169" s="525">
        <v>0</v>
      </c>
      <c r="P169" s="525">
        <v>0</v>
      </c>
      <c r="Q169" s="525">
        <v>0</v>
      </c>
      <c r="R169" s="525">
        <v>0</v>
      </c>
      <c r="S169" s="525">
        <v>0</v>
      </c>
      <c r="T169" s="525">
        <v>0</v>
      </c>
      <c r="U169" s="525">
        <v>0</v>
      </c>
      <c r="V169" s="525">
        <v>0</v>
      </c>
      <c r="W169" s="525">
        <v>0</v>
      </c>
      <c r="X169" s="525">
        <v>0</v>
      </c>
      <c r="Y169" s="525">
        <v>0</v>
      </c>
      <c r="Z169" s="525">
        <v>1</v>
      </c>
      <c r="AA169" s="525">
        <v>0</v>
      </c>
      <c r="AB169" s="525">
        <v>0</v>
      </c>
      <c r="AC169" s="525">
        <v>0</v>
      </c>
      <c r="AD169" s="525">
        <v>0</v>
      </c>
      <c r="AE169" s="525">
        <v>0</v>
      </c>
      <c r="AF169" s="526">
        <v>0</v>
      </c>
      <c r="AG169" s="523">
        <v>1</v>
      </c>
      <c r="AH169" s="172">
        <v>1</v>
      </c>
      <c r="AI169" s="172">
        <v>1</v>
      </c>
      <c r="AJ169" s="172">
        <v>1</v>
      </c>
      <c r="AK169" s="172">
        <v>1</v>
      </c>
    </row>
    <row r="170" spans="1:37" s="527" customFormat="1" x14ac:dyDescent="0.25"/>
    <row r="171" spans="1:37" s="527"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pane ySplit="1" topLeftCell="A65" activePane="bottomLeft" state="frozen"/>
      <selection pane="bottomLeft" activeCell="C249" sqref="C249"/>
    </sheetView>
    <sheetView workbookViewId="1"/>
  </sheetViews>
  <sheetFormatPr defaultColWidth="8.7109375" defaultRowHeight="15" x14ac:dyDescent="0.25"/>
  <cols>
    <col min="1" max="3" width="22.42578125" customWidth="1"/>
    <col min="10" max="10" width="18.28515625" customWidth="1"/>
  </cols>
  <sheetData>
    <row r="1" spans="1:23" s="492" customFormat="1" ht="26.25" x14ac:dyDescent="0.25">
      <c r="A1" s="488" t="s">
        <v>513</v>
      </c>
      <c r="B1" s="489" t="s">
        <v>548</v>
      </c>
      <c r="C1" s="489" t="s">
        <v>29</v>
      </c>
      <c r="D1" s="490" t="s">
        <v>549</v>
      </c>
      <c r="E1" s="260" t="s">
        <v>550</v>
      </c>
      <c r="F1" s="260" t="s">
        <v>551</v>
      </c>
      <c r="G1" s="260" t="s">
        <v>552</v>
      </c>
      <c r="H1" s="260" t="s">
        <v>553</v>
      </c>
      <c r="I1" s="394" t="s">
        <v>537</v>
      </c>
      <c r="J1" s="648" t="s">
        <v>554</v>
      </c>
      <c r="K1" s="647"/>
      <c r="L1" s="647"/>
      <c r="M1" s="647"/>
      <c r="N1" s="647"/>
      <c r="O1" s="647"/>
      <c r="P1" s="491"/>
      <c r="Q1" s="491"/>
      <c r="R1" s="491"/>
      <c r="S1" s="491"/>
    </row>
    <row r="2" spans="1:23" s="492" customFormat="1" x14ac:dyDescent="0.25">
      <c r="A2" s="483" t="s">
        <v>212</v>
      </c>
      <c r="B2" s="483" t="s">
        <v>169</v>
      </c>
      <c r="C2" s="483" t="s">
        <v>210</v>
      </c>
      <c r="D2" s="483">
        <v>0.1619548872180451</v>
      </c>
      <c r="E2" s="483">
        <v>6.4285714285714293E-2</v>
      </c>
      <c r="F2" s="483">
        <v>0</v>
      </c>
      <c r="G2" s="483">
        <v>6.7593984962406012E-2</v>
      </c>
      <c r="H2" s="483">
        <v>9.0225563909774437E-4</v>
      </c>
      <c r="I2" s="493" t="e">
        <f>NA()</f>
        <v>#N/A</v>
      </c>
      <c r="J2" s="647"/>
      <c r="K2" s="647"/>
      <c r="L2" s="647"/>
      <c r="M2" s="647"/>
      <c r="N2" s="647"/>
      <c r="O2" s="647"/>
      <c r="W2" s="483"/>
    </row>
    <row r="3" spans="1:23" s="492" customFormat="1" x14ac:dyDescent="0.25">
      <c r="A3" s="483" t="s">
        <v>213</v>
      </c>
      <c r="B3" s="483" t="s">
        <v>169</v>
      </c>
      <c r="C3" s="483" t="s">
        <v>210</v>
      </c>
      <c r="D3" s="483">
        <v>0.24035532994923858</v>
      </c>
      <c r="E3" s="483">
        <v>5.5076142131979693E-2</v>
      </c>
      <c r="F3" s="483">
        <v>0</v>
      </c>
      <c r="G3" s="483">
        <v>5.5025380710659898E-2</v>
      </c>
      <c r="H3" s="483">
        <v>3.1472081218274113E-3</v>
      </c>
      <c r="I3" s="493" t="e">
        <f>NA()</f>
        <v>#N/A</v>
      </c>
      <c r="J3" s="647"/>
      <c r="K3" s="647"/>
      <c r="L3" s="647"/>
      <c r="M3" s="647"/>
      <c r="N3" s="647"/>
      <c r="O3" s="647"/>
    </row>
    <row r="4" spans="1:23" s="492" customFormat="1" x14ac:dyDescent="0.25">
      <c r="A4" s="483" t="s">
        <v>214</v>
      </c>
      <c r="B4" s="483" t="s">
        <v>152</v>
      </c>
      <c r="C4" s="483" t="s">
        <v>210</v>
      </c>
      <c r="D4" s="483">
        <v>0</v>
      </c>
      <c r="E4" s="483">
        <v>2.0819112627986348E-2</v>
      </c>
      <c r="F4" s="483">
        <v>0</v>
      </c>
      <c r="G4" s="483">
        <v>5.3014789533560862E-2</v>
      </c>
      <c r="H4" s="483">
        <v>0</v>
      </c>
      <c r="I4" s="493" t="e">
        <f>NA()</f>
        <v>#N/A</v>
      </c>
      <c r="J4" s="647"/>
      <c r="K4" s="647"/>
      <c r="L4" s="647"/>
      <c r="M4" s="647"/>
      <c r="N4" s="647"/>
      <c r="O4" s="647"/>
    </row>
    <row r="5" spans="1:23" s="492" customFormat="1" x14ac:dyDescent="0.25">
      <c r="A5" s="483" t="s">
        <v>215</v>
      </c>
      <c r="B5" s="483" t="s">
        <v>152</v>
      </c>
      <c r="C5" s="483" t="s">
        <v>210</v>
      </c>
      <c r="D5" s="483">
        <v>0</v>
      </c>
      <c r="E5" s="483">
        <v>2.083301076101262E-2</v>
      </c>
      <c r="F5" s="483">
        <v>0</v>
      </c>
      <c r="G5" s="483">
        <v>5.3030889525431599E-2</v>
      </c>
      <c r="H5" s="483">
        <v>0</v>
      </c>
      <c r="I5" s="493" t="e">
        <f>NA()</f>
        <v>#N/A</v>
      </c>
      <c r="J5" s="647"/>
      <c r="K5" s="647"/>
      <c r="L5" s="647"/>
      <c r="M5" s="647"/>
      <c r="N5" s="647"/>
      <c r="O5" s="647"/>
    </row>
    <row r="6" spans="1:23" s="492" customFormat="1" x14ac:dyDescent="0.25">
      <c r="A6" s="483" t="s">
        <v>216</v>
      </c>
      <c r="B6" s="483" t="s">
        <v>194</v>
      </c>
      <c r="C6" s="483" t="s">
        <v>210</v>
      </c>
      <c r="D6" s="483">
        <v>0</v>
      </c>
      <c r="E6" s="483">
        <v>0.36048225050234434</v>
      </c>
      <c r="F6" s="483">
        <v>0.28613529805760213</v>
      </c>
      <c r="G6" s="483">
        <v>0.57885688769814692</v>
      </c>
      <c r="H6" s="483">
        <v>0</v>
      </c>
      <c r="I6" s="493" t="e">
        <f>NA()</f>
        <v>#N/A</v>
      </c>
      <c r="J6" s="647"/>
      <c r="K6" s="647"/>
      <c r="L6" s="647"/>
      <c r="M6" s="647"/>
      <c r="N6" s="647"/>
      <c r="O6" s="647"/>
    </row>
    <row r="7" spans="1:23" s="492" customFormat="1" x14ac:dyDescent="0.25">
      <c r="A7" s="483" t="s">
        <v>358</v>
      </c>
      <c r="B7" s="483" t="s">
        <v>168</v>
      </c>
      <c r="C7" s="483" t="s">
        <v>210</v>
      </c>
      <c r="D7" s="483">
        <v>0</v>
      </c>
      <c r="E7" s="483">
        <v>4.4066834146605831E-2</v>
      </c>
      <c r="F7" s="483">
        <v>3.8467181188749838E-2</v>
      </c>
      <c r="G7" s="483">
        <v>0.28558230085065545</v>
      </c>
      <c r="H7" s="483">
        <v>6.0865793020173798E-3</v>
      </c>
      <c r="I7" s="493" t="e">
        <f>NA()</f>
        <v>#N/A</v>
      </c>
      <c r="J7" s="647"/>
      <c r="K7" s="647"/>
      <c r="L7" s="647"/>
      <c r="M7" s="647"/>
      <c r="N7" s="647"/>
      <c r="O7" s="647"/>
    </row>
    <row r="8" spans="1:23" s="492" customFormat="1" x14ac:dyDescent="0.25">
      <c r="A8" s="483" t="s">
        <v>217</v>
      </c>
      <c r="B8" s="483" t="s">
        <v>194</v>
      </c>
      <c r="C8" s="483" t="s">
        <v>210</v>
      </c>
      <c r="D8" s="483">
        <v>0</v>
      </c>
      <c r="E8" s="483">
        <v>0.29089552238805971</v>
      </c>
      <c r="F8" s="483">
        <v>0.35</v>
      </c>
      <c r="G8" s="483">
        <v>0.61412935323383089</v>
      </c>
      <c r="H8" s="483">
        <v>0</v>
      </c>
      <c r="I8" s="493" t="e">
        <f>NA()</f>
        <v>#N/A</v>
      </c>
      <c r="J8" s="647"/>
      <c r="K8" s="647"/>
      <c r="L8" s="647"/>
      <c r="M8" s="647"/>
      <c r="N8" s="647"/>
      <c r="O8" s="647"/>
    </row>
    <row r="9" spans="1:23" s="492" customFormat="1" x14ac:dyDescent="0.25">
      <c r="A9" s="483" t="s">
        <v>218</v>
      </c>
      <c r="B9" s="483" t="s">
        <v>190</v>
      </c>
      <c r="C9" s="483" t="s">
        <v>210</v>
      </c>
      <c r="D9" s="483">
        <v>0</v>
      </c>
      <c r="E9" s="483">
        <v>0.44058739255014323</v>
      </c>
      <c r="F9" s="483">
        <v>0.2229083094555874</v>
      </c>
      <c r="G9" s="483">
        <v>0.64273638968481372</v>
      </c>
      <c r="H9" s="483">
        <v>2.865329512893983E-5</v>
      </c>
      <c r="I9" s="493" t="e">
        <f>NA()</f>
        <v>#N/A</v>
      </c>
      <c r="J9" s="647"/>
      <c r="K9" s="647"/>
      <c r="L9" s="647"/>
      <c r="M9" s="647"/>
      <c r="N9" s="647"/>
      <c r="O9" s="647"/>
    </row>
    <row r="10" spans="1:23" s="492" customFormat="1" x14ac:dyDescent="0.25">
      <c r="A10" s="483" t="s">
        <v>369</v>
      </c>
      <c r="B10" s="483" t="s">
        <v>168</v>
      </c>
      <c r="C10" s="483" t="s">
        <v>210</v>
      </c>
      <c r="D10" s="483">
        <v>0</v>
      </c>
      <c r="E10" s="483">
        <v>2.0950183244904303E-3</v>
      </c>
      <c r="F10" s="483">
        <v>0</v>
      </c>
      <c r="G10" s="483">
        <v>3.8884809810617829E-2</v>
      </c>
      <c r="H10" s="483">
        <v>0</v>
      </c>
      <c r="I10" s="493" t="e">
        <f>NA()</f>
        <v>#N/A</v>
      </c>
      <c r="J10" s="647"/>
      <c r="K10" s="647"/>
      <c r="L10" s="647"/>
      <c r="M10" s="647"/>
      <c r="N10" s="647"/>
      <c r="O10" s="647"/>
    </row>
    <row r="11" spans="1:23" s="492" customFormat="1" x14ac:dyDescent="0.25">
      <c r="A11" s="483" t="s">
        <v>219</v>
      </c>
      <c r="B11" s="483" t="s">
        <v>194</v>
      </c>
      <c r="C11" s="483" t="s">
        <v>210</v>
      </c>
      <c r="D11" s="483">
        <v>0</v>
      </c>
      <c r="E11" s="483">
        <v>7.7840269966254219E-2</v>
      </c>
      <c r="F11" s="483">
        <v>0.24808773903262091</v>
      </c>
      <c r="G11" s="483">
        <v>0.48498312710911134</v>
      </c>
      <c r="H11" s="483">
        <v>0</v>
      </c>
      <c r="I11" s="493" t="e">
        <f>NA()</f>
        <v>#N/A</v>
      </c>
      <c r="J11" s="647"/>
      <c r="K11" s="647"/>
      <c r="L11" s="647"/>
      <c r="M11" s="647"/>
      <c r="N11" s="647"/>
      <c r="O11" s="647"/>
    </row>
    <row r="12" spans="1:23" s="492" customFormat="1" x14ac:dyDescent="0.25">
      <c r="A12" s="483" t="s">
        <v>220</v>
      </c>
      <c r="B12" s="483" t="s">
        <v>141</v>
      </c>
      <c r="C12" s="483" t="s">
        <v>210</v>
      </c>
      <c r="D12" s="483">
        <v>0</v>
      </c>
      <c r="E12" s="483">
        <v>0</v>
      </c>
      <c r="F12" s="483">
        <v>0</v>
      </c>
      <c r="G12" s="483">
        <v>4.8735408560311284E-2</v>
      </c>
      <c r="H12" s="483">
        <v>0</v>
      </c>
      <c r="I12" s="493" t="e">
        <f>NA()</f>
        <v>#N/A</v>
      </c>
      <c r="J12" s="647"/>
      <c r="K12" s="647"/>
      <c r="L12" s="647"/>
      <c r="M12" s="647"/>
      <c r="N12" s="647"/>
      <c r="O12" s="647"/>
    </row>
    <row r="13" spans="1:23" s="492" customFormat="1" x14ac:dyDescent="0.25">
      <c r="A13" s="483" t="s">
        <v>221</v>
      </c>
      <c r="B13" s="483" t="s">
        <v>194</v>
      </c>
      <c r="C13" s="483" t="s">
        <v>210</v>
      </c>
      <c r="D13" s="483">
        <v>0</v>
      </c>
      <c r="E13" s="483">
        <v>0.14385150812064965</v>
      </c>
      <c r="F13" s="483">
        <v>0.2077494199535963</v>
      </c>
      <c r="G13" s="483">
        <v>0.64846867749419956</v>
      </c>
      <c r="H13" s="483">
        <v>0</v>
      </c>
      <c r="I13" s="493" t="e">
        <f>NA()</f>
        <v>#N/A</v>
      </c>
      <c r="W13" s="483"/>
    </row>
    <row r="14" spans="1:23" s="492" customFormat="1" x14ac:dyDescent="0.25">
      <c r="A14" s="483" t="s">
        <v>222</v>
      </c>
      <c r="B14" s="483" t="s">
        <v>194</v>
      </c>
      <c r="C14" s="483" t="s">
        <v>210</v>
      </c>
      <c r="D14" s="483">
        <v>0</v>
      </c>
      <c r="E14" s="483">
        <v>0.27020997375328082</v>
      </c>
      <c r="F14" s="483">
        <v>0.10984251968503936</v>
      </c>
      <c r="G14" s="483">
        <v>0.62145669291338579</v>
      </c>
      <c r="H14" s="483">
        <v>0</v>
      </c>
      <c r="I14" s="493" t="e">
        <f>NA()</f>
        <v>#N/A</v>
      </c>
      <c r="W14" s="483"/>
    </row>
    <row r="15" spans="1:23" s="492" customFormat="1" x14ac:dyDescent="0.25">
      <c r="A15" s="483" t="s">
        <v>223</v>
      </c>
      <c r="B15" s="483" t="s">
        <v>168</v>
      </c>
      <c r="C15" s="483" t="s">
        <v>210</v>
      </c>
      <c r="D15" s="483">
        <v>0</v>
      </c>
      <c r="E15" s="483">
        <v>2.0398701900788134E-3</v>
      </c>
      <c r="F15" s="483">
        <v>0</v>
      </c>
      <c r="G15" s="483">
        <v>2.5915623551228558E-2</v>
      </c>
      <c r="H15" s="483">
        <v>0</v>
      </c>
      <c r="I15" s="493" t="e">
        <f>NA()</f>
        <v>#N/A</v>
      </c>
      <c r="W15" s="483"/>
    </row>
    <row r="16" spans="1:23" s="492" customFormat="1" x14ac:dyDescent="0.25">
      <c r="A16" s="483" t="s">
        <v>226</v>
      </c>
      <c r="B16" s="483" t="s">
        <v>190</v>
      </c>
      <c r="C16" s="483" t="s">
        <v>210</v>
      </c>
      <c r="D16" s="483">
        <v>0</v>
      </c>
      <c r="E16" s="483">
        <v>4.3914680050188204E-3</v>
      </c>
      <c r="F16" s="483">
        <v>4.6800501882057713E-2</v>
      </c>
      <c r="G16" s="483">
        <v>0.16461731493099119</v>
      </c>
      <c r="H16" s="483">
        <v>4.0150564617314928E-3</v>
      </c>
      <c r="I16" s="493" t="e">
        <f>NA()</f>
        <v>#N/A</v>
      </c>
      <c r="W16" s="483"/>
    </row>
    <row r="17" spans="1:23" s="492" customFormat="1" x14ac:dyDescent="0.25">
      <c r="A17" s="483" t="s">
        <v>224</v>
      </c>
      <c r="B17" s="483" t="s">
        <v>190</v>
      </c>
      <c r="C17" s="483" t="s">
        <v>210</v>
      </c>
      <c r="D17" s="483">
        <v>0</v>
      </c>
      <c r="E17" s="483">
        <v>0.4997652030993191</v>
      </c>
      <c r="F17" s="483">
        <v>0.19420051655318149</v>
      </c>
      <c r="G17" s="483">
        <v>0.47774125381544968</v>
      </c>
      <c r="H17" s="483">
        <v>1.3101667057994835E-2</v>
      </c>
      <c r="I17" s="493" t="e">
        <f>NA()</f>
        <v>#N/A</v>
      </c>
      <c r="W17" s="483"/>
    </row>
    <row r="18" spans="1:23" s="492" customFormat="1" x14ac:dyDescent="0.25">
      <c r="A18" s="483" t="s">
        <v>225</v>
      </c>
      <c r="B18" s="483" t="s">
        <v>190</v>
      </c>
      <c r="C18" s="483" t="s">
        <v>210</v>
      </c>
      <c r="D18" s="483">
        <v>0</v>
      </c>
      <c r="E18" s="483">
        <v>0.48439849624060155</v>
      </c>
      <c r="F18" s="483">
        <v>0.19429824561403511</v>
      </c>
      <c r="G18" s="483">
        <v>0.44918546365914785</v>
      </c>
      <c r="H18" s="483">
        <v>1.7481203007518799E-2</v>
      </c>
      <c r="I18" s="493" t="e">
        <f>NA()</f>
        <v>#N/A</v>
      </c>
      <c r="W18" s="483"/>
    </row>
    <row r="19" spans="1:23" s="492" customFormat="1" x14ac:dyDescent="0.25">
      <c r="A19" s="483" t="s">
        <v>227</v>
      </c>
      <c r="B19" s="483" t="s">
        <v>194</v>
      </c>
      <c r="C19" s="483" t="s">
        <v>210</v>
      </c>
      <c r="D19" s="483">
        <v>0</v>
      </c>
      <c r="E19" s="483">
        <v>0.5209459459459459</v>
      </c>
      <c r="F19" s="483">
        <v>0.24451510333863277</v>
      </c>
      <c r="G19" s="483">
        <v>0.54181240063593006</v>
      </c>
      <c r="H19" s="483">
        <v>0</v>
      </c>
      <c r="I19" s="493" t="e">
        <f>NA()</f>
        <v>#N/A</v>
      </c>
      <c r="W19" s="483"/>
    </row>
    <row r="20" spans="1:23" s="492" customFormat="1" x14ac:dyDescent="0.25">
      <c r="A20" s="483" t="s">
        <v>228</v>
      </c>
      <c r="B20" s="483" t="s">
        <v>190</v>
      </c>
      <c r="C20" s="483" t="s">
        <v>210</v>
      </c>
      <c r="D20" s="483">
        <v>0</v>
      </c>
      <c r="E20" s="483">
        <v>0.40781592403214023</v>
      </c>
      <c r="F20" s="483">
        <v>0.29853907962016069</v>
      </c>
      <c r="G20" s="483">
        <v>0.58802045288531768</v>
      </c>
      <c r="H20" s="483">
        <v>0</v>
      </c>
      <c r="I20" s="493" t="e">
        <f>NA()</f>
        <v>#N/A</v>
      </c>
      <c r="W20" s="483"/>
    </row>
    <row r="21" spans="1:23" s="492" customFormat="1" x14ac:dyDescent="0.25">
      <c r="A21" s="483" t="s">
        <v>229</v>
      </c>
      <c r="B21" s="483" t="s">
        <v>194</v>
      </c>
      <c r="C21" s="483" t="s">
        <v>210</v>
      </c>
      <c r="D21" s="483">
        <v>0</v>
      </c>
      <c r="E21" s="483">
        <v>0.16472743930371048</v>
      </c>
      <c r="F21" s="483">
        <v>0.11765918460833714</v>
      </c>
      <c r="G21" s="483">
        <v>0.54647274393037104</v>
      </c>
      <c r="H21" s="483">
        <v>0</v>
      </c>
      <c r="I21" s="493" t="e">
        <f>NA()</f>
        <v>#N/A</v>
      </c>
      <c r="W21" s="483"/>
    </row>
    <row r="22" spans="1:23" s="492" customFormat="1" x14ac:dyDescent="0.25">
      <c r="A22" s="483" t="s">
        <v>359</v>
      </c>
      <c r="B22" s="483" t="s">
        <v>168</v>
      </c>
      <c r="C22" s="483" t="s">
        <v>210</v>
      </c>
      <c r="D22" s="483">
        <v>0</v>
      </c>
      <c r="E22" s="483">
        <v>2.1020784537194976E-3</v>
      </c>
      <c r="F22" s="483">
        <v>0</v>
      </c>
      <c r="G22" s="483">
        <v>3.8888451393810704E-2</v>
      </c>
      <c r="H22" s="483">
        <v>0</v>
      </c>
      <c r="I22" s="493" t="e">
        <f>NA()</f>
        <v>#N/A</v>
      </c>
      <c r="W22" s="483"/>
    </row>
    <row r="23" spans="1:23" s="492" customFormat="1" x14ac:dyDescent="0.25">
      <c r="A23" s="483" t="s">
        <v>230</v>
      </c>
      <c r="B23" s="483" t="s">
        <v>194</v>
      </c>
      <c r="C23" s="483" t="s">
        <v>210</v>
      </c>
      <c r="D23" s="483">
        <v>0</v>
      </c>
      <c r="E23" s="483">
        <v>0.17453117782909933</v>
      </c>
      <c r="F23" s="483">
        <v>8.5533487297921484E-2</v>
      </c>
      <c r="G23" s="483">
        <v>0.4999168591224018</v>
      </c>
      <c r="H23" s="483">
        <v>0</v>
      </c>
      <c r="I23" s="493" t="e">
        <f>NA()</f>
        <v>#N/A</v>
      </c>
      <c r="W23" s="483"/>
    </row>
    <row r="24" spans="1:23" s="492" customFormat="1" x14ac:dyDescent="0.25">
      <c r="A24" s="483" t="s">
        <v>231</v>
      </c>
      <c r="B24" s="483" t="s">
        <v>194</v>
      </c>
      <c r="C24" s="483" t="s">
        <v>210</v>
      </c>
      <c r="D24" s="483">
        <v>0</v>
      </c>
      <c r="E24" s="483">
        <v>0.41572819240313041</v>
      </c>
      <c r="F24" s="483">
        <v>0.1913914869249857</v>
      </c>
      <c r="G24" s="483">
        <v>0.53254437869822491</v>
      </c>
      <c r="H24" s="483">
        <v>1.3361328497804925E-4</v>
      </c>
      <c r="I24" s="493" t="e">
        <f>NA()</f>
        <v>#N/A</v>
      </c>
      <c r="W24" s="483"/>
    </row>
    <row r="25" spans="1:23" s="492" customFormat="1" x14ac:dyDescent="0.25">
      <c r="A25" s="483" t="s">
        <v>232</v>
      </c>
      <c r="B25" s="483" t="s">
        <v>194</v>
      </c>
      <c r="C25" s="483" t="s">
        <v>210</v>
      </c>
      <c r="D25" s="483">
        <v>0</v>
      </c>
      <c r="E25" s="483">
        <v>0.54503994673768308</v>
      </c>
      <c r="F25" s="483">
        <v>0.15908788282290282</v>
      </c>
      <c r="G25" s="483">
        <v>0.43034287616511324</v>
      </c>
      <c r="H25" s="483">
        <v>4.3275632490013318E-4</v>
      </c>
      <c r="I25" s="493" t="e">
        <f>NA()</f>
        <v>#N/A</v>
      </c>
      <c r="W25" s="483"/>
    </row>
    <row r="26" spans="1:23" s="492" customFormat="1" x14ac:dyDescent="0.25">
      <c r="A26" s="483" t="s">
        <v>233</v>
      </c>
      <c r="B26" s="483" t="s">
        <v>194</v>
      </c>
      <c r="C26" s="483" t="s">
        <v>210</v>
      </c>
      <c r="D26" s="483">
        <v>0</v>
      </c>
      <c r="E26" s="483">
        <v>0.6426647144948755</v>
      </c>
      <c r="F26" s="483">
        <v>0.10120058565153735</v>
      </c>
      <c r="G26" s="483">
        <v>0.72368960468521226</v>
      </c>
      <c r="H26" s="483">
        <v>0</v>
      </c>
      <c r="I26" s="493" t="e">
        <f>NA()</f>
        <v>#N/A</v>
      </c>
      <c r="W26" s="483"/>
    </row>
    <row r="27" spans="1:23" s="492" customFormat="1" x14ac:dyDescent="0.25">
      <c r="A27" s="483" t="s">
        <v>234</v>
      </c>
      <c r="B27" s="483" t="s">
        <v>194</v>
      </c>
      <c r="C27" s="483" t="s">
        <v>210</v>
      </c>
      <c r="D27" s="483">
        <v>0</v>
      </c>
      <c r="E27" s="483">
        <v>0.40857352671195152</v>
      </c>
      <c r="F27" s="483">
        <v>4.8338534973379838E-2</v>
      </c>
      <c r="G27" s="483">
        <v>0.47853864512575728</v>
      </c>
      <c r="H27" s="483">
        <v>0</v>
      </c>
      <c r="I27" s="493" t="e">
        <f>NA()</f>
        <v>#N/A</v>
      </c>
      <c r="W27" s="483"/>
    </row>
    <row r="28" spans="1:23" s="492" customFormat="1" x14ac:dyDescent="0.25">
      <c r="A28" s="483" t="s">
        <v>235</v>
      </c>
      <c r="B28" s="483" t="s">
        <v>194</v>
      </c>
      <c r="C28" s="483" t="s">
        <v>210</v>
      </c>
      <c r="D28" s="483">
        <v>0</v>
      </c>
      <c r="E28" s="483">
        <v>0.18169014084507043</v>
      </c>
      <c r="F28" s="483">
        <v>7.7934272300469482E-2</v>
      </c>
      <c r="G28" s="483">
        <v>0.5826291079812207</v>
      </c>
      <c r="H28" s="483">
        <v>0</v>
      </c>
      <c r="I28" s="493" t="e">
        <f>NA()</f>
        <v>#N/A</v>
      </c>
      <c r="W28" s="483"/>
    </row>
    <row r="29" spans="1:23" s="492" customFormat="1" x14ac:dyDescent="0.25">
      <c r="A29" s="483" t="s">
        <v>236</v>
      </c>
      <c r="B29" s="483" t="s">
        <v>194</v>
      </c>
      <c r="C29" s="483" t="s">
        <v>210</v>
      </c>
      <c r="D29" s="483">
        <v>0</v>
      </c>
      <c r="E29" s="483">
        <v>0.3912800206593785</v>
      </c>
      <c r="F29" s="483">
        <v>0.16361366962210552</v>
      </c>
      <c r="G29" s="483">
        <v>0.54432297495050352</v>
      </c>
      <c r="H29" s="483">
        <v>8.6080743737625887E-6</v>
      </c>
      <c r="I29" s="493" t="e">
        <f>NA()</f>
        <v>#N/A</v>
      </c>
      <c r="W29" s="483"/>
    </row>
    <row r="30" spans="1:23" s="492" customFormat="1" x14ac:dyDescent="0.25">
      <c r="A30" s="483" t="s">
        <v>237</v>
      </c>
      <c r="B30" s="483" t="s">
        <v>165</v>
      </c>
      <c r="C30" s="483" t="s">
        <v>210</v>
      </c>
      <c r="D30" s="483">
        <v>0</v>
      </c>
      <c r="E30" s="483">
        <v>4.9154589371980681E-2</v>
      </c>
      <c r="F30" s="483">
        <v>0.15378421900161032</v>
      </c>
      <c r="G30" s="483">
        <v>0.33055555555555555</v>
      </c>
      <c r="H30" s="483">
        <v>1.7230273752012883E-2</v>
      </c>
      <c r="I30" s="493" t="e">
        <f>NA()</f>
        <v>#N/A</v>
      </c>
      <c r="W30" s="483"/>
    </row>
    <row r="31" spans="1:23" s="492" customFormat="1" x14ac:dyDescent="0.25">
      <c r="A31" s="483" t="s">
        <v>238</v>
      </c>
      <c r="B31" s="483" t="s">
        <v>190</v>
      </c>
      <c r="C31" s="483" t="s">
        <v>210</v>
      </c>
      <c r="D31" s="483">
        <v>0</v>
      </c>
      <c r="E31" s="483">
        <v>0.46690442225392298</v>
      </c>
      <c r="F31" s="483">
        <v>0.13644793152639087</v>
      </c>
      <c r="G31" s="483">
        <v>0.47135520684736093</v>
      </c>
      <c r="H31" s="483">
        <v>1.6690442225392296E-3</v>
      </c>
      <c r="I31" s="493" t="e">
        <f>NA()</f>
        <v>#N/A</v>
      </c>
      <c r="W31" s="483"/>
    </row>
    <row r="32" spans="1:23" s="492" customFormat="1" x14ac:dyDescent="0.25">
      <c r="A32" s="483" t="s">
        <v>239</v>
      </c>
      <c r="B32" s="483" t="s">
        <v>168</v>
      </c>
      <c r="C32" s="483" t="s">
        <v>210</v>
      </c>
      <c r="D32" s="483">
        <v>0</v>
      </c>
      <c r="E32" s="483">
        <v>2.0940339786645595E-3</v>
      </c>
      <c r="F32" s="483">
        <v>0</v>
      </c>
      <c r="G32" s="483">
        <v>3.9075464243382069E-2</v>
      </c>
      <c r="H32" s="483">
        <v>0</v>
      </c>
      <c r="I32" s="493" t="e">
        <f>NA()</f>
        <v>#N/A</v>
      </c>
      <c r="W32" s="483"/>
    </row>
    <row r="33" spans="1:23" s="492" customFormat="1" x14ac:dyDescent="0.25">
      <c r="A33" s="483" t="s">
        <v>240</v>
      </c>
      <c r="B33" s="483" t="s">
        <v>168</v>
      </c>
      <c r="C33" s="483" t="s">
        <v>210</v>
      </c>
      <c r="D33" s="483">
        <v>0</v>
      </c>
      <c r="E33" s="483">
        <v>2.0972199642334578E-3</v>
      </c>
      <c r="F33" s="483">
        <v>0</v>
      </c>
      <c r="G33" s="483">
        <v>3.8936758250690942E-2</v>
      </c>
      <c r="H33" s="483">
        <v>0</v>
      </c>
      <c r="I33" s="493" t="e">
        <f>NA()</f>
        <v>#N/A</v>
      </c>
      <c r="W33" s="483"/>
    </row>
    <row r="34" spans="1:23" s="492" customFormat="1" x14ac:dyDescent="0.25">
      <c r="A34" s="483" t="s">
        <v>361</v>
      </c>
      <c r="B34" s="483" t="s">
        <v>168</v>
      </c>
      <c r="C34" s="483" t="s">
        <v>210</v>
      </c>
      <c r="D34" s="483">
        <v>0</v>
      </c>
      <c r="E34" s="483">
        <v>2.0945808866070538E-3</v>
      </c>
      <c r="F34" s="483">
        <v>0</v>
      </c>
      <c r="G34" s="483">
        <v>3.8858086792917072E-2</v>
      </c>
      <c r="H34" s="483">
        <v>7.9449619836819297E-4</v>
      </c>
      <c r="I34" s="493" t="e">
        <f>NA()</f>
        <v>#N/A</v>
      </c>
      <c r="W34" s="483"/>
    </row>
    <row r="35" spans="1:23" s="492" customFormat="1" x14ac:dyDescent="0.25">
      <c r="A35" s="483" t="s">
        <v>241</v>
      </c>
      <c r="B35" s="483" t="s">
        <v>190</v>
      </c>
      <c r="C35" s="483" t="s">
        <v>210</v>
      </c>
      <c r="D35" s="483">
        <v>0</v>
      </c>
      <c r="E35" s="483">
        <v>0.4315694527961515</v>
      </c>
      <c r="F35" s="483">
        <v>0.28854479855682497</v>
      </c>
      <c r="G35" s="483">
        <v>0.5662056524353577</v>
      </c>
      <c r="H35" s="483">
        <v>2.886349969933854E-3</v>
      </c>
      <c r="I35" s="493" t="e">
        <f>NA()</f>
        <v>#N/A</v>
      </c>
      <c r="W35" s="483"/>
    </row>
    <row r="36" spans="1:23" s="492" customFormat="1" x14ac:dyDescent="0.25">
      <c r="A36" s="483" t="s">
        <v>242</v>
      </c>
      <c r="B36" s="483" t="s">
        <v>190</v>
      </c>
      <c r="C36" s="483" t="s">
        <v>210</v>
      </c>
      <c r="D36" s="483">
        <v>0</v>
      </c>
      <c r="E36" s="483">
        <v>0.2452017448200654</v>
      </c>
      <c r="F36" s="483">
        <v>0.33233369683751363</v>
      </c>
      <c r="G36" s="483">
        <v>0.57181025081788439</v>
      </c>
      <c r="H36" s="483">
        <v>5.5616139585605235E-3</v>
      </c>
      <c r="I36" s="493" t="e">
        <f>NA()</f>
        <v>#N/A</v>
      </c>
      <c r="W36" s="483"/>
    </row>
    <row r="37" spans="1:23" s="492" customFormat="1" x14ac:dyDescent="0.25">
      <c r="A37" s="483" t="s">
        <v>370</v>
      </c>
      <c r="B37" s="483" t="s">
        <v>168</v>
      </c>
      <c r="C37" s="483" t="s">
        <v>210</v>
      </c>
      <c r="D37" s="483">
        <v>0</v>
      </c>
      <c r="E37" s="483">
        <v>5.3936734368055647E-3</v>
      </c>
      <c r="F37" s="483">
        <v>4.1126759955642425E-2</v>
      </c>
      <c r="G37" s="483">
        <v>0.24001846793784765</v>
      </c>
      <c r="H37" s="483">
        <v>0</v>
      </c>
      <c r="I37" s="493" t="e">
        <f>NA()</f>
        <v>#N/A</v>
      </c>
      <c r="W37" s="483"/>
    </row>
    <row r="38" spans="1:23" s="492" customFormat="1" x14ac:dyDescent="0.25">
      <c r="A38" s="483" t="s">
        <v>371</v>
      </c>
      <c r="B38" s="483" t="s">
        <v>168</v>
      </c>
      <c r="C38" s="483" t="s">
        <v>210</v>
      </c>
      <c r="D38" s="483">
        <v>0</v>
      </c>
      <c r="E38" s="483">
        <v>2.1590845136208723E-3</v>
      </c>
      <c r="F38" s="483">
        <v>0</v>
      </c>
      <c r="G38" s="483">
        <v>3.8863521245175704E-2</v>
      </c>
      <c r="H38" s="483">
        <v>0</v>
      </c>
      <c r="I38" s="493" t="e">
        <f>NA()</f>
        <v>#N/A</v>
      </c>
      <c r="W38" s="483"/>
    </row>
    <row r="39" spans="1:23" s="492" customFormat="1" x14ac:dyDescent="0.25">
      <c r="A39" s="483" t="s">
        <v>356</v>
      </c>
      <c r="B39" s="483" t="s">
        <v>168</v>
      </c>
      <c r="C39" s="483" t="s">
        <v>210</v>
      </c>
      <c r="D39" s="483">
        <v>0.17260904187551165</v>
      </c>
      <c r="E39" s="483">
        <v>4.683963607476356E-2</v>
      </c>
      <c r="F39" s="483">
        <v>9.4476542550799694E-2</v>
      </c>
      <c r="G39" s="483">
        <v>0.24217088438654349</v>
      </c>
      <c r="H39" s="483">
        <v>0.10205061136288911</v>
      </c>
      <c r="I39" s="493" t="e">
        <f>NA()</f>
        <v>#N/A</v>
      </c>
      <c r="W39" s="483"/>
    </row>
    <row r="40" spans="1:23" s="492" customFormat="1" x14ac:dyDescent="0.25">
      <c r="A40" s="483" t="s">
        <v>357</v>
      </c>
      <c r="B40" s="483" t="s">
        <v>168</v>
      </c>
      <c r="C40" s="483" t="s">
        <v>210</v>
      </c>
      <c r="D40" s="483">
        <v>0.14497210174440919</v>
      </c>
      <c r="E40" s="483">
        <v>2.9972370816614267E-2</v>
      </c>
      <c r="F40" s="483">
        <v>1.9377907416179618E-2</v>
      </c>
      <c r="G40" s="483">
        <v>0.20256251817754115</v>
      </c>
      <c r="H40" s="483">
        <v>1.9106254508476164E-2</v>
      </c>
      <c r="I40" s="493" t="e">
        <f>NA()</f>
        <v>#N/A</v>
      </c>
      <c r="W40" s="483"/>
    </row>
    <row r="41" spans="1:23" s="492" customFormat="1" x14ac:dyDescent="0.25">
      <c r="A41" s="483" t="s">
        <v>243</v>
      </c>
      <c r="B41" s="483" t="s">
        <v>194</v>
      </c>
      <c r="C41" s="483" t="s">
        <v>210</v>
      </c>
      <c r="D41" s="483">
        <v>0</v>
      </c>
      <c r="E41" s="483">
        <v>0.58696441539578803</v>
      </c>
      <c r="F41" s="483">
        <v>6.4923747276688454E-2</v>
      </c>
      <c r="G41" s="483">
        <v>0.54360929557007998</v>
      </c>
      <c r="H41" s="483">
        <v>1.1619462599854757E-3</v>
      </c>
      <c r="I41" s="493" t="e">
        <f>NA()</f>
        <v>#N/A</v>
      </c>
      <c r="W41" s="483"/>
    </row>
    <row r="42" spans="1:23" s="492" customFormat="1" x14ac:dyDescent="0.25">
      <c r="A42" s="483" t="s">
        <v>244</v>
      </c>
      <c r="B42" s="483" t="s">
        <v>190</v>
      </c>
      <c r="C42" s="483" t="s">
        <v>210</v>
      </c>
      <c r="D42" s="483">
        <v>0</v>
      </c>
      <c r="E42" s="483">
        <v>5.0694444444444438E-2</v>
      </c>
      <c r="F42" s="483">
        <v>0.28287037037037038</v>
      </c>
      <c r="G42" s="483">
        <v>0.40833333333333333</v>
      </c>
      <c r="H42" s="483">
        <v>0</v>
      </c>
      <c r="I42" s="493" t="e">
        <f>NA()</f>
        <v>#N/A</v>
      </c>
      <c r="W42" s="483"/>
    </row>
    <row r="43" spans="1:23" s="492" customFormat="1" x14ac:dyDescent="0.25">
      <c r="A43" s="483" t="s">
        <v>360</v>
      </c>
      <c r="B43" s="483" t="s">
        <v>168</v>
      </c>
      <c r="C43" s="483" t="s">
        <v>210</v>
      </c>
      <c r="D43" s="483">
        <v>0</v>
      </c>
      <c r="E43" s="483">
        <v>8.9332359124344868E-3</v>
      </c>
      <c r="F43" s="483">
        <v>6.5073296463054889E-2</v>
      </c>
      <c r="G43" s="483">
        <v>0.28455224851350952</v>
      </c>
      <c r="H43" s="483">
        <v>0</v>
      </c>
      <c r="I43" s="493" t="e">
        <f>NA()</f>
        <v>#N/A</v>
      </c>
      <c r="W43" s="483"/>
    </row>
    <row r="44" spans="1:23" s="492" customFormat="1" x14ac:dyDescent="0.25">
      <c r="A44" s="483" t="s">
        <v>245</v>
      </c>
      <c r="B44" s="483" t="s">
        <v>194</v>
      </c>
      <c r="C44" s="483" t="s">
        <v>210</v>
      </c>
      <c r="D44" s="483">
        <v>0</v>
      </c>
      <c r="E44" s="483">
        <v>0.43735933983495867</v>
      </c>
      <c r="F44" s="483">
        <v>0.20997749437359337</v>
      </c>
      <c r="G44" s="483">
        <v>0.63968492123030751</v>
      </c>
      <c r="H44" s="483">
        <v>0</v>
      </c>
      <c r="I44" s="493" t="e">
        <f>NA()</f>
        <v>#N/A</v>
      </c>
      <c r="W44" s="483"/>
    </row>
    <row r="45" spans="1:23" s="492" customFormat="1" x14ac:dyDescent="0.25">
      <c r="A45" s="483" t="s">
        <v>246</v>
      </c>
      <c r="B45" s="483" t="s">
        <v>190</v>
      </c>
      <c r="C45" s="483" t="s">
        <v>210</v>
      </c>
      <c r="D45" s="483">
        <v>0</v>
      </c>
      <c r="E45" s="483">
        <v>0.27550200803212849</v>
      </c>
      <c r="F45" s="483">
        <v>0.24926372155287818</v>
      </c>
      <c r="G45" s="483">
        <v>0.55903614457831319</v>
      </c>
      <c r="H45" s="483">
        <v>0</v>
      </c>
      <c r="I45" s="493" t="e">
        <f>NA()</f>
        <v>#N/A</v>
      </c>
      <c r="W45" s="483"/>
    </row>
    <row r="46" spans="1:23" s="492" customFormat="1" x14ac:dyDescent="0.25">
      <c r="A46" s="483" t="s">
        <v>247</v>
      </c>
      <c r="B46" s="483" t="s">
        <v>194</v>
      </c>
      <c r="C46" s="483" t="s">
        <v>210</v>
      </c>
      <c r="D46" s="483">
        <v>0</v>
      </c>
      <c r="E46" s="483">
        <v>6.1546184738955824E-2</v>
      </c>
      <c r="F46" s="483">
        <v>9.9497991967871499E-2</v>
      </c>
      <c r="G46" s="483">
        <v>0.32545180722891565</v>
      </c>
      <c r="H46" s="483">
        <v>0</v>
      </c>
      <c r="I46" s="493" t="e">
        <f>NA()</f>
        <v>#N/A</v>
      </c>
      <c r="W46" s="483"/>
    </row>
    <row r="47" spans="1:23" s="492" customFormat="1" x14ac:dyDescent="0.25">
      <c r="A47" s="483" t="s">
        <v>248</v>
      </c>
      <c r="B47" s="483" t="s">
        <v>190</v>
      </c>
      <c r="C47" s="483" t="s">
        <v>210</v>
      </c>
      <c r="D47" s="483">
        <v>0</v>
      </c>
      <c r="E47" s="483">
        <v>3.6316626889419251E-2</v>
      </c>
      <c r="F47" s="483">
        <v>7.8281622911694507E-2</v>
      </c>
      <c r="G47" s="483">
        <v>0.30369928400954649</v>
      </c>
      <c r="H47" s="483">
        <v>1.988862370723946E-4</v>
      </c>
      <c r="I47" s="493" t="e">
        <f>NA()</f>
        <v>#N/A</v>
      </c>
      <c r="W47" s="483"/>
    </row>
    <row r="48" spans="1:23" s="492" customFormat="1" x14ac:dyDescent="0.25">
      <c r="A48" s="483" t="s">
        <v>249</v>
      </c>
      <c r="B48" s="483" t="s">
        <v>190</v>
      </c>
      <c r="C48" s="483" t="s">
        <v>210</v>
      </c>
      <c r="D48" s="483">
        <v>0</v>
      </c>
      <c r="E48" s="483">
        <v>5.8019082235347567E-2</v>
      </c>
      <c r="F48" s="483">
        <v>9.5592912312585182E-2</v>
      </c>
      <c r="G48" s="483">
        <v>0.33616537937301227</v>
      </c>
      <c r="H48" s="483">
        <v>9.0867787369377565E-5</v>
      </c>
      <c r="I48" s="493" t="e">
        <f>NA()</f>
        <v>#N/A</v>
      </c>
      <c r="W48" s="483"/>
    </row>
    <row r="49" spans="1:23" s="492" customFormat="1" x14ac:dyDescent="0.25">
      <c r="A49" s="483" t="s">
        <v>250</v>
      </c>
      <c r="B49" s="483" t="s">
        <v>190</v>
      </c>
      <c r="C49" s="483" t="s">
        <v>210</v>
      </c>
      <c r="D49" s="483">
        <v>0</v>
      </c>
      <c r="E49" s="483">
        <v>0.20544346364018495</v>
      </c>
      <c r="F49" s="483">
        <v>0.36786464901219001</v>
      </c>
      <c r="G49" s="483">
        <v>0.52267759562841531</v>
      </c>
      <c r="H49" s="483">
        <v>3.1525851197982345E-4</v>
      </c>
      <c r="I49" s="493" t="e">
        <f>NA()</f>
        <v>#N/A</v>
      </c>
      <c r="W49" s="483"/>
    </row>
    <row r="50" spans="1:23" s="492" customFormat="1" x14ac:dyDescent="0.25">
      <c r="A50" s="483" t="s">
        <v>251</v>
      </c>
      <c r="B50" s="483" t="s">
        <v>190</v>
      </c>
      <c r="C50" s="483" t="s">
        <v>210</v>
      </c>
      <c r="D50" s="483">
        <v>0</v>
      </c>
      <c r="E50" s="483">
        <v>0.32497781721384206</v>
      </c>
      <c r="F50" s="483">
        <v>0.26228926353149956</v>
      </c>
      <c r="G50" s="483">
        <v>0.53402839396628221</v>
      </c>
      <c r="H50" s="483">
        <v>0</v>
      </c>
      <c r="I50" s="493" t="e">
        <f>NA()</f>
        <v>#N/A</v>
      </c>
      <c r="W50" s="483"/>
    </row>
    <row r="51" spans="1:23" s="492" customFormat="1" x14ac:dyDescent="0.25">
      <c r="A51" s="483" t="s">
        <v>252</v>
      </c>
      <c r="B51" s="483" t="s">
        <v>190</v>
      </c>
      <c r="C51" s="483" t="s">
        <v>210</v>
      </c>
      <c r="D51" s="483">
        <v>0</v>
      </c>
      <c r="E51" s="483">
        <v>0.16624533963808311</v>
      </c>
      <c r="F51" s="483">
        <v>0.4505683368191325</v>
      </c>
      <c r="G51" s="483">
        <v>0.53616440847503866</v>
      </c>
      <c r="H51" s="483">
        <v>1.8368645994362098E-3</v>
      </c>
      <c r="I51" s="493" t="e">
        <f>NA()</f>
        <v>#N/A</v>
      </c>
      <c r="W51" s="483"/>
    </row>
    <row r="52" spans="1:23" s="492" customFormat="1" x14ac:dyDescent="0.25">
      <c r="A52" s="483" t="s">
        <v>253</v>
      </c>
      <c r="B52" s="483" t="s">
        <v>190</v>
      </c>
      <c r="C52" s="483" t="s">
        <v>210</v>
      </c>
      <c r="D52" s="483">
        <v>0</v>
      </c>
      <c r="E52" s="483">
        <v>7.3044925124792007E-2</v>
      </c>
      <c r="F52" s="483">
        <v>0.11541874653355517</v>
      </c>
      <c r="G52" s="483">
        <v>0.3983361064891846</v>
      </c>
      <c r="H52" s="483">
        <v>6.1009428729894618E-4</v>
      </c>
      <c r="I52" s="493" t="e">
        <f>NA()</f>
        <v>#N/A</v>
      </c>
      <c r="W52" s="483"/>
    </row>
    <row r="53" spans="1:23" s="492" customFormat="1" x14ac:dyDescent="0.25">
      <c r="A53" s="483" t="s">
        <v>254</v>
      </c>
      <c r="B53" s="483" t="s">
        <v>190</v>
      </c>
      <c r="C53" s="483" t="s">
        <v>210</v>
      </c>
      <c r="D53" s="483">
        <v>0</v>
      </c>
      <c r="E53" s="483">
        <v>0</v>
      </c>
      <c r="F53" s="483">
        <v>7.6595744680851077E-2</v>
      </c>
      <c r="G53" s="483">
        <v>0.15059101654846338</v>
      </c>
      <c r="H53" s="483">
        <v>9.4562647754137122E-4</v>
      </c>
      <c r="I53" s="493" t="e">
        <f>NA()</f>
        <v>#N/A</v>
      </c>
      <c r="W53" s="483"/>
    </row>
    <row r="54" spans="1:23" s="492" customFormat="1" x14ac:dyDescent="0.25">
      <c r="A54" s="483" t="s">
        <v>255</v>
      </c>
      <c r="B54" s="483" t="s">
        <v>141</v>
      </c>
      <c r="C54" s="483" t="s">
        <v>210</v>
      </c>
      <c r="D54" s="483">
        <v>0</v>
      </c>
      <c r="E54" s="483">
        <v>0</v>
      </c>
      <c r="F54" s="483">
        <v>1.2116564417177914E-2</v>
      </c>
      <c r="G54" s="483">
        <v>9.1717791411042943E-2</v>
      </c>
      <c r="H54" s="483">
        <v>0</v>
      </c>
      <c r="I54" s="493" t="e">
        <f>NA()</f>
        <v>#N/A</v>
      </c>
      <c r="W54" s="483"/>
    </row>
    <row r="55" spans="1:23" s="492" customFormat="1" x14ac:dyDescent="0.25">
      <c r="A55" s="483" t="s">
        <v>256</v>
      </c>
      <c r="B55" s="483" t="s">
        <v>190</v>
      </c>
      <c r="C55" s="483" t="s">
        <v>210</v>
      </c>
      <c r="D55" s="483">
        <v>0</v>
      </c>
      <c r="E55" s="483">
        <v>1.2808460634547592E-2</v>
      </c>
      <c r="F55" s="483">
        <v>9.1774383078730912E-2</v>
      </c>
      <c r="G55" s="483">
        <v>0.25105757931844891</v>
      </c>
      <c r="H55" s="483">
        <v>0</v>
      </c>
      <c r="I55" s="493" t="e">
        <f>NA()</f>
        <v>#N/A</v>
      </c>
      <c r="W55" s="483"/>
    </row>
    <row r="56" spans="1:23" s="492" customFormat="1" x14ac:dyDescent="0.25">
      <c r="A56" s="483" t="s">
        <v>257</v>
      </c>
      <c r="B56" s="483" t="s">
        <v>190</v>
      </c>
      <c r="C56" s="483" t="s">
        <v>210</v>
      </c>
      <c r="D56" s="483">
        <v>0</v>
      </c>
      <c r="E56" s="483">
        <v>0.30314807617567041</v>
      </c>
      <c r="F56" s="483">
        <v>0.2201321414691022</v>
      </c>
      <c r="G56" s="483">
        <v>0.56424407306645941</v>
      </c>
      <c r="H56" s="483">
        <v>1.5934706568208315E-3</v>
      </c>
      <c r="I56" s="493" t="e">
        <f>NA()</f>
        <v>#N/A</v>
      </c>
      <c r="W56" s="483"/>
    </row>
    <row r="57" spans="1:23" s="492" customFormat="1" x14ac:dyDescent="0.25">
      <c r="A57" s="483" t="s">
        <v>258</v>
      </c>
      <c r="B57" s="483" t="s">
        <v>190</v>
      </c>
      <c r="C57" s="483" t="s">
        <v>210</v>
      </c>
      <c r="D57" s="483">
        <v>0</v>
      </c>
      <c r="E57" s="483">
        <v>0.2673958206036906</v>
      </c>
      <c r="F57" s="483">
        <v>0.34967615788830503</v>
      </c>
      <c r="G57" s="483">
        <v>0.58754735427104976</v>
      </c>
      <c r="H57" s="483">
        <v>4.6437736771355251E-4</v>
      </c>
      <c r="I57" s="493" t="e">
        <f>NA()</f>
        <v>#N/A</v>
      </c>
      <c r="W57" s="483"/>
    </row>
    <row r="58" spans="1:23" s="492" customFormat="1" x14ac:dyDescent="0.25">
      <c r="A58" s="483" t="s">
        <v>259</v>
      </c>
      <c r="B58" s="483" t="s">
        <v>190</v>
      </c>
      <c r="C58" s="483" t="s">
        <v>210</v>
      </c>
      <c r="D58" s="483">
        <v>0</v>
      </c>
      <c r="E58" s="483">
        <v>0.10496945488721804</v>
      </c>
      <c r="F58" s="483">
        <v>0.35856437969924809</v>
      </c>
      <c r="G58" s="483">
        <v>0.43735902255639092</v>
      </c>
      <c r="H58" s="483">
        <v>2.737312030075188E-3</v>
      </c>
      <c r="I58" s="493" t="e">
        <f>NA()</f>
        <v>#N/A</v>
      </c>
      <c r="W58" s="483"/>
    </row>
    <row r="59" spans="1:23" s="492" customFormat="1" x14ac:dyDescent="0.25">
      <c r="A59" s="483" t="s">
        <v>260</v>
      </c>
      <c r="B59" s="483" t="s">
        <v>190</v>
      </c>
      <c r="C59" s="483" t="s">
        <v>210</v>
      </c>
      <c r="D59" s="483">
        <v>0</v>
      </c>
      <c r="E59" s="483">
        <v>0</v>
      </c>
      <c r="F59" s="483">
        <v>8.0952380952380956E-2</v>
      </c>
      <c r="G59" s="483">
        <v>0.15912698412698412</v>
      </c>
      <c r="H59" s="483">
        <v>0</v>
      </c>
      <c r="I59" s="493" t="e">
        <f>NA()</f>
        <v>#N/A</v>
      </c>
      <c r="W59" s="483"/>
    </row>
    <row r="60" spans="1:23" s="492" customFormat="1" x14ac:dyDescent="0.25">
      <c r="A60" s="483" t="s">
        <v>261</v>
      </c>
      <c r="B60" s="483" t="s">
        <v>190</v>
      </c>
      <c r="C60" s="483" t="s">
        <v>210</v>
      </c>
      <c r="D60" s="483">
        <v>0</v>
      </c>
      <c r="E60" s="483">
        <v>0.18734477720964207</v>
      </c>
      <c r="F60" s="483">
        <v>0.39906866325785245</v>
      </c>
      <c r="G60" s="483">
        <v>0.49621986851716582</v>
      </c>
      <c r="H60" s="483">
        <v>5.6610664718772824E-4</v>
      </c>
      <c r="I60" s="493" t="e">
        <f>NA()</f>
        <v>#N/A</v>
      </c>
      <c r="W60" s="483"/>
    </row>
    <row r="61" spans="1:23" s="492" customFormat="1" x14ac:dyDescent="0.25">
      <c r="A61" s="483" t="s">
        <v>262</v>
      </c>
      <c r="B61" s="483" t="s">
        <v>190</v>
      </c>
      <c r="C61" s="483" t="s">
        <v>210</v>
      </c>
      <c r="D61" s="483">
        <v>0</v>
      </c>
      <c r="E61" s="483">
        <v>0.16262607738859347</v>
      </c>
      <c r="F61" s="483">
        <v>0.43533834586466169</v>
      </c>
      <c r="G61" s="483">
        <v>0.490427287731524</v>
      </c>
      <c r="H61" s="483">
        <v>0</v>
      </c>
      <c r="I61" s="493" t="e">
        <f>NA()</f>
        <v>#N/A</v>
      </c>
      <c r="W61" s="483"/>
    </row>
    <row r="62" spans="1:23" s="492" customFormat="1" x14ac:dyDescent="0.25">
      <c r="A62" s="483" t="s">
        <v>263</v>
      </c>
      <c r="B62" s="483" t="s">
        <v>190</v>
      </c>
      <c r="C62" s="483" t="s">
        <v>210</v>
      </c>
      <c r="D62" s="483">
        <v>0.16832229580573951</v>
      </c>
      <c r="E62" s="483">
        <v>0.20644591611479027</v>
      </c>
      <c r="F62" s="483">
        <v>0.24933774834437086</v>
      </c>
      <c r="G62" s="483">
        <v>0.44715231788079468</v>
      </c>
      <c r="H62" s="483">
        <v>7.3487858719646804E-2</v>
      </c>
      <c r="I62" s="493" t="e">
        <f>NA()</f>
        <v>#N/A</v>
      </c>
      <c r="W62" s="483"/>
    </row>
    <row r="63" spans="1:23" s="492" customFormat="1" x14ac:dyDescent="0.25">
      <c r="A63" s="483" t="s">
        <v>264</v>
      </c>
      <c r="B63" s="483" t="s">
        <v>190</v>
      </c>
      <c r="C63" s="483" t="s">
        <v>210</v>
      </c>
      <c r="D63" s="483">
        <v>0.16576666666666665</v>
      </c>
      <c r="E63" s="483">
        <v>0.19373333333333331</v>
      </c>
      <c r="F63" s="483">
        <v>0.23849999999999999</v>
      </c>
      <c r="G63" s="483">
        <v>0.43723333333333331</v>
      </c>
      <c r="H63" s="483">
        <v>9.6299999999999997E-2</v>
      </c>
      <c r="I63" s="493" t="e">
        <f>NA()</f>
        <v>#N/A</v>
      </c>
      <c r="W63" s="483"/>
    </row>
    <row r="64" spans="1:23" s="492" customFormat="1" x14ac:dyDescent="0.25">
      <c r="A64" s="483" t="s">
        <v>265</v>
      </c>
      <c r="B64" s="483" t="s">
        <v>194</v>
      </c>
      <c r="C64" s="483" t="s">
        <v>210</v>
      </c>
      <c r="D64" s="483">
        <v>0</v>
      </c>
      <c r="E64" s="483">
        <v>0.5521383075523203</v>
      </c>
      <c r="F64" s="483">
        <v>2.1337579617834397E-2</v>
      </c>
      <c r="G64" s="483">
        <v>0.28480436760691535</v>
      </c>
      <c r="H64" s="483">
        <v>0</v>
      </c>
      <c r="I64" s="493" t="e">
        <f>NA()</f>
        <v>#N/A</v>
      </c>
      <c r="W64" s="483"/>
    </row>
    <row r="65" spans="1:23" s="492" customFormat="1" x14ac:dyDescent="0.25">
      <c r="A65" s="483" t="s">
        <v>266</v>
      </c>
      <c r="B65" s="483" t="s">
        <v>194</v>
      </c>
      <c r="C65" s="483" t="s">
        <v>210</v>
      </c>
      <c r="D65" s="483">
        <v>0</v>
      </c>
      <c r="E65" s="483">
        <v>0.18252346193952032</v>
      </c>
      <c r="F65" s="483">
        <v>0.10761209593326382</v>
      </c>
      <c r="G65" s="483">
        <v>0.48586027111574559</v>
      </c>
      <c r="H65" s="483">
        <v>1.599582898852972E-2</v>
      </c>
      <c r="I65" s="493" t="e">
        <f>NA()</f>
        <v>#N/A</v>
      </c>
      <c r="W65" s="483"/>
    </row>
    <row r="66" spans="1:23" s="492" customFormat="1" x14ac:dyDescent="0.25">
      <c r="A66" s="483" t="s">
        <v>267</v>
      </c>
      <c r="B66" s="483" t="s">
        <v>194</v>
      </c>
      <c r="C66" s="483" t="s">
        <v>210</v>
      </c>
      <c r="D66" s="483">
        <v>0</v>
      </c>
      <c r="E66" s="483">
        <v>0.13568384347152265</v>
      </c>
      <c r="F66" s="483">
        <v>3.6691204959318095E-2</v>
      </c>
      <c r="G66" s="483">
        <v>0.36722200697404106</v>
      </c>
      <c r="H66" s="483">
        <v>0</v>
      </c>
      <c r="I66" s="493" t="e">
        <f>NA()</f>
        <v>#N/A</v>
      </c>
      <c r="W66" s="483"/>
    </row>
    <row r="67" spans="1:23" s="492" customFormat="1" x14ac:dyDescent="0.25">
      <c r="A67" s="483" t="s">
        <v>268</v>
      </c>
      <c r="B67" s="483" t="s">
        <v>190</v>
      </c>
      <c r="C67" s="483" t="s">
        <v>210</v>
      </c>
      <c r="D67" s="483">
        <v>0</v>
      </c>
      <c r="E67" s="483">
        <v>0.13257807715860379</v>
      </c>
      <c r="F67" s="483">
        <v>0.13337415799142682</v>
      </c>
      <c r="G67" s="483">
        <v>0.39412124923453762</v>
      </c>
      <c r="H67" s="483">
        <v>0</v>
      </c>
      <c r="I67" s="493" t="e">
        <f>NA()</f>
        <v>#N/A</v>
      </c>
      <c r="L67" s="483"/>
      <c r="M67" s="483"/>
      <c r="N67" s="400"/>
      <c r="O67" s="483"/>
      <c r="W67" s="483"/>
    </row>
    <row r="68" spans="1:23" s="492" customFormat="1" x14ac:dyDescent="0.25">
      <c r="A68" s="483" t="s">
        <v>269</v>
      </c>
      <c r="B68" s="483" t="s">
        <v>190</v>
      </c>
      <c r="C68" s="483" t="s">
        <v>210</v>
      </c>
      <c r="D68" s="483">
        <v>0.34571304221674165</v>
      </c>
      <c r="E68" s="483">
        <v>0.1741331785869723</v>
      </c>
      <c r="F68" s="483">
        <v>5.4301465254606128E-2</v>
      </c>
      <c r="G68" s="483">
        <v>0.23824169447265342</v>
      </c>
      <c r="H68" s="483">
        <v>0.38427390105904541</v>
      </c>
      <c r="I68" s="493" t="e">
        <f>NA()</f>
        <v>#N/A</v>
      </c>
      <c r="W68" s="483"/>
    </row>
    <row r="69" spans="1:23" s="492" customFormat="1" x14ac:dyDescent="0.25">
      <c r="A69" s="483" t="s">
        <v>270</v>
      </c>
      <c r="B69" s="483" t="s">
        <v>194</v>
      </c>
      <c r="C69" s="483" t="s">
        <v>210</v>
      </c>
      <c r="D69" s="483">
        <v>0</v>
      </c>
      <c r="E69" s="483">
        <v>0.48725149889555069</v>
      </c>
      <c r="F69" s="483">
        <v>4.2537077942568641E-2</v>
      </c>
      <c r="G69" s="483">
        <v>0.40893026191227522</v>
      </c>
      <c r="H69" s="483">
        <v>1.1360050489113286E-3</v>
      </c>
      <c r="I69" s="493" t="e">
        <f>NA()</f>
        <v>#N/A</v>
      </c>
      <c r="W69" s="483"/>
    </row>
    <row r="70" spans="1:23" s="492" customFormat="1" x14ac:dyDescent="0.25">
      <c r="A70" s="483" t="s">
        <v>271</v>
      </c>
      <c r="B70" s="483" t="s">
        <v>194</v>
      </c>
      <c r="C70" s="483" t="s">
        <v>210</v>
      </c>
      <c r="D70" s="483">
        <v>0</v>
      </c>
      <c r="E70" s="483">
        <v>0.37748842592592591</v>
      </c>
      <c r="F70" s="483">
        <v>7.7083333333333323E-2</v>
      </c>
      <c r="G70" s="483">
        <v>0.47256944444444438</v>
      </c>
      <c r="H70" s="483">
        <v>1.1574074074074073E-4</v>
      </c>
      <c r="I70" s="493" t="e">
        <f>NA()</f>
        <v>#N/A</v>
      </c>
      <c r="W70" s="483"/>
    </row>
    <row r="71" spans="1:23" s="492" customFormat="1" x14ac:dyDescent="0.25">
      <c r="A71" s="483" t="s">
        <v>272</v>
      </c>
      <c r="B71" s="483" t="s">
        <v>168</v>
      </c>
      <c r="C71" s="483" t="s">
        <v>210</v>
      </c>
      <c r="D71" s="483">
        <v>5.7664884135472369E-2</v>
      </c>
      <c r="E71" s="483">
        <v>2.0855614973262031E-2</v>
      </c>
      <c r="F71" s="483">
        <v>0</v>
      </c>
      <c r="G71" s="483">
        <v>3.7165775401069516E-2</v>
      </c>
      <c r="H71" s="483">
        <v>0</v>
      </c>
      <c r="I71" s="493" t="e">
        <f>NA()</f>
        <v>#N/A</v>
      </c>
      <c r="W71" s="483"/>
    </row>
    <row r="72" spans="1:23" s="492" customFormat="1" x14ac:dyDescent="0.25">
      <c r="A72" s="483" t="s">
        <v>362</v>
      </c>
      <c r="B72" s="483" t="s">
        <v>168</v>
      </c>
      <c r="C72" s="483" t="s">
        <v>210</v>
      </c>
      <c r="D72" s="483">
        <v>2.9393043531919214E-2</v>
      </c>
      <c r="E72" s="483">
        <v>2.0793041547764015E-3</v>
      </c>
      <c r="F72" s="483">
        <v>0</v>
      </c>
      <c r="G72" s="483">
        <v>3.0058420861447662E-2</v>
      </c>
      <c r="H72" s="483">
        <v>7.7549727756540662E-2</v>
      </c>
      <c r="I72" s="493" t="e">
        <f>NA()</f>
        <v>#N/A</v>
      </c>
      <c r="W72" s="483"/>
    </row>
    <row r="73" spans="1:23" s="492" customFormat="1" x14ac:dyDescent="0.25">
      <c r="A73" s="483" t="s">
        <v>273</v>
      </c>
      <c r="B73" s="483" t="s">
        <v>194</v>
      </c>
      <c r="C73" s="483" t="s">
        <v>210</v>
      </c>
      <c r="D73" s="483">
        <v>0</v>
      </c>
      <c r="E73" s="483">
        <v>0.28514115898959885</v>
      </c>
      <c r="F73" s="483">
        <v>6.0921248142644872E-2</v>
      </c>
      <c r="G73" s="483">
        <v>0.35542347696879645</v>
      </c>
      <c r="H73" s="483">
        <v>0</v>
      </c>
      <c r="I73" s="493" t="e">
        <f>NA()</f>
        <v>#N/A</v>
      </c>
      <c r="W73" s="483"/>
    </row>
    <row r="74" spans="1:23" s="492" customFormat="1" x14ac:dyDescent="0.25">
      <c r="A74" s="483" t="s">
        <v>274</v>
      </c>
      <c r="B74" s="483" t="s">
        <v>194</v>
      </c>
      <c r="C74" s="483" t="s">
        <v>210</v>
      </c>
      <c r="D74" s="483">
        <v>0</v>
      </c>
      <c r="E74" s="483">
        <v>1.9213973799126639E-2</v>
      </c>
      <c r="F74" s="483">
        <v>4.7161572052401755E-2</v>
      </c>
      <c r="G74" s="483">
        <v>0.3268558951965066</v>
      </c>
      <c r="H74" s="483">
        <v>0</v>
      </c>
      <c r="I74" s="493" t="e">
        <f>NA()</f>
        <v>#N/A</v>
      </c>
      <c r="W74" s="483"/>
    </row>
    <row r="75" spans="1:23" s="492" customFormat="1" x14ac:dyDescent="0.25">
      <c r="A75" s="483" t="s">
        <v>363</v>
      </c>
      <c r="B75" s="483" t="s">
        <v>168</v>
      </c>
      <c r="C75" s="483" t="s">
        <v>210</v>
      </c>
      <c r="D75" s="483">
        <v>0</v>
      </c>
      <c r="E75" s="483">
        <v>6.1326936740167329E-3</v>
      </c>
      <c r="F75" s="483">
        <v>6.229525679395944E-2</v>
      </c>
      <c r="G75" s="483">
        <v>0.24369388020434909</v>
      </c>
      <c r="H75" s="483">
        <v>0</v>
      </c>
      <c r="I75" s="493" t="e">
        <f>NA()</f>
        <v>#N/A</v>
      </c>
      <c r="W75" s="483"/>
    </row>
    <row r="76" spans="1:23" s="492" customFormat="1" x14ac:dyDescent="0.25">
      <c r="A76" s="483" t="s">
        <v>275</v>
      </c>
      <c r="B76" s="483" t="s">
        <v>190</v>
      </c>
      <c r="C76" s="483" t="s">
        <v>210</v>
      </c>
      <c r="D76" s="483">
        <v>0.34112343966712899</v>
      </c>
      <c r="E76" s="483">
        <v>0.4323162274618586</v>
      </c>
      <c r="F76" s="483">
        <v>0.1069001386962552</v>
      </c>
      <c r="G76" s="483">
        <v>0.34802357836338421</v>
      </c>
      <c r="H76" s="483">
        <v>7.9368932038834966E-2</v>
      </c>
      <c r="I76" s="493" t="e">
        <f>NA()</f>
        <v>#N/A</v>
      </c>
      <c r="W76" s="483"/>
    </row>
    <row r="77" spans="1:23" s="492" customFormat="1" x14ac:dyDescent="0.25">
      <c r="A77" s="483" t="s">
        <v>276</v>
      </c>
      <c r="B77" s="483" t="s">
        <v>190</v>
      </c>
      <c r="C77" s="483" t="s">
        <v>210</v>
      </c>
      <c r="D77" s="483">
        <v>0</v>
      </c>
      <c r="E77" s="483">
        <v>0.43216685330347149</v>
      </c>
      <c r="F77" s="483">
        <v>0.16651735722284433</v>
      </c>
      <c r="G77" s="483">
        <v>0.48653415453527438</v>
      </c>
      <c r="H77" s="483">
        <v>4.1349384098544231E-2</v>
      </c>
      <c r="I77" s="493" t="e">
        <f>NA()</f>
        <v>#N/A</v>
      </c>
      <c r="W77" s="483"/>
    </row>
    <row r="78" spans="1:23" s="492" customFormat="1" x14ac:dyDescent="0.25">
      <c r="A78" s="483" t="s">
        <v>277</v>
      </c>
      <c r="B78" s="483" t="s">
        <v>194</v>
      </c>
      <c r="C78" s="483" t="s">
        <v>210</v>
      </c>
      <c r="D78" s="483">
        <v>0</v>
      </c>
      <c r="E78" s="483">
        <v>0.35913705583756345</v>
      </c>
      <c r="F78" s="483">
        <v>7.0630891950688904E-2</v>
      </c>
      <c r="G78" s="483">
        <v>0.52907904278462647</v>
      </c>
      <c r="H78" s="483">
        <v>9.7897026831036981E-4</v>
      </c>
      <c r="I78" s="493" t="e">
        <f>NA()</f>
        <v>#N/A</v>
      </c>
      <c r="W78" s="483"/>
    </row>
    <row r="79" spans="1:23" s="492" customFormat="1" x14ac:dyDescent="0.25">
      <c r="A79" s="483" t="s">
        <v>278</v>
      </c>
      <c r="B79" s="483" t="s">
        <v>194</v>
      </c>
      <c r="C79" s="483" t="s">
        <v>210</v>
      </c>
      <c r="D79" s="483">
        <v>0</v>
      </c>
      <c r="E79" s="483">
        <v>2.0735444330949947E-2</v>
      </c>
      <c r="F79" s="483">
        <v>5.7099080694586309E-2</v>
      </c>
      <c r="G79" s="483">
        <v>0.27872829417773237</v>
      </c>
      <c r="H79" s="483">
        <v>7.9162410623084779E-4</v>
      </c>
      <c r="I79" s="493" t="e">
        <f>NA()</f>
        <v>#N/A</v>
      </c>
      <c r="W79" s="483"/>
    </row>
    <row r="80" spans="1:23" s="492" customFormat="1" x14ac:dyDescent="0.25">
      <c r="A80" s="483" t="s">
        <v>279</v>
      </c>
      <c r="B80" s="483" t="s">
        <v>141</v>
      </c>
      <c r="C80" s="483" t="s">
        <v>210</v>
      </c>
      <c r="D80" s="483">
        <v>0</v>
      </c>
      <c r="E80" s="483">
        <v>0</v>
      </c>
      <c r="F80" s="483">
        <v>3.5046728971962621E-2</v>
      </c>
      <c r="G80" s="483">
        <v>0.16915887850467293</v>
      </c>
      <c r="H80" s="483">
        <v>1.4485981308411215E-2</v>
      </c>
      <c r="I80" s="493" t="e">
        <f>NA()</f>
        <v>#N/A</v>
      </c>
      <c r="W80" s="483"/>
    </row>
    <row r="81" spans="1:23" s="492" customFormat="1" x14ac:dyDescent="0.25">
      <c r="A81" s="483" t="s">
        <v>280</v>
      </c>
      <c r="B81" s="483" t="s">
        <v>141</v>
      </c>
      <c r="C81" s="483" t="s">
        <v>210</v>
      </c>
      <c r="D81" s="483">
        <v>0</v>
      </c>
      <c r="E81" s="483">
        <v>0</v>
      </c>
      <c r="F81" s="483">
        <v>4.6890286512928023E-2</v>
      </c>
      <c r="G81" s="483">
        <v>0.19804332634521316</v>
      </c>
      <c r="H81" s="483">
        <v>0</v>
      </c>
      <c r="I81" s="493" t="e">
        <f>NA()</f>
        <v>#N/A</v>
      </c>
      <c r="W81" s="483"/>
    </row>
    <row r="82" spans="1:23" s="492" customFormat="1" x14ac:dyDescent="0.25">
      <c r="A82" s="483" t="s">
        <v>281</v>
      </c>
      <c r="B82" s="483" t="s">
        <v>141</v>
      </c>
      <c r="C82" s="483" t="s">
        <v>210</v>
      </c>
      <c r="D82" s="483">
        <v>0</v>
      </c>
      <c r="E82" s="483">
        <v>0</v>
      </c>
      <c r="F82" s="483">
        <v>9.4794188861985484E-2</v>
      </c>
      <c r="G82" s="483">
        <v>0.19782082324455208</v>
      </c>
      <c r="H82" s="483">
        <v>0</v>
      </c>
      <c r="I82" s="493" t="e">
        <f>NA()</f>
        <v>#N/A</v>
      </c>
      <c r="W82" s="483"/>
    </row>
    <row r="83" spans="1:23" s="492" customFormat="1" x14ac:dyDescent="0.25">
      <c r="A83" s="483" t="s">
        <v>364</v>
      </c>
      <c r="B83" s="483" t="s">
        <v>168</v>
      </c>
      <c r="C83" s="483" t="s">
        <v>210</v>
      </c>
      <c r="D83" s="483">
        <v>6.7301038062283741E-2</v>
      </c>
      <c r="E83" s="483">
        <v>2.0847750865051907E-2</v>
      </c>
      <c r="F83" s="483">
        <v>0</v>
      </c>
      <c r="G83" s="483">
        <v>3.7110726643598616E-2</v>
      </c>
      <c r="H83" s="483">
        <v>9.8442906574394473E-2</v>
      </c>
      <c r="I83" s="493" t="e">
        <f>NA()</f>
        <v>#N/A</v>
      </c>
      <c r="W83" s="483"/>
    </row>
    <row r="84" spans="1:23" s="492" customFormat="1" x14ac:dyDescent="0.25">
      <c r="A84" s="483" t="s">
        <v>282</v>
      </c>
      <c r="B84" s="483" t="s">
        <v>168</v>
      </c>
      <c r="C84" s="483" t="s">
        <v>210</v>
      </c>
      <c r="D84" s="483">
        <v>0</v>
      </c>
      <c r="E84" s="483">
        <v>2.0910534674430914E-3</v>
      </c>
      <c r="F84" s="483">
        <v>0</v>
      </c>
      <c r="G84" s="483">
        <v>3.8935944944415032E-2</v>
      </c>
      <c r="H84" s="483">
        <v>5.2938062466913714E-4</v>
      </c>
      <c r="I84" s="493" t="e">
        <f>NA()</f>
        <v>#N/A</v>
      </c>
      <c r="W84" s="483"/>
    </row>
    <row r="85" spans="1:23" s="492" customFormat="1" x14ac:dyDescent="0.25">
      <c r="A85" s="483" t="s">
        <v>365</v>
      </c>
      <c r="B85" s="483" t="s">
        <v>168</v>
      </c>
      <c r="C85" s="483" t="s">
        <v>210</v>
      </c>
      <c r="D85" s="483">
        <v>2.9418934495912277E-2</v>
      </c>
      <c r="E85" s="483">
        <v>2.3225474602036012E-3</v>
      </c>
      <c r="F85" s="483">
        <v>0</v>
      </c>
      <c r="G85" s="483">
        <v>9.5224445868347635E-2</v>
      </c>
      <c r="H85" s="483">
        <v>1.4623446971652302E-2</v>
      </c>
      <c r="I85" s="493" t="e">
        <f>NA()</f>
        <v>#N/A</v>
      </c>
      <c r="W85" s="483"/>
    </row>
    <row r="86" spans="1:23" s="492" customFormat="1" x14ac:dyDescent="0.25">
      <c r="A86" s="483" t="s">
        <v>366</v>
      </c>
      <c r="B86" s="483" t="s">
        <v>168</v>
      </c>
      <c r="C86" s="483" t="s">
        <v>210</v>
      </c>
      <c r="D86" s="483">
        <v>0</v>
      </c>
      <c r="E86" s="483">
        <v>2.8869327032891401E-3</v>
      </c>
      <c r="F86" s="483">
        <v>6.9767540329487548E-3</v>
      </c>
      <c r="G86" s="483">
        <v>0.14025681383479738</v>
      </c>
      <c r="H86" s="483">
        <v>0</v>
      </c>
      <c r="I86" s="493" t="e">
        <f>NA()</f>
        <v>#N/A</v>
      </c>
      <c r="W86" s="483"/>
    </row>
    <row r="87" spans="1:23" s="492" customFormat="1" x14ac:dyDescent="0.25">
      <c r="A87" s="483" t="s">
        <v>367</v>
      </c>
      <c r="B87" s="483" t="s">
        <v>168</v>
      </c>
      <c r="C87" s="483" t="s">
        <v>210</v>
      </c>
      <c r="D87" s="483">
        <v>0</v>
      </c>
      <c r="E87" s="483">
        <v>2.8783650886296582E-3</v>
      </c>
      <c r="F87" s="483">
        <v>1.4711643786329366E-2</v>
      </c>
      <c r="G87" s="483">
        <v>0.17813881715185775</v>
      </c>
      <c r="H87" s="483">
        <v>0</v>
      </c>
      <c r="I87" s="493" t="e">
        <f>NA()</f>
        <v>#N/A</v>
      </c>
      <c r="W87" s="483"/>
    </row>
    <row r="88" spans="1:23" s="492" customFormat="1" x14ac:dyDescent="0.25">
      <c r="A88" s="483" t="s">
        <v>368</v>
      </c>
      <c r="B88" s="483" t="s">
        <v>168</v>
      </c>
      <c r="C88" s="483" t="s">
        <v>210</v>
      </c>
      <c r="D88" s="483">
        <v>0</v>
      </c>
      <c r="E88" s="483">
        <v>3.3319043628497165E-3</v>
      </c>
      <c r="F88" s="483">
        <v>2.7571508602581403E-2</v>
      </c>
      <c r="G88" s="483">
        <v>0.18716972758308281</v>
      </c>
      <c r="H88" s="483">
        <v>0</v>
      </c>
      <c r="I88" s="493" t="e">
        <f>NA()</f>
        <v>#N/A</v>
      </c>
      <c r="W88" s="483"/>
    </row>
    <row r="89" spans="1:23" s="492" customFormat="1" x14ac:dyDescent="0.25">
      <c r="A89" s="483" t="s">
        <v>283</v>
      </c>
      <c r="B89" s="483" t="s">
        <v>190</v>
      </c>
      <c r="C89" s="483" t="s">
        <v>210</v>
      </c>
      <c r="D89" s="483">
        <v>0</v>
      </c>
      <c r="E89" s="483">
        <v>2.6742627345844507E-2</v>
      </c>
      <c r="F89" s="483">
        <v>0.14470509383378016</v>
      </c>
      <c r="G89" s="483">
        <v>0.32587131367292227</v>
      </c>
      <c r="H89" s="483">
        <v>0</v>
      </c>
      <c r="I89" s="493" t="e">
        <f>NA()</f>
        <v>#N/A</v>
      </c>
      <c r="W89" s="483"/>
    </row>
    <row r="90" spans="1:23" s="492" customFormat="1" x14ac:dyDescent="0.25">
      <c r="A90" s="483" t="s">
        <v>284</v>
      </c>
      <c r="B90" s="483" t="s">
        <v>190</v>
      </c>
      <c r="C90" s="483" t="s">
        <v>210</v>
      </c>
      <c r="D90" s="483">
        <v>0</v>
      </c>
      <c r="E90" s="483">
        <v>6.0244744273611544E-3</v>
      </c>
      <c r="F90" s="483">
        <v>0.12431754000627548</v>
      </c>
      <c r="G90" s="483">
        <v>0.23649199874490118</v>
      </c>
      <c r="H90" s="483">
        <v>0</v>
      </c>
      <c r="I90" s="493" t="e">
        <f>NA()</f>
        <v>#N/A</v>
      </c>
      <c r="W90" s="483"/>
    </row>
    <row r="91" spans="1:23" s="492" customFormat="1" x14ac:dyDescent="0.25">
      <c r="A91" s="483" t="s">
        <v>285</v>
      </c>
      <c r="B91" s="483" t="s">
        <v>190</v>
      </c>
      <c r="C91" s="483" t="s">
        <v>210</v>
      </c>
      <c r="D91" s="483">
        <v>0</v>
      </c>
      <c r="E91" s="483">
        <v>3.4838709677419357E-3</v>
      </c>
      <c r="F91" s="483">
        <v>0.16425806451612904</v>
      </c>
      <c r="G91" s="483">
        <v>0.22993548387096774</v>
      </c>
      <c r="H91" s="483">
        <v>0</v>
      </c>
      <c r="I91" s="493" t="e">
        <f>NA()</f>
        <v>#N/A</v>
      </c>
      <c r="W91" s="483"/>
    </row>
    <row r="92" spans="1:23" s="492" customFormat="1" x14ac:dyDescent="0.25">
      <c r="A92" s="483" t="s">
        <v>286</v>
      </c>
      <c r="B92" s="483" t="s">
        <v>190</v>
      </c>
      <c r="C92" s="483" t="s">
        <v>210</v>
      </c>
      <c r="D92" s="483">
        <v>0</v>
      </c>
      <c r="E92" s="483">
        <v>2.0517464424320828E-2</v>
      </c>
      <c r="F92" s="483">
        <v>0.15777490297542043</v>
      </c>
      <c r="G92" s="483">
        <v>0.27534282018111256</v>
      </c>
      <c r="H92" s="483">
        <v>0</v>
      </c>
      <c r="I92" s="493" t="e">
        <f>NA()</f>
        <v>#N/A</v>
      </c>
      <c r="W92" s="483"/>
    </row>
    <row r="93" spans="1:23" s="492" customFormat="1" x14ac:dyDescent="0.25">
      <c r="A93" s="483" t="s">
        <v>287</v>
      </c>
      <c r="B93" s="483" t="s">
        <v>190</v>
      </c>
      <c r="C93" s="483" t="s">
        <v>210</v>
      </c>
      <c r="D93" s="483">
        <v>0</v>
      </c>
      <c r="E93" s="483">
        <v>1.8340026773761713E-2</v>
      </c>
      <c r="F93" s="483">
        <v>0.31981258366800536</v>
      </c>
      <c r="G93" s="483">
        <v>0.38915662650602406</v>
      </c>
      <c r="H93" s="483">
        <v>9.3708165997322633E-4</v>
      </c>
      <c r="I93" s="493" t="e">
        <f>NA()</f>
        <v>#N/A</v>
      </c>
      <c r="W93" s="483"/>
    </row>
    <row r="94" spans="1:23" s="492" customFormat="1" x14ac:dyDescent="0.25">
      <c r="A94" s="483" t="s">
        <v>288</v>
      </c>
      <c r="B94" s="483" t="s">
        <v>190</v>
      </c>
      <c r="C94" s="483" t="s">
        <v>210</v>
      </c>
      <c r="D94" s="483">
        <v>0</v>
      </c>
      <c r="E94" s="483">
        <v>2.0938215102974826E-2</v>
      </c>
      <c r="F94" s="483">
        <v>0.37471395881006864</v>
      </c>
      <c r="G94" s="483">
        <v>0.4003432494279176</v>
      </c>
      <c r="H94" s="483">
        <v>1.3729977116704805E-3</v>
      </c>
      <c r="I94" s="493" t="e">
        <f>NA()</f>
        <v>#N/A</v>
      </c>
      <c r="W94" s="483"/>
    </row>
    <row r="95" spans="1:23" s="492" customFormat="1" x14ac:dyDescent="0.25">
      <c r="A95" s="483" t="s">
        <v>289</v>
      </c>
      <c r="B95" s="483" t="s">
        <v>194</v>
      </c>
      <c r="C95" s="483" t="s">
        <v>210</v>
      </c>
      <c r="D95" s="483">
        <v>0</v>
      </c>
      <c r="E95" s="483">
        <v>0.13839009287925697</v>
      </c>
      <c r="F95" s="483">
        <v>0.12687306501547987</v>
      </c>
      <c r="G95" s="483">
        <v>0.55999999999999994</v>
      </c>
      <c r="H95" s="483">
        <v>1.5479876160990713E-3</v>
      </c>
      <c r="I95" s="493" t="e">
        <f>NA()</f>
        <v>#N/A</v>
      </c>
      <c r="W95" s="483"/>
    </row>
    <row r="96" spans="1:23" s="492" customFormat="1" x14ac:dyDescent="0.25">
      <c r="A96" s="483" t="s">
        <v>290</v>
      </c>
      <c r="B96" s="483" t="s">
        <v>194</v>
      </c>
      <c r="C96" s="483" t="s">
        <v>210</v>
      </c>
      <c r="D96" s="483">
        <v>0</v>
      </c>
      <c r="E96" s="483">
        <v>0</v>
      </c>
      <c r="F96" s="483">
        <v>2.6041666666666664E-2</v>
      </c>
      <c r="G96" s="483">
        <v>0.16770833333333332</v>
      </c>
      <c r="H96" s="483">
        <v>0</v>
      </c>
      <c r="I96" s="493" t="e">
        <f>NA()</f>
        <v>#N/A</v>
      </c>
      <c r="W96" s="483"/>
    </row>
    <row r="97" spans="1:23" s="492" customFormat="1" x14ac:dyDescent="0.25">
      <c r="A97" s="483" t="s">
        <v>291</v>
      </c>
      <c r="B97" s="483" t="s">
        <v>190</v>
      </c>
      <c r="C97" s="483" t="s">
        <v>210</v>
      </c>
      <c r="D97" s="483">
        <v>0.33217592592592587</v>
      </c>
      <c r="E97" s="483">
        <v>0.16423611111111108</v>
      </c>
      <c r="F97" s="483">
        <v>0.19386574074074073</v>
      </c>
      <c r="G97" s="483">
        <v>0.390625</v>
      </c>
      <c r="H97" s="483">
        <v>0.17743055555555554</v>
      </c>
      <c r="I97" s="493" t="e">
        <f>NA()</f>
        <v>#N/A</v>
      </c>
      <c r="W97" s="483"/>
    </row>
    <row r="98" spans="1:23" s="492" customFormat="1" x14ac:dyDescent="0.25">
      <c r="A98" s="483" t="s">
        <v>292</v>
      </c>
      <c r="B98" s="483" t="s">
        <v>207</v>
      </c>
      <c r="C98" s="483" t="s">
        <v>210</v>
      </c>
      <c r="D98" s="483">
        <v>0</v>
      </c>
      <c r="E98" s="483">
        <v>4.3718592964824124E-2</v>
      </c>
      <c r="F98" s="483">
        <v>9.0954773869346736E-2</v>
      </c>
      <c r="G98" s="483">
        <v>0.29798994974874371</v>
      </c>
      <c r="H98" s="483">
        <v>0</v>
      </c>
      <c r="I98" s="493" t="e">
        <f>NA()</f>
        <v>#N/A</v>
      </c>
      <c r="W98" s="483"/>
    </row>
    <row r="99" spans="1:23" s="492" customFormat="1" x14ac:dyDescent="0.25">
      <c r="A99" s="483" t="s">
        <v>293</v>
      </c>
      <c r="B99" s="483" t="s">
        <v>190</v>
      </c>
      <c r="C99" s="483" t="s">
        <v>210</v>
      </c>
      <c r="D99" s="483">
        <v>0</v>
      </c>
      <c r="E99" s="483">
        <v>0.19696969696969696</v>
      </c>
      <c r="F99" s="483">
        <v>0.31767676767676767</v>
      </c>
      <c r="G99" s="483">
        <v>0.51464646464646457</v>
      </c>
      <c r="H99" s="483">
        <v>4.0404040404040404E-3</v>
      </c>
      <c r="I99" s="493" t="e">
        <f>NA()</f>
        <v>#N/A</v>
      </c>
      <c r="W99" s="483"/>
    </row>
    <row r="100" spans="1:23" s="492" customFormat="1" x14ac:dyDescent="0.25">
      <c r="A100" s="483" t="s">
        <v>294</v>
      </c>
      <c r="B100" s="483" t="s">
        <v>190</v>
      </c>
      <c r="C100" s="483" t="s">
        <v>210</v>
      </c>
      <c r="D100" s="483">
        <v>0.36257183908045981</v>
      </c>
      <c r="E100" s="483">
        <v>0.25474137931034485</v>
      </c>
      <c r="F100" s="483">
        <v>0.32090517241379313</v>
      </c>
      <c r="G100" s="483">
        <v>0.50093390804597704</v>
      </c>
      <c r="H100" s="483">
        <v>1.6810344827586206E-2</v>
      </c>
      <c r="I100" s="493" t="e">
        <f>NA()</f>
        <v>#N/A</v>
      </c>
      <c r="W100" s="483"/>
    </row>
    <row r="101" spans="1:23" s="492" customFormat="1" x14ac:dyDescent="0.25">
      <c r="A101" s="483" t="s">
        <v>295</v>
      </c>
      <c r="B101" s="483" t="s">
        <v>194</v>
      </c>
      <c r="C101" s="483" t="s">
        <v>210</v>
      </c>
      <c r="D101" s="483">
        <v>0.3681141439205956</v>
      </c>
      <c r="E101" s="483">
        <v>0.40446650124069483</v>
      </c>
      <c r="F101" s="483">
        <v>0.14416873449131515</v>
      </c>
      <c r="G101" s="483">
        <v>0.40880893300248144</v>
      </c>
      <c r="H101" s="483">
        <v>5.3598014888337479E-2</v>
      </c>
      <c r="I101" s="493" t="e">
        <f>NA()</f>
        <v>#N/A</v>
      </c>
      <c r="W101" s="483"/>
    </row>
    <row r="102" spans="1:23" s="492" customFormat="1" x14ac:dyDescent="0.25">
      <c r="A102" s="483" t="s">
        <v>296</v>
      </c>
      <c r="B102" s="483" t="s">
        <v>204</v>
      </c>
      <c r="C102" s="483" t="s">
        <v>210</v>
      </c>
      <c r="D102" s="483">
        <v>0.16350000000000001</v>
      </c>
      <c r="E102" s="483">
        <v>5.3249999999999999E-2</v>
      </c>
      <c r="F102" s="483">
        <v>2.1749999999999999E-2</v>
      </c>
      <c r="G102" s="483">
        <v>0.23475000000000001</v>
      </c>
      <c r="H102" s="483">
        <v>0.45450000000000002</v>
      </c>
      <c r="I102" s="493" t="e">
        <f>NA()</f>
        <v>#N/A</v>
      </c>
      <c r="W102" s="483"/>
    </row>
    <row r="103" spans="1:23" s="492" customFormat="1" x14ac:dyDescent="0.25">
      <c r="A103" s="483" t="s">
        <v>297</v>
      </c>
      <c r="B103" s="483" t="s">
        <v>204</v>
      </c>
      <c r="C103" s="483" t="s">
        <v>210</v>
      </c>
      <c r="D103" s="483">
        <v>0.20609137055837562</v>
      </c>
      <c r="E103" s="483">
        <v>5.3299492385786809E-2</v>
      </c>
      <c r="F103" s="483">
        <v>3.654822335025381E-2</v>
      </c>
      <c r="G103" s="483">
        <v>0.2517766497461929</v>
      </c>
      <c r="H103" s="483">
        <v>0.31827411167512687</v>
      </c>
      <c r="I103" s="493" t="e">
        <f>NA()</f>
        <v>#N/A</v>
      </c>
      <c r="W103" s="483"/>
    </row>
    <row r="104" spans="1:23" s="492" customFormat="1" x14ac:dyDescent="0.25">
      <c r="A104" s="483" t="s">
        <v>298</v>
      </c>
      <c r="B104" s="483" t="s">
        <v>194</v>
      </c>
      <c r="C104" s="483" t="s">
        <v>210</v>
      </c>
      <c r="D104" s="483">
        <v>0</v>
      </c>
      <c r="E104" s="483">
        <v>0.14838709677419357</v>
      </c>
      <c r="F104" s="483">
        <v>0.34055299539170508</v>
      </c>
      <c r="G104" s="483">
        <v>0.59331797235023043</v>
      </c>
      <c r="H104" s="483">
        <v>4.147465437788018E-3</v>
      </c>
      <c r="I104" s="493" t="e">
        <f>NA()</f>
        <v>#N/A</v>
      </c>
      <c r="W104" s="483"/>
    </row>
    <row r="105" spans="1:23" s="492" customFormat="1" x14ac:dyDescent="0.25">
      <c r="A105" s="483" t="s">
        <v>299</v>
      </c>
      <c r="B105" s="483" t="s">
        <v>204</v>
      </c>
      <c r="C105" s="483" t="s">
        <v>210</v>
      </c>
      <c r="D105" s="483">
        <v>0.16350000000000001</v>
      </c>
      <c r="E105" s="483">
        <v>5.3249999999999999E-2</v>
      </c>
      <c r="F105" s="483">
        <v>2.1749999999999999E-2</v>
      </c>
      <c r="G105" s="483">
        <v>0.23475000000000001</v>
      </c>
      <c r="H105" s="483">
        <v>0.42449999999999999</v>
      </c>
      <c r="I105" s="493" t="e">
        <f>NA()</f>
        <v>#N/A</v>
      </c>
      <c r="W105" s="483"/>
    </row>
    <row r="106" spans="1:23" s="492" customFormat="1" x14ac:dyDescent="0.25">
      <c r="A106" s="483" t="s">
        <v>300</v>
      </c>
      <c r="B106" s="483" t="s">
        <v>204</v>
      </c>
      <c r="C106" s="483" t="s">
        <v>210</v>
      </c>
      <c r="D106" s="483">
        <v>0.16350000000000001</v>
      </c>
      <c r="E106" s="483">
        <v>5.3249999999999999E-2</v>
      </c>
      <c r="F106" s="483">
        <v>2.7500000000000004E-2</v>
      </c>
      <c r="G106" s="483">
        <v>0.23475000000000001</v>
      </c>
      <c r="H106" s="483">
        <v>0.35350000000000004</v>
      </c>
      <c r="I106" s="493" t="e">
        <f>NA()</f>
        <v>#N/A</v>
      </c>
      <c r="W106" s="483"/>
    </row>
    <row r="107" spans="1:23" s="492" customFormat="1" x14ac:dyDescent="0.25">
      <c r="A107" s="483" t="s">
        <v>301</v>
      </c>
      <c r="B107" s="483" t="s">
        <v>204</v>
      </c>
      <c r="C107" s="483" t="s">
        <v>210</v>
      </c>
      <c r="D107" s="483">
        <v>0.16350000000000001</v>
      </c>
      <c r="E107" s="483">
        <v>5.3249999999999999E-2</v>
      </c>
      <c r="F107" s="483">
        <v>1.4999999999999999E-2</v>
      </c>
      <c r="G107" s="483">
        <v>0.23475000000000001</v>
      </c>
      <c r="H107" s="483">
        <v>0.51800000000000002</v>
      </c>
      <c r="I107" s="493" t="e">
        <f>NA()</f>
        <v>#N/A</v>
      </c>
      <c r="W107" s="483"/>
    </row>
    <row r="108" spans="1:23" s="492" customFormat="1" x14ac:dyDescent="0.25">
      <c r="A108" s="483" t="s">
        <v>302</v>
      </c>
      <c r="B108" s="483" t="s">
        <v>204</v>
      </c>
      <c r="C108" s="483" t="s">
        <v>210</v>
      </c>
      <c r="D108" s="483">
        <v>0.16350000000000001</v>
      </c>
      <c r="E108" s="483">
        <v>5.3249999999999999E-2</v>
      </c>
      <c r="F108" s="483">
        <v>2.7500000000000004E-2</v>
      </c>
      <c r="G108" s="483">
        <v>0.23475000000000001</v>
      </c>
      <c r="H108" s="483">
        <v>0.34675</v>
      </c>
      <c r="I108" s="493" t="e">
        <f>NA()</f>
        <v>#N/A</v>
      </c>
      <c r="W108" s="483"/>
    </row>
    <row r="109" spans="1:23" s="492" customFormat="1" x14ac:dyDescent="0.25">
      <c r="A109" s="483" t="s">
        <v>303</v>
      </c>
      <c r="B109" s="483" t="s">
        <v>204</v>
      </c>
      <c r="C109" s="483" t="s">
        <v>210</v>
      </c>
      <c r="D109" s="483">
        <v>0.22174999999999997</v>
      </c>
      <c r="E109" s="483">
        <v>5.3249999999999999E-2</v>
      </c>
      <c r="F109" s="483">
        <v>4.0999999999999995E-2</v>
      </c>
      <c r="G109" s="483">
        <v>0.2515</v>
      </c>
      <c r="H109" s="483">
        <v>0.20024999999999998</v>
      </c>
      <c r="I109" s="493" t="e">
        <f>NA()</f>
        <v>#N/A</v>
      </c>
      <c r="W109" s="483"/>
    </row>
    <row r="110" spans="1:23" s="492" customFormat="1" x14ac:dyDescent="0.25">
      <c r="A110" s="483" t="s">
        <v>304</v>
      </c>
      <c r="B110" s="483" t="s">
        <v>204</v>
      </c>
      <c r="C110" s="483" t="s">
        <v>210</v>
      </c>
      <c r="D110" s="483">
        <v>0.16350000000000001</v>
      </c>
      <c r="E110" s="483">
        <v>5.3249999999999999E-2</v>
      </c>
      <c r="F110" s="483">
        <v>3.2500000000000001E-2</v>
      </c>
      <c r="G110" s="483">
        <v>0.23475000000000001</v>
      </c>
      <c r="H110" s="483">
        <v>0.30599999999999999</v>
      </c>
      <c r="I110" s="493" t="e">
        <f>NA()</f>
        <v>#N/A</v>
      </c>
      <c r="W110" s="483"/>
    </row>
    <row r="111" spans="1:23" s="492" customFormat="1" x14ac:dyDescent="0.25">
      <c r="A111" s="483" t="s">
        <v>305</v>
      </c>
      <c r="B111" s="483" t="s">
        <v>204</v>
      </c>
      <c r="C111" s="483" t="s">
        <v>210</v>
      </c>
      <c r="D111" s="483">
        <v>0.16350000000000001</v>
      </c>
      <c r="E111" s="483">
        <v>5.3249999999999999E-2</v>
      </c>
      <c r="F111" s="483">
        <v>1.4999999999999999E-2</v>
      </c>
      <c r="G111" s="483">
        <v>0.23475000000000001</v>
      </c>
      <c r="H111" s="483">
        <v>0.44600000000000001</v>
      </c>
      <c r="I111" s="493" t="e">
        <f>NA()</f>
        <v>#N/A</v>
      </c>
      <c r="W111" s="483"/>
    </row>
    <row r="112" spans="1:23" s="492" customFormat="1" x14ac:dyDescent="0.25">
      <c r="A112" s="483" t="s">
        <v>306</v>
      </c>
      <c r="B112" s="483" t="s">
        <v>204</v>
      </c>
      <c r="C112" s="483" t="s">
        <v>210</v>
      </c>
      <c r="D112" s="483">
        <v>0.16350000000000001</v>
      </c>
      <c r="E112" s="483">
        <v>5.3249999999999999E-2</v>
      </c>
      <c r="F112" s="483">
        <v>1.4999999999999999E-2</v>
      </c>
      <c r="G112" s="483">
        <v>0.23475000000000001</v>
      </c>
      <c r="H112" s="483">
        <v>0.44299999999999995</v>
      </c>
      <c r="I112" s="493" t="e">
        <f>NA()</f>
        <v>#N/A</v>
      </c>
      <c r="W112" s="483"/>
    </row>
    <row r="113" spans="1:23" s="492" customFormat="1" x14ac:dyDescent="0.25">
      <c r="A113" s="483" t="s">
        <v>307</v>
      </c>
      <c r="B113" s="483" t="s">
        <v>204</v>
      </c>
      <c r="C113" s="483" t="s">
        <v>210</v>
      </c>
      <c r="D113" s="483">
        <v>0.16350000000000001</v>
      </c>
      <c r="E113" s="483">
        <v>5.3249999999999999E-2</v>
      </c>
      <c r="F113" s="483">
        <v>2.7500000000000004E-2</v>
      </c>
      <c r="G113" s="483">
        <v>0.23475000000000001</v>
      </c>
      <c r="H113" s="483">
        <v>0.36049999999999999</v>
      </c>
      <c r="I113" s="493" t="e">
        <f>NA()</f>
        <v>#N/A</v>
      </c>
      <c r="W113" s="483"/>
    </row>
    <row r="114" spans="1:23" s="492" customFormat="1" x14ac:dyDescent="0.25">
      <c r="A114" s="483" t="s">
        <v>308</v>
      </c>
      <c r="B114" s="483" t="s">
        <v>204</v>
      </c>
      <c r="C114" s="483" t="s">
        <v>210</v>
      </c>
      <c r="D114" s="483">
        <v>0.16350000000000001</v>
      </c>
      <c r="E114" s="483">
        <v>5.3249999999999999E-2</v>
      </c>
      <c r="F114" s="483">
        <v>1.4999999999999999E-2</v>
      </c>
      <c r="G114" s="483">
        <v>0.23475000000000001</v>
      </c>
      <c r="H114" s="483">
        <v>0.35299999999999998</v>
      </c>
      <c r="I114" s="493" t="e">
        <f>NA()</f>
        <v>#N/A</v>
      </c>
      <c r="W114" s="483"/>
    </row>
    <row r="115" spans="1:23" s="492" customFormat="1" x14ac:dyDescent="0.25">
      <c r="A115" s="483" t="s">
        <v>309</v>
      </c>
      <c r="B115" s="483" t="s">
        <v>204</v>
      </c>
      <c r="C115" s="483" t="s">
        <v>210</v>
      </c>
      <c r="D115" s="483">
        <v>0.16350000000000001</v>
      </c>
      <c r="E115" s="483">
        <v>5.3249999999999999E-2</v>
      </c>
      <c r="F115" s="483">
        <v>1.4999999999999999E-2</v>
      </c>
      <c r="G115" s="483">
        <v>0.23475000000000001</v>
      </c>
      <c r="H115" s="483">
        <v>0.44524999999999998</v>
      </c>
      <c r="I115" s="493" t="e">
        <f>NA()</f>
        <v>#N/A</v>
      </c>
      <c r="W115" s="483"/>
    </row>
    <row r="116" spans="1:23" s="492" customFormat="1" x14ac:dyDescent="0.25">
      <c r="A116" s="483" t="s">
        <v>310</v>
      </c>
      <c r="B116" s="483" t="s">
        <v>204</v>
      </c>
      <c r="C116" s="483" t="s">
        <v>210</v>
      </c>
      <c r="D116" s="483">
        <v>0.16350000000000001</v>
      </c>
      <c r="E116" s="483">
        <v>5.3249999999999999E-2</v>
      </c>
      <c r="F116" s="483">
        <v>1.4999999999999999E-2</v>
      </c>
      <c r="G116" s="483">
        <v>0.23475000000000001</v>
      </c>
      <c r="H116" s="483">
        <v>0.35175000000000001</v>
      </c>
      <c r="I116" s="493" t="e">
        <f>NA()</f>
        <v>#N/A</v>
      </c>
      <c r="W116" s="483"/>
    </row>
    <row r="117" spans="1:23" s="492" customFormat="1" x14ac:dyDescent="0.25">
      <c r="A117" s="483" t="s">
        <v>311</v>
      </c>
      <c r="B117" s="483" t="s">
        <v>204</v>
      </c>
      <c r="C117" s="483" t="s">
        <v>210</v>
      </c>
      <c r="D117" s="483">
        <v>0.16350000000000001</v>
      </c>
      <c r="E117" s="483">
        <v>5.3249999999999999E-2</v>
      </c>
      <c r="F117" s="483">
        <v>2.1749999999999999E-2</v>
      </c>
      <c r="G117" s="483">
        <v>0.23475000000000001</v>
      </c>
      <c r="H117" s="483">
        <v>0.48825000000000002</v>
      </c>
      <c r="I117" s="493" t="e">
        <f>NA()</f>
        <v>#N/A</v>
      </c>
      <c r="W117" s="483"/>
    </row>
    <row r="118" spans="1:23" s="492" customFormat="1" x14ac:dyDescent="0.25">
      <c r="A118" s="483" t="s">
        <v>312</v>
      </c>
      <c r="B118" s="483" t="s">
        <v>204</v>
      </c>
      <c r="C118" s="483" t="s">
        <v>210</v>
      </c>
      <c r="D118" s="483">
        <v>0.16350000000000001</v>
      </c>
      <c r="E118" s="483">
        <v>5.3249999999999999E-2</v>
      </c>
      <c r="F118" s="483">
        <v>2.7500000000000004E-2</v>
      </c>
      <c r="G118" s="483">
        <v>0.23475000000000001</v>
      </c>
      <c r="H118" s="483">
        <v>0.36375000000000002</v>
      </c>
      <c r="I118" s="493" t="e">
        <f>NA()</f>
        <v>#N/A</v>
      </c>
      <c r="W118" s="483"/>
    </row>
    <row r="119" spans="1:23" s="492" customFormat="1" x14ac:dyDescent="0.25">
      <c r="A119" s="483" t="s">
        <v>313</v>
      </c>
      <c r="B119" s="483" t="s">
        <v>204</v>
      </c>
      <c r="C119" s="483" t="s">
        <v>210</v>
      </c>
      <c r="D119" s="483">
        <v>0.16350000000000001</v>
      </c>
      <c r="E119" s="483">
        <v>5.3249999999999999E-2</v>
      </c>
      <c r="F119" s="483">
        <v>2.1749999999999999E-2</v>
      </c>
      <c r="G119" s="483">
        <v>0.23475000000000001</v>
      </c>
      <c r="H119" s="483">
        <v>0.38849999999999996</v>
      </c>
      <c r="I119" s="493" t="e">
        <f>NA()</f>
        <v>#N/A</v>
      </c>
      <c r="W119" s="483"/>
    </row>
    <row r="120" spans="1:23" s="492" customFormat="1" x14ac:dyDescent="0.25">
      <c r="A120" s="483" t="s">
        <v>314</v>
      </c>
      <c r="B120" s="483" t="s">
        <v>204</v>
      </c>
      <c r="C120" s="483" t="s">
        <v>210</v>
      </c>
      <c r="D120" s="483">
        <v>0.16350000000000001</v>
      </c>
      <c r="E120" s="483">
        <v>5.3249999999999999E-2</v>
      </c>
      <c r="F120" s="483">
        <v>2.1749999999999999E-2</v>
      </c>
      <c r="G120" s="483">
        <v>0.23475000000000001</v>
      </c>
      <c r="H120" s="483">
        <v>0.41325000000000001</v>
      </c>
      <c r="I120" s="493" t="e">
        <f>NA()</f>
        <v>#N/A</v>
      </c>
      <c r="W120" s="483"/>
    </row>
    <row r="121" spans="1:23" s="492" customFormat="1" x14ac:dyDescent="0.25">
      <c r="A121" s="483" t="s">
        <v>315</v>
      </c>
      <c r="B121" s="483" t="s">
        <v>204</v>
      </c>
      <c r="C121" s="483" t="s">
        <v>210</v>
      </c>
      <c r="D121" s="483">
        <v>0.16350000000000001</v>
      </c>
      <c r="E121" s="483">
        <v>5.3249999999999999E-2</v>
      </c>
      <c r="F121" s="483">
        <v>2.7500000000000004E-2</v>
      </c>
      <c r="G121" s="483">
        <v>0.23475000000000001</v>
      </c>
      <c r="H121" s="483">
        <v>0.28549999999999998</v>
      </c>
      <c r="I121" s="493" t="e">
        <f>NA()</f>
        <v>#N/A</v>
      </c>
      <c r="W121" s="483"/>
    </row>
    <row r="122" spans="1:23" s="492" customFormat="1" x14ac:dyDescent="0.25">
      <c r="A122" s="483" t="s">
        <v>316</v>
      </c>
      <c r="B122" s="483" t="s">
        <v>204</v>
      </c>
      <c r="C122" s="483" t="s">
        <v>210</v>
      </c>
      <c r="D122" s="483">
        <v>0.16350000000000001</v>
      </c>
      <c r="E122" s="483">
        <v>5.3249999999999999E-2</v>
      </c>
      <c r="F122" s="483">
        <v>2.7500000000000004E-2</v>
      </c>
      <c r="G122" s="483">
        <v>0.23475000000000001</v>
      </c>
      <c r="H122" s="483">
        <v>0.26150000000000001</v>
      </c>
      <c r="I122" s="493" t="e">
        <f>NA()</f>
        <v>#N/A</v>
      </c>
      <c r="W122" s="483"/>
    </row>
    <row r="123" spans="1:23" s="492" customFormat="1" x14ac:dyDescent="0.25">
      <c r="A123" s="483" t="s">
        <v>317</v>
      </c>
      <c r="B123" s="483" t="s">
        <v>204</v>
      </c>
      <c r="C123" s="483" t="s">
        <v>210</v>
      </c>
      <c r="D123" s="483">
        <v>0.16350000000000001</v>
      </c>
      <c r="E123" s="483">
        <v>5.3249999999999999E-2</v>
      </c>
      <c r="F123" s="483">
        <v>1.4999999999999999E-2</v>
      </c>
      <c r="G123" s="483">
        <v>0.23475000000000001</v>
      </c>
      <c r="H123" s="483">
        <v>0.4405</v>
      </c>
      <c r="I123" s="493" t="e">
        <f>NA()</f>
        <v>#N/A</v>
      </c>
      <c r="W123" s="483"/>
    </row>
    <row r="124" spans="1:23" s="492" customFormat="1" x14ac:dyDescent="0.25">
      <c r="A124" s="483" t="s">
        <v>318</v>
      </c>
      <c r="B124" s="483" t="s">
        <v>204</v>
      </c>
      <c r="C124" s="483" t="s">
        <v>210</v>
      </c>
      <c r="D124" s="483">
        <v>0.16350000000000001</v>
      </c>
      <c r="E124" s="483">
        <v>5.3249999999999999E-2</v>
      </c>
      <c r="F124" s="483">
        <v>1.4999999999999999E-2</v>
      </c>
      <c r="G124" s="483">
        <v>0.23475000000000001</v>
      </c>
      <c r="H124" s="483">
        <v>0.4365</v>
      </c>
      <c r="I124" s="493" t="e">
        <f>NA()</f>
        <v>#N/A</v>
      </c>
      <c r="W124" s="483"/>
    </row>
    <row r="125" spans="1:23" s="492" customFormat="1" x14ac:dyDescent="0.25">
      <c r="A125" s="483" t="s">
        <v>319</v>
      </c>
      <c r="B125" s="483" t="s">
        <v>204</v>
      </c>
      <c r="C125" s="483" t="s">
        <v>210</v>
      </c>
      <c r="D125" s="483">
        <v>0.16350000000000001</v>
      </c>
      <c r="E125" s="483">
        <v>5.3249999999999999E-2</v>
      </c>
      <c r="F125" s="483">
        <v>2.7500000000000004E-2</v>
      </c>
      <c r="G125" s="483">
        <v>0.23475000000000001</v>
      </c>
      <c r="H125" s="483">
        <v>0.27100000000000002</v>
      </c>
      <c r="I125" s="493" t="e">
        <f>NA()</f>
        <v>#N/A</v>
      </c>
      <c r="W125" s="483"/>
    </row>
    <row r="126" spans="1:23" s="492" customFormat="1" x14ac:dyDescent="0.25">
      <c r="A126" s="483" t="s">
        <v>320</v>
      </c>
      <c r="B126" s="483" t="s">
        <v>204</v>
      </c>
      <c r="C126" s="483" t="s">
        <v>210</v>
      </c>
      <c r="D126" s="483">
        <v>0.16350000000000001</v>
      </c>
      <c r="E126" s="483">
        <v>5.3249999999999999E-2</v>
      </c>
      <c r="F126" s="483">
        <v>1.4999999999999999E-2</v>
      </c>
      <c r="G126" s="483">
        <v>0.23475000000000001</v>
      </c>
      <c r="H126" s="483">
        <v>0.36875000000000002</v>
      </c>
      <c r="I126" s="493" t="e">
        <f>NA()</f>
        <v>#N/A</v>
      </c>
      <c r="W126" s="483"/>
    </row>
    <row r="127" spans="1:23" s="492" customFormat="1" x14ac:dyDescent="0.25">
      <c r="A127" s="483" t="s">
        <v>321</v>
      </c>
      <c r="B127" s="483" t="s">
        <v>204</v>
      </c>
      <c r="C127" s="483" t="s">
        <v>210</v>
      </c>
      <c r="D127" s="483">
        <v>0.16350000000000001</v>
      </c>
      <c r="E127" s="483">
        <v>5.3249999999999999E-2</v>
      </c>
      <c r="F127" s="483">
        <v>1.4999999999999999E-2</v>
      </c>
      <c r="G127" s="483">
        <v>0.23475000000000001</v>
      </c>
      <c r="H127" s="483">
        <v>0.35799999999999998</v>
      </c>
      <c r="I127" s="493" t="e">
        <f>NA()</f>
        <v>#N/A</v>
      </c>
      <c r="W127" s="483"/>
    </row>
    <row r="128" spans="1:23" s="492" customFormat="1" x14ac:dyDescent="0.25">
      <c r="A128" s="483" t="s">
        <v>322</v>
      </c>
      <c r="B128" s="483" t="s">
        <v>204</v>
      </c>
      <c r="C128" s="483" t="s">
        <v>210</v>
      </c>
      <c r="D128" s="483">
        <v>0.22174999999999997</v>
      </c>
      <c r="E128" s="483">
        <v>5.3249999999999999E-2</v>
      </c>
      <c r="F128" s="483">
        <v>3.2500000000000001E-2</v>
      </c>
      <c r="G128" s="483">
        <v>0.23475000000000001</v>
      </c>
      <c r="H128" s="483">
        <v>0.23525000000000001</v>
      </c>
      <c r="I128" s="493" t="e">
        <f>NA()</f>
        <v>#N/A</v>
      </c>
      <c r="W128" s="483"/>
    </row>
    <row r="129" spans="1:23" s="492" customFormat="1" x14ac:dyDescent="0.25">
      <c r="A129" s="483" t="s">
        <v>323</v>
      </c>
      <c r="B129" s="483" t="s">
        <v>204</v>
      </c>
      <c r="C129" s="483" t="s">
        <v>210</v>
      </c>
      <c r="D129" s="483">
        <v>0.22174999999999997</v>
      </c>
      <c r="E129" s="483">
        <v>5.3249999999999999E-2</v>
      </c>
      <c r="F129" s="483">
        <v>4.0999999999999995E-2</v>
      </c>
      <c r="G129" s="483">
        <v>0.2515</v>
      </c>
      <c r="H129" s="483">
        <v>0.17599999999999999</v>
      </c>
      <c r="I129" s="493" t="e">
        <f>NA()</f>
        <v>#N/A</v>
      </c>
      <c r="W129" s="483"/>
    </row>
    <row r="130" spans="1:23" s="492" customFormat="1" x14ac:dyDescent="0.25">
      <c r="A130" s="483" t="s">
        <v>324</v>
      </c>
      <c r="B130" s="483" t="s">
        <v>204</v>
      </c>
      <c r="C130" s="483" t="s">
        <v>210</v>
      </c>
      <c r="D130" s="483">
        <v>0.22174999999999997</v>
      </c>
      <c r="E130" s="483">
        <v>5.3249999999999999E-2</v>
      </c>
      <c r="F130" s="483">
        <v>3.2500000000000001E-2</v>
      </c>
      <c r="G130" s="483">
        <v>0.23475000000000001</v>
      </c>
      <c r="H130" s="483">
        <v>0.188</v>
      </c>
      <c r="I130" s="493" t="e">
        <f>NA()</f>
        <v>#N/A</v>
      </c>
      <c r="W130" s="483"/>
    </row>
    <row r="131" spans="1:23" s="492" customFormat="1" x14ac:dyDescent="0.25">
      <c r="A131" s="483" t="s">
        <v>325</v>
      </c>
      <c r="B131" s="483" t="s">
        <v>204</v>
      </c>
      <c r="C131" s="483" t="s">
        <v>210</v>
      </c>
      <c r="D131" s="483">
        <v>0.16350000000000001</v>
      </c>
      <c r="E131" s="483">
        <v>5.3249999999999999E-2</v>
      </c>
      <c r="F131" s="483">
        <v>2.1749999999999999E-2</v>
      </c>
      <c r="G131" s="483">
        <v>0.23475000000000001</v>
      </c>
      <c r="H131" s="483">
        <v>0.43825000000000003</v>
      </c>
      <c r="I131" s="493" t="e">
        <f>NA()</f>
        <v>#N/A</v>
      </c>
      <c r="W131" s="483"/>
    </row>
    <row r="132" spans="1:23" s="492" customFormat="1" x14ac:dyDescent="0.25">
      <c r="A132" s="483" t="s">
        <v>326</v>
      </c>
      <c r="B132" s="483" t="s">
        <v>204</v>
      </c>
      <c r="C132" s="483" t="s">
        <v>210</v>
      </c>
      <c r="D132" s="483">
        <v>0.16350000000000001</v>
      </c>
      <c r="E132" s="483">
        <v>5.3249999999999999E-2</v>
      </c>
      <c r="F132" s="483">
        <v>2.1749999999999999E-2</v>
      </c>
      <c r="G132" s="483">
        <v>0.23475000000000001</v>
      </c>
      <c r="H132" s="483">
        <v>0.39249999999999996</v>
      </c>
      <c r="I132" s="493" t="e">
        <f>NA()</f>
        <v>#N/A</v>
      </c>
      <c r="W132" s="483"/>
    </row>
    <row r="133" spans="1:23" s="492" customFormat="1" x14ac:dyDescent="0.25">
      <c r="A133" s="483" t="s">
        <v>327</v>
      </c>
      <c r="B133" s="483" t="s">
        <v>204</v>
      </c>
      <c r="C133" s="483" t="s">
        <v>210</v>
      </c>
      <c r="D133" s="483">
        <v>0.16350000000000001</v>
      </c>
      <c r="E133" s="483">
        <v>5.3249999999999999E-2</v>
      </c>
      <c r="F133" s="483">
        <v>1.4999999999999999E-2</v>
      </c>
      <c r="G133" s="483">
        <v>0.23475000000000001</v>
      </c>
      <c r="H133" s="483">
        <v>0.43600000000000005</v>
      </c>
      <c r="I133" s="493" t="e">
        <f>NA()</f>
        <v>#N/A</v>
      </c>
      <c r="W133" s="483"/>
    </row>
    <row r="134" spans="1:23" s="492" customFormat="1" x14ac:dyDescent="0.25">
      <c r="A134" s="483" t="s">
        <v>328</v>
      </c>
      <c r="B134" s="483" t="s">
        <v>204</v>
      </c>
      <c r="C134" s="483" t="s">
        <v>210</v>
      </c>
      <c r="D134" s="483">
        <v>0.16350000000000001</v>
      </c>
      <c r="E134" s="483">
        <v>5.3249999999999999E-2</v>
      </c>
      <c r="F134" s="483">
        <v>1.4999999999999999E-2</v>
      </c>
      <c r="G134" s="483">
        <v>0.23475000000000001</v>
      </c>
      <c r="H134" s="483">
        <v>0.34300000000000003</v>
      </c>
      <c r="I134" s="493" t="e">
        <f>NA()</f>
        <v>#N/A</v>
      </c>
      <c r="W134" s="483"/>
    </row>
    <row r="135" spans="1:23" s="492" customFormat="1" x14ac:dyDescent="0.25">
      <c r="A135" s="483" t="s">
        <v>329</v>
      </c>
      <c r="B135" s="483" t="s">
        <v>204</v>
      </c>
      <c r="C135" s="483" t="s">
        <v>210</v>
      </c>
      <c r="D135" s="483">
        <v>0.16350000000000001</v>
      </c>
      <c r="E135" s="483">
        <v>5.3249999999999999E-2</v>
      </c>
      <c r="F135" s="483">
        <v>2.1749999999999999E-2</v>
      </c>
      <c r="G135" s="483">
        <v>0.23475000000000001</v>
      </c>
      <c r="H135" s="483">
        <v>0.31724999999999998</v>
      </c>
      <c r="I135" s="493" t="e">
        <f>NA()</f>
        <v>#N/A</v>
      </c>
      <c r="W135" s="483"/>
    </row>
    <row r="136" spans="1:23" s="492" customFormat="1" x14ac:dyDescent="0.25">
      <c r="A136" s="483" t="s">
        <v>330</v>
      </c>
      <c r="B136" s="483" t="s">
        <v>204</v>
      </c>
      <c r="C136" s="483" t="s">
        <v>210</v>
      </c>
      <c r="D136" s="483">
        <v>0.16350000000000001</v>
      </c>
      <c r="E136" s="483">
        <v>5.3249999999999999E-2</v>
      </c>
      <c r="F136" s="483">
        <v>1.4999999999999999E-2</v>
      </c>
      <c r="G136" s="483">
        <v>0.23475000000000001</v>
      </c>
      <c r="H136" s="483">
        <v>0.45525000000000004</v>
      </c>
      <c r="I136" s="493" t="e">
        <f>NA()</f>
        <v>#N/A</v>
      </c>
      <c r="W136" s="483"/>
    </row>
    <row r="137" spans="1:23" s="492" customFormat="1" x14ac:dyDescent="0.25">
      <c r="A137" s="483" t="s">
        <v>331</v>
      </c>
      <c r="B137" s="483" t="s">
        <v>204</v>
      </c>
      <c r="C137" s="483" t="s">
        <v>210</v>
      </c>
      <c r="D137" s="483">
        <v>0.16350000000000001</v>
      </c>
      <c r="E137" s="483">
        <v>5.3249999999999999E-2</v>
      </c>
      <c r="F137" s="483">
        <v>1.4999999999999999E-2</v>
      </c>
      <c r="G137" s="483">
        <v>0.23475000000000001</v>
      </c>
      <c r="H137" s="483">
        <v>0.36524999999999996</v>
      </c>
      <c r="I137" s="493" t="e">
        <f>NA()</f>
        <v>#N/A</v>
      </c>
      <c r="W137" s="483"/>
    </row>
    <row r="138" spans="1:23" s="492" customFormat="1" x14ac:dyDescent="0.25">
      <c r="A138" s="483" t="s">
        <v>332</v>
      </c>
      <c r="B138" s="483" t="s">
        <v>204</v>
      </c>
      <c r="C138" s="483" t="s">
        <v>210</v>
      </c>
      <c r="D138" s="483">
        <v>0.16350000000000001</v>
      </c>
      <c r="E138" s="483">
        <v>5.3249999999999999E-2</v>
      </c>
      <c r="F138" s="483">
        <v>2.7500000000000004E-2</v>
      </c>
      <c r="G138" s="483">
        <v>0.23475000000000001</v>
      </c>
      <c r="H138" s="483">
        <v>0.32900000000000001</v>
      </c>
      <c r="I138" s="493" t="e">
        <f>NA()</f>
        <v>#N/A</v>
      </c>
      <c r="W138" s="483"/>
    </row>
    <row r="139" spans="1:23" s="492" customFormat="1" x14ac:dyDescent="0.25">
      <c r="A139" s="483" t="s">
        <v>333</v>
      </c>
      <c r="B139" s="483" t="s">
        <v>204</v>
      </c>
      <c r="C139" s="483" t="s">
        <v>210</v>
      </c>
      <c r="D139" s="483">
        <v>0.16350000000000001</v>
      </c>
      <c r="E139" s="483">
        <v>5.3249999999999999E-2</v>
      </c>
      <c r="F139" s="483">
        <v>2.1749999999999999E-2</v>
      </c>
      <c r="G139" s="483">
        <v>0.23475000000000001</v>
      </c>
      <c r="H139" s="483">
        <v>0.33599999999999997</v>
      </c>
      <c r="I139" s="493" t="e">
        <f>NA()</f>
        <v>#N/A</v>
      </c>
      <c r="W139" s="483"/>
    </row>
    <row r="140" spans="1:23" s="492" customFormat="1" x14ac:dyDescent="0.25">
      <c r="A140" s="483" t="s">
        <v>334</v>
      </c>
      <c r="B140" s="483" t="s">
        <v>204</v>
      </c>
      <c r="C140" s="483" t="s">
        <v>210</v>
      </c>
      <c r="D140" s="483">
        <v>0.16350000000000001</v>
      </c>
      <c r="E140" s="483">
        <v>5.3249999999999999E-2</v>
      </c>
      <c r="F140" s="483">
        <v>1.4999999999999999E-2</v>
      </c>
      <c r="G140" s="483">
        <v>0.23475000000000001</v>
      </c>
      <c r="H140" s="483">
        <v>0.36299999999999999</v>
      </c>
      <c r="I140" s="493" t="e">
        <f>NA()</f>
        <v>#N/A</v>
      </c>
      <c r="W140" s="483"/>
    </row>
    <row r="141" spans="1:23" s="492" customFormat="1" x14ac:dyDescent="0.25">
      <c r="A141" s="483" t="s">
        <v>335</v>
      </c>
      <c r="B141" s="483" t="s">
        <v>204</v>
      </c>
      <c r="C141" s="483" t="s">
        <v>210</v>
      </c>
      <c r="D141" s="483">
        <v>0.16350000000000001</v>
      </c>
      <c r="E141" s="483">
        <v>5.3249999999999999E-2</v>
      </c>
      <c r="F141" s="483">
        <v>1.4999999999999999E-2</v>
      </c>
      <c r="G141" s="483">
        <v>0.23475000000000001</v>
      </c>
      <c r="H141" s="483">
        <v>0.35125000000000001</v>
      </c>
      <c r="I141" s="493" t="e">
        <f>NA()</f>
        <v>#N/A</v>
      </c>
      <c r="W141" s="483"/>
    </row>
    <row r="142" spans="1:23" s="492" customFormat="1" x14ac:dyDescent="0.25">
      <c r="A142" s="483" t="s">
        <v>336</v>
      </c>
      <c r="B142" s="483" t="s">
        <v>204</v>
      </c>
      <c r="C142" s="483" t="s">
        <v>210</v>
      </c>
      <c r="D142" s="483">
        <v>0.16350000000000001</v>
      </c>
      <c r="E142" s="483">
        <v>5.3249999999999999E-2</v>
      </c>
      <c r="F142" s="483">
        <v>1.4999999999999999E-2</v>
      </c>
      <c r="G142" s="483">
        <v>0.23475000000000001</v>
      </c>
      <c r="H142" s="483">
        <v>0.35275000000000001</v>
      </c>
      <c r="I142" s="493" t="e">
        <f>NA()</f>
        <v>#N/A</v>
      </c>
      <c r="W142" s="483"/>
    </row>
    <row r="143" spans="1:23" s="492" customFormat="1" x14ac:dyDescent="0.25">
      <c r="A143" s="483" t="s">
        <v>337</v>
      </c>
      <c r="B143" s="483" t="s">
        <v>204</v>
      </c>
      <c r="C143" s="483" t="s">
        <v>210</v>
      </c>
      <c r="D143" s="483">
        <v>0.16350000000000001</v>
      </c>
      <c r="E143" s="483">
        <v>5.3249999999999999E-2</v>
      </c>
      <c r="F143" s="483">
        <v>1.4999999999999999E-2</v>
      </c>
      <c r="G143" s="483">
        <v>0.23475000000000001</v>
      </c>
      <c r="H143" s="483">
        <v>0.36075000000000002</v>
      </c>
      <c r="I143" s="493" t="e">
        <f>NA()</f>
        <v>#N/A</v>
      </c>
      <c r="W143" s="483"/>
    </row>
    <row r="144" spans="1:23" s="492" customFormat="1" x14ac:dyDescent="0.25">
      <c r="A144" s="483" t="s">
        <v>338</v>
      </c>
      <c r="B144" s="483" t="s">
        <v>204</v>
      </c>
      <c r="C144" s="483" t="s">
        <v>210</v>
      </c>
      <c r="D144" s="483">
        <v>0.16340852130325814</v>
      </c>
      <c r="E144" s="483">
        <v>5.338345864661654E-2</v>
      </c>
      <c r="F144" s="483">
        <v>2.180451127819549E-2</v>
      </c>
      <c r="G144" s="483">
        <v>0.23483709273182957</v>
      </c>
      <c r="H144" s="483">
        <v>0.31428571428571428</v>
      </c>
      <c r="I144" s="493" t="e">
        <f>NA()</f>
        <v>#N/A</v>
      </c>
      <c r="W144" s="483"/>
    </row>
    <row r="145" spans="1:23" s="492" customFormat="1" x14ac:dyDescent="0.25">
      <c r="A145" s="483" t="s">
        <v>339</v>
      </c>
      <c r="B145" s="483" t="s">
        <v>204</v>
      </c>
      <c r="C145" s="483" t="s">
        <v>210</v>
      </c>
      <c r="D145" s="483">
        <v>0.16350000000000001</v>
      </c>
      <c r="E145" s="483">
        <v>5.3249999999999999E-2</v>
      </c>
      <c r="F145" s="483">
        <v>2.1749999999999999E-2</v>
      </c>
      <c r="G145" s="483">
        <v>0.23475000000000001</v>
      </c>
      <c r="H145" s="483">
        <v>0.32550000000000001</v>
      </c>
      <c r="I145" s="493" t="e">
        <f>NA()</f>
        <v>#N/A</v>
      </c>
      <c r="W145" s="483"/>
    </row>
    <row r="146" spans="1:23" s="492" customFormat="1" x14ac:dyDescent="0.25">
      <c r="A146" s="483" t="s">
        <v>340</v>
      </c>
      <c r="B146" s="483" t="s">
        <v>204</v>
      </c>
      <c r="C146" s="483" t="s">
        <v>210</v>
      </c>
      <c r="D146" s="483">
        <v>0.16350000000000001</v>
      </c>
      <c r="E146" s="483">
        <v>5.3249999999999999E-2</v>
      </c>
      <c r="F146" s="483">
        <v>1.4999999999999999E-2</v>
      </c>
      <c r="G146" s="483">
        <v>0.23475000000000001</v>
      </c>
      <c r="H146" s="483">
        <v>0.50600000000000001</v>
      </c>
      <c r="I146" s="493" t="e">
        <f>NA()</f>
        <v>#N/A</v>
      </c>
      <c r="W146" s="483"/>
    </row>
    <row r="147" spans="1:23" s="492" customFormat="1" x14ac:dyDescent="0.25">
      <c r="A147" s="483" t="s">
        <v>341</v>
      </c>
      <c r="B147" s="483" t="s">
        <v>204</v>
      </c>
      <c r="C147" s="483" t="s">
        <v>210</v>
      </c>
      <c r="D147" s="483">
        <v>0.16347607052896726</v>
      </c>
      <c r="E147" s="483">
        <v>5.3400503778337528E-2</v>
      </c>
      <c r="F147" s="483">
        <v>2.7455919395465996E-2</v>
      </c>
      <c r="G147" s="483">
        <v>0.23476070528967252</v>
      </c>
      <c r="H147" s="483">
        <v>0.37934508816120904</v>
      </c>
      <c r="I147" s="493" t="e">
        <f>NA()</f>
        <v>#N/A</v>
      </c>
      <c r="W147" s="483"/>
    </row>
    <row r="148" spans="1:23" s="492" customFormat="1" x14ac:dyDescent="0.25">
      <c r="A148" s="483" t="s">
        <v>342</v>
      </c>
      <c r="B148" s="483" t="s">
        <v>204</v>
      </c>
      <c r="C148" s="483" t="s">
        <v>210</v>
      </c>
      <c r="D148" s="483">
        <v>0.16350000000000001</v>
      </c>
      <c r="E148" s="483">
        <v>5.3249999999999999E-2</v>
      </c>
      <c r="F148" s="483">
        <v>2.7500000000000004E-2</v>
      </c>
      <c r="G148" s="483">
        <v>0.23475000000000001</v>
      </c>
      <c r="H148" s="483">
        <v>0.36049999999999999</v>
      </c>
      <c r="I148" s="493" t="e">
        <f>NA()</f>
        <v>#N/A</v>
      </c>
      <c r="W148" s="483"/>
    </row>
    <row r="149" spans="1:23" s="492" customFormat="1" x14ac:dyDescent="0.25">
      <c r="A149" s="483" t="s">
        <v>343</v>
      </c>
      <c r="B149" s="483" t="s">
        <v>204</v>
      </c>
      <c r="C149" s="483" t="s">
        <v>210</v>
      </c>
      <c r="D149" s="483">
        <v>0.16350000000000001</v>
      </c>
      <c r="E149" s="483">
        <v>5.3249999999999999E-2</v>
      </c>
      <c r="F149" s="483">
        <v>3.2500000000000001E-2</v>
      </c>
      <c r="G149" s="483">
        <v>0.23475000000000001</v>
      </c>
      <c r="H149" s="483">
        <v>0.35199999999999998</v>
      </c>
      <c r="I149" s="493" t="e">
        <f>NA()</f>
        <v>#N/A</v>
      </c>
      <c r="W149" s="483"/>
    </row>
    <row r="150" spans="1:23" s="492" customFormat="1" x14ac:dyDescent="0.25">
      <c r="A150" s="483" t="s">
        <v>344</v>
      </c>
      <c r="B150" s="483" t="s">
        <v>204</v>
      </c>
      <c r="C150" s="483" t="s">
        <v>210</v>
      </c>
      <c r="D150" s="483">
        <v>0.16350000000000001</v>
      </c>
      <c r="E150" s="483">
        <v>5.3249999999999999E-2</v>
      </c>
      <c r="F150" s="483">
        <v>2.1749999999999999E-2</v>
      </c>
      <c r="G150" s="483">
        <v>0.23475000000000001</v>
      </c>
      <c r="H150" s="483">
        <v>0.40125</v>
      </c>
      <c r="I150" s="493" t="e">
        <f>NA()</f>
        <v>#N/A</v>
      </c>
      <c r="W150" s="483"/>
    </row>
    <row r="151" spans="1:23" s="492" customFormat="1" x14ac:dyDescent="0.25">
      <c r="A151" s="483" t="s">
        <v>345</v>
      </c>
      <c r="B151" s="483" t="s">
        <v>204</v>
      </c>
      <c r="C151" s="483" t="s">
        <v>210</v>
      </c>
      <c r="D151" s="483">
        <v>0.16336633663366337</v>
      </c>
      <c r="E151" s="483">
        <v>5.3217821782178217E-2</v>
      </c>
      <c r="F151" s="483">
        <v>1.5099009900990099E-2</v>
      </c>
      <c r="G151" s="483">
        <v>0.23490099009900992</v>
      </c>
      <c r="H151" s="483">
        <v>0.35123762376237622</v>
      </c>
      <c r="I151" s="493" t="e">
        <f>NA()</f>
        <v>#N/A</v>
      </c>
      <c r="W151" s="483"/>
    </row>
    <row r="152" spans="1:23" s="492" customFormat="1" x14ac:dyDescent="0.25">
      <c r="A152" s="483" t="s">
        <v>346</v>
      </c>
      <c r="B152" s="483" t="s">
        <v>204</v>
      </c>
      <c r="C152" s="483" t="s">
        <v>210</v>
      </c>
      <c r="D152" s="483">
        <v>0.16347607052896726</v>
      </c>
      <c r="E152" s="483">
        <v>5.3400503778337528E-2</v>
      </c>
      <c r="F152" s="483">
        <v>1.5113350125944582E-2</v>
      </c>
      <c r="G152" s="483">
        <v>0.23476070528967252</v>
      </c>
      <c r="H152" s="483">
        <v>0.36322418136020146</v>
      </c>
      <c r="I152" s="493" t="e">
        <f>NA()</f>
        <v>#N/A</v>
      </c>
      <c r="W152" s="483"/>
    </row>
    <row r="153" spans="1:23" s="492" customFormat="1" x14ac:dyDescent="0.25">
      <c r="A153" s="483" t="s">
        <v>347</v>
      </c>
      <c r="B153" s="483" t="s">
        <v>204</v>
      </c>
      <c r="C153" s="483" t="s">
        <v>210</v>
      </c>
      <c r="D153" s="483">
        <v>0.16350000000000001</v>
      </c>
      <c r="E153" s="483">
        <v>5.3249999999999999E-2</v>
      </c>
      <c r="F153" s="483">
        <v>1.4999999999999999E-2</v>
      </c>
      <c r="G153" s="483">
        <v>0.23475000000000001</v>
      </c>
      <c r="H153" s="483">
        <v>0.35525000000000001</v>
      </c>
      <c r="I153" s="493" t="e">
        <f>NA()</f>
        <v>#N/A</v>
      </c>
      <c r="W153" s="483"/>
    </row>
    <row r="154" spans="1:23" s="492" customFormat="1" x14ac:dyDescent="0.25">
      <c r="A154" s="483" t="s">
        <v>348</v>
      </c>
      <c r="B154" s="483" t="s">
        <v>204</v>
      </c>
      <c r="C154" s="483" t="s">
        <v>210</v>
      </c>
      <c r="D154" s="483">
        <v>0.16350000000000001</v>
      </c>
      <c r="E154" s="483">
        <v>5.3249999999999999E-2</v>
      </c>
      <c r="F154" s="483">
        <v>1.4999999999999999E-2</v>
      </c>
      <c r="G154" s="483">
        <v>0.23475000000000001</v>
      </c>
      <c r="H154" s="483">
        <v>0.36124999999999996</v>
      </c>
      <c r="I154" s="493" t="e">
        <f>NA()</f>
        <v>#N/A</v>
      </c>
      <c r="W154" s="483"/>
    </row>
    <row r="155" spans="1:23" s="492" customFormat="1" x14ac:dyDescent="0.25">
      <c r="A155" s="483" t="s">
        <v>349</v>
      </c>
      <c r="B155" s="483" t="s">
        <v>204</v>
      </c>
      <c r="C155" s="483" t="s">
        <v>210</v>
      </c>
      <c r="D155" s="483">
        <v>0.16350000000000001</v>
      </c>
      <c r="E155" s="483">
        <v>5.3249999999999999E-2</v>
      </c>
      <c r="F155" s="483">
        <v>1.4999999999999999E-2</v>
      </c>
      <c r="G155" s="483">
        <v>0.23475000000000001</v>
      </c>
      <c r="H155" s="483">
        <v>0.36675000000000002</v>
      </c>
      <c r="I155" s="493" t="e">
        <f>NA()</f>
        <v>#N/A</v>
      </c>
      <c r="W155" s="483"/>
    </row>
    <row r="156" spans="1:23" s="492" customFormat="1" x14ac:dyDescent="0.25">
      <c r="A156" s="483" t="s">
        <v>350</v>
      </c>
      <c r="B156" s="483" t="s">
        <v>204</v>
      </c>
      <c r="C156" s="483" t="s">
        <v>210</v>
      </c>
      <c r="D156" s="483">
        <v>0.16350000000000001</v>
      </c>
      <c r="E156" s="483">
        <v>5.3249999999999999E-2</v>
      </c>
      <c r="F156" s="483">
        <v>1.4999999999999999E-2</v>
      </c>
      <c r="G156" s="483">
        <v>0.23475000000000001</v>
      </c>
      <c r="H156" s="483">
        <v>0.36625000000000002</v>
      </c>
      <c r="I156" s="493" t="e">
        <f>NA()</f>
        <v>#N/A</v>
      </c>
      <c r="W156" s="483"/>
    </row>
    <row r="157" spans="1:23" s="492" customFormat="1" x14ac:dyDescent="0.25">
      <c r="A157" s="483" t="s">
        <v>351</v>
      </c>
      <c r="B157" s="483" t="s">
        <v>204</v>
      </c>
      <c r="C157" s="483" t="s">
        <v>210</v>
      </c>
      <c r="D157" s="483">
        <v>0.16350000000000001</v>
      </c>
      <c r="E157" s="483">
        <v>5.3249999999999999E-2</v>
      </c>
      <c r="F157" s="483">
        <v>1.4999999999999999E-2</v>
      </c>
      <c r="G157" s="483">
        <v>0.23475000000000001</v>
      </c>
      <c r="H157" s="483">
        <v>0.34900000000000003</v>
      </c>
      <c r="I157" s="493" t="e">
        <f>NA()</f>
        <v>#N/A</v>
      </c>
      <c r="W157" s="483"/>
    </row>
    <row r="158" spans="1:23" s="492" customFormat="1" x14ac:dyDescent="0.25">
      <c r="A158" s="483" t="s">
        <v>352</v>
      </c>
      <c r="B158" s="483" t="s">
        <v>204</v>
      </c>
      <c r="C158" s="483" t="s">
        <v>210</v>
      </c>
      <c r="D158" s="483">
        <v>0.16337349397590362</v>
      </c>
      <c r="E158" s="483">
        <v>5.3253012048192772E-2</v>
      </c>
      <c r="F158" s="483">
        <v>2.1927710843373496E-2</v>
      </c>
      <c r="G158" s="483">
        <v>0.2346987951807229</v>
      </c>
      <c r="H158" s="483">
        <v>0.29951807228915661</v>
      </c>
      <c r="I158" s="493" t="e">
        <f>NA()</f>
        <v>#N/A</v>
      </c>
      <c r="W158" s="483"/>
    </row>
    <row r="159" spans="1:23" s="492" customFormat="1" x14ac:dyDescent="0.25">
      <c r="A159" s="483" t="s">
        <v>353</v>
      </c>
      <c r="B159" s="483" t="s">
        <v>204</v>
      </c>
      <c r="C159" s="483" t="s">
        <v>210</v>
      </c>
      <c r="D159" s="483">
        <v>0.16348837209302325</v>
      </c>
      <c r="E159" s="483">
        <v>5.3255813953488371E-2</v>
      </c>
      <c r="F159" s="483">
        <v>1.5116279069767442E-2</v>
      </c>
      <c r="G159" s="483">
        <v>0.23488372093023255</v>
      </c>
      <c r="H159" s="483">
        <v>0.34093023255813953</v>
      </c>
      <c r="I159" s="493" t="e">
        <f>NA()</f>
        <v>#N/A</v>
      </c>
      <c r="W159" s="483"/>
    </row>
    <row r="160" spans="1:23" s="492" customFormat="1" x14ac:dyDescent="0.25">
      <c r="A160" s="483" t="s">
        <v>354</v>
      </c>
      <c r="B160" s="483" t="s">
        <v>141</v>
      </c>
      <c r="C160" s="483" t="s">
        <v>210</v>
      </c>
      <c r="D160" s="483">
        <v>0</v>
      </c>
      <c r="E160" s="483">
        <v>0</v>
      </c>
      <c r="F160" s="483">
        <v>4.0288924558587479E-2</v>
      </c>
      <c r="G160" s="483">
        <v>0.17576243980738362</v>
      </c>
      <c r="H160" s="483">
        <v>0</v>
      </c>
      <c r="I160" s="493" t="e">
        <f>NA()</f>
        <v>#N/A</v>
      </c>
      <c r="W160" s="483"/>
    </row>
    <row r="161" spans="1:23" s="492" customFormat="1" x14ac:dyDescent="0.25">
      <c r="A161" s="483" t="s">
        <v>355</v>
      </c>
      <c r="B161" s="483" t="s">
        <v>194</v>
      </c>
      <c r="C161" s="483" t="s">
        <v>210</v>
      </c>
      <c r="D161" s="483">
        <v>0</v>
      </c>
      <c r="E161" s="483">
        <v>0.12155054644808744</v>
      </c>
      <c r="F161" s="483">
        <v>0.25928961748633877</v>
      </c>
      <c r="G161" s="483">
        <v>0.52223360655737705</v>
      </c>
      <c r="H161" s="483">
        <v>1.9125683060109292E-3</v>
      </c>
      <c r="I161" s="493" t="e">
        <f>NA()</f>
        <v>#N/A</v>
      </c>
      <c r="W161" s="483"/>
    </row>
    <row r="162" spans="1:23" s="492" customFormat="1" x14ac:dyDescent="0.25">
      <c r="A162" s="494" t="s">
        <v>216</v>
      </c>
      <c r="B162" s="495" t="s">
        <v>149</v>
      </c>
      <c r="C162" s="495" t="s">
        <v>211</v>
      </c>
      <c r="D162" s="495">
        <v>0</v>
      </c>
      <c r="E162" s="495">
        <v>0.19033225633026074</v>
      </c>
      <c r="F162" s="495">
        <v>0.35454052821130411</v>
      </c>
      <c r="G162" s="495">
        <v>0.57333467575831509</v>
      </c>
      <c r="H162" s="495">
        <v>9.4567061509029618E-6</v>
      </c>
      <c r="I162" s="496">
        <v>1.5475000000000001</v>
      </c>
      <c r="J162" s="649" t="s">
        <v>555</v>
      </c>
      <c r="K162" s="650"/>
      <c r="L162" s="650"/>
      <c r="M162" s="650"/>
      <c r="N162" s="650"/>
      <c r="O162" s="650"/>
      <c r="P162" s="650"/>
      <c r="Q162" s="650"/>
      <c r="W162" s="483"/>
    </row>
    <row r="163" spans="1:23" s="492" customFormat="1" x14ac:dyDescent="0.25">
      <c r="A163" s="494" t="s">
        <v>217</v>
      </c>
      <c r="B163" s="495" t="s">
        <v>156</v>
      </c>
      <c r="C163" s="495" t="s">
        <v>211</v>
      </c>
      <c r="D163" s="495">
        <v>0</v>
      </c>
      <c r="E163" s="495">
        <v>0.12347058897115903</v>
      </c>
      <c r="F163" s="495">
        <v>0.2025884171362396</v>
      </c>
      <c r="G163" s="495">
        <v>0.44935234977468863</v>
      </c>
      <c r="H163" s="495">
        <v>1.5356545440389265E-6</v>
      </c>
      <c r="I163" s="496">
        <v>0.98</v>
      </c>
      <c r="J163" s="650"/>
      <c r="K163" s="650"/>
      <c r="L163" s="650"/>
      <c r="M163" s="650"/>
      <c r="N163" s="650"/>
      <c r="O163" s="650"/>
      <c r="P163" s="650"/>
      <c r="Q163" s="650"/>
      <c r="W163" s="483"/>
    </row>
    <row r="164" spans="1:23" s="492" customFormat="1" x14ac:dyDescent="0.25">
      <c r="A164" s="494" t="s">
        <v>218</v>
      </c>
      <c r="B164" s="495" t="s">
        <v>156</v>
      </c>
      <c r="C164" s="495" t="s">
        <v>211</v>
      </c>
      <c r="D164" s="495">
        <v>0</v>
      </c>
      <c r="E164" s="495">
        <v>0.25341933135083711</v>
      </c>
      <c r="F164" s="495">
        <v>0.14004328927645152</v>
      </c>
      <c r="G164" s="495">
        <v>0.4567867178720883</v>
      </c>
      <c r="H164" s="495">
        <v>3.3626279545452663E-5</v>
      </c>
      <c r="I164" s="496">
        <v>0.98</v>
      </c>
      <c r="J164" s="650"/>
      <c r="K164" s="650"/>
      <c r="L164" s="650"/>
      <c r="M164" s="650"/>
      <c r="N164" s="650"/>
      <c r="O164" s="650"/>
      <c r="P164" s="650"/>
      <c r="Q164" s="650"/>
      <c r="W164" s="483"/>
    </row>
    <row r="165" spans="1:23" s="492" customFormat="1" x14ac:dyDescent="0.25">
      <c r="A165" s="494" t="s">
        <v>219</v>
      </c>
      <c r="B165" s="495" t="s">
        <v>156</v>
      </c>
      <c r="C165" s="495" t="s">
        <v>211</v>
      </c>
      <c r="D165" s="495">
        <v>0</v>
      </c>
      <c r="E165" s="495">
        <v>1.7722833977815156E-2</v>
      </c>
      <c r="F165" s="495">
        <v>0.10889699387902668</v>
      </c>
      <c r="G165" s="495">
        <v>0.30535998713602935</v>
      </c>
      <c r="H165" s="495">
        <v>0</v>
      </c>
      <c r="I165" s="496">
        <v>0.98</v>
      </c>
      <c r="J165" s="650"/>
      <c r="K165" s="650"/>
      <c r="L165" s="650"/>
      <c r="M165" s="650"/>
      <c r="N165" s="650"/>
      <c r="O165" s="650"/>
      <c r="P165" s="650"/>
      <c r="Q165" s="650"/>
      <c r="W165" s="483"/>
    </row>
    <row r="166" spans="1:23" s="492" customFormat="1" x14ac:dyDescent="0.25">
      <c r="A166" s="494" t="s">
        <v>220</v>
      </c>
      <c r="B166" s="495" t="s">
        <v>141</v>
      </c>
      <c r="C166" s="495" t="s">
        <v>211</v>
      </c>
      <c r="D166" s="495">
        <v>0</v>
      </c>
      <c r="E166" s="495">
        <v>0</v>
      </c>
      <c r="F166" s="495">
        <v>0</v>
      </c>
      <c r="G166" s="495">
        <v>2.8680771251151288E-2</v>
      </c>
      <c r="H166" s="495">
        <v>0</v>
      </c>
      <c r="I166" s="496">
        <v>0</v>
      </c>
      <c r="J166" s="650"/>
      <c r="K166" s="650"/>
      <c r="L166" s="650"/>
      <c r="M166" s="650"/>
      <c r="N166" s="650"/>
      <c r="O166" s="650"/>
      <c r="P166" s="650"/>
      <c r="Q166" s="650"/>
      <c r="W166" s="483"/>
    </row>
    <row r="167" spans="1:23" s="492" customFormat="1" x14ac:dyDescent="0.25">
      <c r="A167" s="494" t="s">
        <v>222</v>
      </c>
      <c r="B167" s="495" t="s">
        <v>149</v>
      </c>
      <c r="C167" s="495" t="s">
        <v>211</v>
      </c>
      <c r="D167" s="495">
        <v>0</v>
      </c>
      <c r="E167" s="495">
        <v>6.0566669976603663E-2</v>
      </c>
      <c r="F167" s="495">
        <v>9.8272585517079458E-2</v>
      </c>
      <c r="G167" s="495">
        <v>0.41548020754856335</v>
      </c>
      <c r="H167" s="495">
        <v>2.3538079481049279E-5</v>
      </c>
      <c r="I167" s="496">
        <v>1.07</v>
      </c>
      <c r="J167" s="650"/>
      <c r="K167" s="650"/>
      <c r="L167" s="650"/>
      <c r="M167" s="650"/>
      <c r="N167" s="650"/>
      <c r="O167" s="650"/>
      <c r="P167" s="650"/>
      <c r="Q167" s="650"/>
      <c r="W167" s="483"/>
    </row>
    <row r="168" spans="1:23" s="492" customFormat="1" x14ac:dyDescent="0.25">
      <c r="A168" s="494" t="s">
        <v>226</v>
      </c>
      <c r="B168" s="495" t="s">
        <v>156</v>
      </c>
      <c r="C168" s="495" t="s">
        <v>211</v>
      </c>
      <c r="D168" s="495">
        <v>0</v>
      </c>
      <c r="E168" s="495">
        <v>3.1573454916359999E-3</v>
      </c>
      <c r="F168" s="495">
        <v>2.9316816491203233E-2</v>
      </c>
      <c r="G168" s="495">
        <v>0.18867580569849907</v>
      </c>
      <c r="H168" s="495">
        <v>3.9634540783578566E-3</v>
      </c>
      <c r="I168" s="496">
        <v>0.98</v>
      </c>
      <c r="J168" s="650"/>
      <c r="K168" s="650"/>
      <c r="L168" s="650"/>
      <c r="M168" s="650"/>
      <c r="N168" s="650"/>
      <c r="O168" s="650"/>
      <c r="P168" s="650"/>
      <c r="Q168" s="650"/>
      <c r="W168" s="483"/>
    </row>
    <row r="169" spans="1:23" s="492" customFormat="1" x14ac:dyDescent="0.25">
      <c r="A169" s="497" t="s">
        <v>224</v>
      </c>
      <c r="B169" s="495" t="s">
        <v>190</v>
      </c>
      <c r="C169" s="495" t="s">
        <v>211</v>
      </c>
      <c r="D169" s="495">
        <v>0</v>
      </c>
      <c r="E169" s="495">
        <v>0.54710490851898941</v>
      </c>
      <c r="F169" s="495">
        <v>0.23964943052747797</v>
      </c>
      <c r="G169" s="495">
        <v>0.37890942622825408</v>
      </c>
      <c r="H169" s="495">
        <v>7.4933146926309587E-3</v>
      </c>
      <c r="I169" s="496">
        <v>3.9275000000000002</v>
      </c>
      <c r="J169" s="650"/>
      <c r="K169" s="650"/>
      <c r="L169" s="650"/>
      <c r="M169" s="650"/>
      <c r="N169" s="650"/>
      <c r="O169" s="650"/>
      <c r="P169" s="650"/>
      <c r="Q169" s="650"/>
      <c r="W169" s="483"/>
    </row>
    <row r="170" spans="1:23" s="492" customFormat="1" x14ac:dyDescent="0.25">
      <c r="A170" s="497" t="s">
        <v>225</v>
      </c>
      <c r="B170" s="495" t="s">
        <v>190</v>
      </c>
      <c r="C170" s="495" t="s">
        <v>211</v>
      </c>
      <c r="D170" s="495">
        <v>0</v>
      </c>
      <c r="E170" s="495">
        <v>0.54710490851898941</v>
      </c>
      <c r="F170" s="495">
        <v>0.23964943052747797</v>
      </c>
      <c r="G170" s="495">
        <v>0.37890942622825408</v>
      </c>
      <c r="H170" s="495">
        <v>7.4933146926309587E-3</v>
      </c>
      <c r="I170" s="496">
        <v>3.9275000000000002</v>
      </c>
      <c r="J170" s="650"/>
      <c r="K170" s="650"/>
      <c r="L170" s="650"/>
      <c r="M170" s="650"/>
      <c r="N170" s="650"/>
      <c r="O170" s="650"/>
      <c r="P170" s="650"/>
      <c r="Q170" s="650"/>
      <c r="W170" s="483"/>
    </row>
    <row r="171" spans="1:23" s="492" customFormat="1" x14ac:dyDescent="0.25">
      <c r="A171" s="494" t="s">
        <v>230</v>
      </c>
      <c r="B171" s="495" t="s">
        <v>156</v>
      </c>
      <c r="C171" s="495" t="s">
        <v>211</v>
      </c>
      <c r="D171" s="495">
        <v>0</v>
      </c>
      <c r="E171" s="495">
        <v>0.22155016458417978</v>
      </c>
      <c r="F171" s="495">
        <v>0.18368286991931856</v>
      </c>
      <c r="G171" s="495">
        <v>0.57782274168307945</v>
      </c>
      <c r="H171" s="495">
        <v>0</v>
      </c>
      <c r="I171" s="496">
        <v>0.98</v>
      </c>
      <c r="J171" s="650"/>
      <c r="K171" s="650"/>
      <c r="L171" s="650"/>
      <c r="M171" s="650"/>
      <c r="N171" s="650"/>
      <c r="O171" s="650"/>
      <c r="P171" s="650"/>
      <c r="Q171" s="650"/>
      <c r="W171" s="483"/>
    </row>
    <row r="172" spans="1:23" s="492" customFormat="1" x14ac:dyDescent="0.25">
      <c r="A172" s="494" t="s">
        <v>231</v>
      </c>
      <c r="B172" s="495" t="s">
        <v>162</v>
      </c>
      <c r="C172" s="495" t="s">
        <v>211</v>
      </c>
      <c r="D172" s="495">
        <v>0</v>
      </c>
      <c r="E172" s="495">
        <v>0.52499029068965686</v>
      </c>
      <c r="F172" s="495">
        <v>0.24903484866613099</v>
      </c>
      <c r="G172" s="495">
        <v>0.54357983562975276</v>
      </c>
      <c r="H172" s="495">
        <v>1.409108259904528E-4</v>
      </c>
      <c r="I172" s="496">
        <v>4.0674999999999999</v>
      </c>
      <c r="J172" s="650"/>
      <c r="K172" s="650"/>
      <c r="L172" s="650"/>
      <c r="M172" s="650"/>
      <c r="N172" s="650"/>
      <c r="O172" s="650"/>
      <c r="P172" s="650"/>
      <c r="Q172" s="650"/>
      <c r="W172" s="483"/>
    </row>
    <row r="173" spans="1:23" s="492" customFormat="1" x14ac:dyDescent="0.25">
      <c r="A173" s="494" t="s">
        <v>232</v>
      </c>
      <c r="B173" s="495" t="s">
        <v>162</v>
      </c>
      <c r="C173" s="495" t="s">
        <v>211</v>
      </c>
      <c r="D173" s="495">
        <v>0</v>
      </c>
      <c r="E173" s="495">
        <v>0.48845245147561922</v>
      </c>
      <c r="F173" s="495">
        <v>0.22657278487890622</v>
      </c>
      <c r="G173" s="495">
        <v>0.40288395656034637</v>
      </c>
      <c r="H173" s="495">
        <v>4.4054213439547244E-4</v>
      </c>
      <c r="I173" s="496">
        <v>4.0674999999999999</v>
      </c>
      <c r="J173" s="650"/>
      <c r="K173" s="650"/>
      <c r="L173" s="650"/>
      <c r="M173" s="650"/>
      <c r="N173" s="650"/>
      <c r="O173" s="650"/>
      <c r="P173" s="650"/>
      <c r="Q173" s="650"/>
      <c r="W173" s="483"/>
    </row>
    <row r="174" spans="1:23" s="492" customFormat="1" x14ac:dyDescent="0.25">
      <c r="A174" s="494" t="s">
        <v>233</v>
      </c>
      <c r="B174" s="495" t="s">
        <v>156</v>
      </c>
      <c r="C174" s="495" t="s">
        <v>211</v>
      </c>
      <c r="D174" s="495">
        <v>0</v>
      </c>
      <c r="E174" s="495">
        <v>0.26633628008801086</v>
      </c>
      <c r="F174" s="495">
        <v>8.9231120421135193E-2</v>
      </c>
      <c r="G174" s="495">
        <v>0.46826037249771979</v>
      </c>
      <c r="H174" s="495">
        <v>0</v>
      </c>
      <c r="I174" s="496">
        <v>0.98</v>
      </c>
      <c r="J174" s="650"/>
      <c r="K174" s="650"/>
      <c r="L174" s="650"/>
      <c r="M174" s="650"/>
      <c r="N174" s="650"/>
      <c r="O174" s="650"/>
      <c r="P174" s="650"/>
      <c r="Q174" s="650"/>
      <c r="W174" s="483"/>
    </row>
    <row r="175" spans="1:23" s="492" customFormat="1" x14ac:dyDescent="0.25">
      <c r="A175" s="494" t="s">
        <v>244</v>
      </c>
      <c r="B175" s="495" t="s">
        <v>156</v>
      </c>
      <c r="C175" s="495" t="s">
        <v>211</v>
      </c>
      <c r="D175" s="495">
        <v>0</v>
      </c>
      <c r="E175" s="495">
        <v>1.8261496261947712E-2</v>
      </c>
      <c r="F175" s="495">
        <v>1.2996668250339252E-2</v>
      </c>
      <c r="G175" s="495">
        <v>0.19203230929588916</v>
      </c>
      <c r="H175" s="495">
        <v>0</v>
      </c>
      <c r="I175" s="496">
        <v>0.98</v>
      </c>
      <c r="J175" s="650"/>
      <c r="K175" s="650"/>
      <c r="L175" s="650"/>
      <c r="M175" s="650"/>
      <c r="N175" s="650"/>
      <c r="O175" s="650"/>
      <c r="P175" s="650"/>
      <c r="Q175" s="650"/>
      <c r="W175" s="483"/>
    </row>
    <row r="176" spans="1:23" s="492" customFormat="1" x14ac:dyDescent="0.25">
      <c r="A176" s="494" t="s">
        <v>247</v>
      </c>
      <c r="B176" s="495" t="s">
        <v>194</v>
      </c>
      <c r="C176" s="495" t="s">
        <v>211</v>
      </c>
      <c r="D176" s="495">
        <v>0</v>
      </c>
      <c r="E176" s="495">
        <v>3.0433949782714437E-2</v>
      </c>
      <c r="F176" s="495">
        <v>0.13871622754137103</v>
      </c>
      <c r="G176" s="495">
        <v>0.28501382430717948</v>
      </c>
      <c r="H176" s="495">
        <v>0</v>
      </c>
      <c r="I176" s="496">
        <v>4.3599999999999994</v>
      </c>
      <c r="J176" s="650"/>
      <c r="K176" s="650"/>
      <c r="L176" s="650"/>
      <c r="M176" s="650"/>
      <c r="N176" s="650"/>
      <c r="O176" s="650"/>
      <c r="P176" s="650"/>
      <c r="Q176" s="650"/>
      <c r="W176" s="483"/>
    </row>
    <row r="177" spans="1:23" s="492" customFormat="1" x14ac:dyDescent="0.25">
      <c r="A177" s="494" t="s">
        <v>256</v>
      </c>
      <c r="B177" s="495" t="s">
        <v>156</v>
      </c>
      <c r="C177" s="495" t="s">
        <v>211</v>
      </c>
      <c r="D177" s="495">
        <v>0</v>
      </c>
      <c r="E177" s="495">
        <v>1.0657107134339599E-2</v>
      </c>
      <c r="F177" s="495">
        <v>0</v>
      </c>
      <c r="G177" s="495">
        <v>0.16245438644773319</v>
      </c>
      <c r="H177" s="495">
        <v>0</v>
      </c>
      <c r="I177" s="496">
        <v>0.98</v>
      </c>
      <c r="K177" s="483"/>
      <c r="L177" s="495"/>
      <c r="M177" s="495"/>
      <c r="W177" s="483"/>
    </row>
    <row r="178" spans="1:23" s="492" customFormat="1" x14ac:dyDescent="0.25">
      <c r="A178" s="494" t="s">
        <v>258</v>
      </c>
      <c r="B178" s="495" t="s">
        <v>190</v>
      </c>
      <c r="C178" s="495" t="s">
        <v>211</v>
      </c>
      <c r="D178" s="495">
        <v>0</v>
      </c>
      <c r="E178" s="495">
        <v>0.26892754502233107</v>
      </c>
      <c r="F178" s="495">
        <v>0.43623361162404933</v>
      </c>
      <c r="G178" s="495">
        <v>0.60190152645020767</v>
      </c>
      <c r="H178" s="495">
        <v>4.6115395729183652E-4</v>
      </c>
      <c r="I178" s="496">
        <v>3.9275000000000002</v>
      </c>
      <c r="K178" s="483"/>
      <c r="L178" s="495"/>
      <c r="M178" s="495"/>
      <c r="W178" s="483"/>
    </row>
    <row r="179" spans="1:23" s="492" customFormat="1" x14ac:dyDescent="0.25">
      <c r="A179" s="494" t="s">
        <v>259</v>
      </c>
      <c r="B179" s="495" t="s">
        <v>190</v>
      </c>
      <c r="C179" s="495" t="s">
        <v>211</v>
      </c>
      <c r="D179" s="495">
        <v>0</v>
      </c>
      <c r="E179" s="495">
        <v>0.30608533229200491</v>
      </c>
      <c r="F179" s="495">
        <v>0.41117301236614612</v>
      </c>
      <c r="G179" s="495">
        <v>0.54295054684716015</v>
      </c>
      <c r="H179" s="495">
        <v>2.7297156609814703E-3</v>
      </c>
      <c r="I179" s="496">
        <v>3.9275000000000002</v>
      </c>
      <c r="K179" s="483"/>
      <c r="L179" s="495"/>
      <c r="M179" s="495"/>
      <c r="W179" s="483"/>
    </row>
    <row r="180" spans="1:23" s="492" customFormat="1" x14ac:dyDescent="0.25">
      <c r="A180" s="494" t="s">
        <v>265</v>
      </c>
      <c r="B180" s="495" t="s">
        <v>194</v>
      </c>
      <c r="C180" s="495" t="s">
        <v>211</v>
      </c>
      <c r="D180" s="495">
        <v>0</v>
      </c>
      <c r="E180" s="495">
        <v>0.58798747718506816</v>
      </c>
      <c r="F180" s="495">
        <v>7.3501832031808434E-2</v>
      </c>
      <c r="G180" s="495">
        <v>0.30122057297965826</v>
      </c>
      <c r="H180" s="495">
        <v>0</v>
      </c>
      <c r="I180" s="496">
        <v>4.8374999999999995</v>
      </c>
      <c r="K180" s="483"/>
      <c r="L180" s="495"/>
      <c r="M180" s="495"/>
      <c r="W180" s="483"/>
    </row>
    <row r="181" spans="1:23" s="492" customFormat="1" x14ac:dyDescent="0.25">
      <c r="A181" s="494" t="s">
        <v>266</v>
      </c>
      <c r="B181" s="495" t="s">
        <v>194</v>
      </c>
      <c r="C181" s="495" t="s">
        <v>211</v>
      </c>
      <c r="D181" s="495">
        <v>0</v>
      </c>
      <c r="E181" s="495">
        <v>0.21259679929196829</v>
      </c>
      <c r="F181" s="495">
        <v>0.21140234516495471</v>
      </c>
      <c r="G181" s="495">
        <v>0.5436963697119237</v>
      </c>
      <c r="H181" s="495">
        <v>1.5985626027693395E-2</v>
      </c>
      <c r="I181" s="496">
        <v>4.8374999999999995</v>
      </c>
      <c r="K181" s="483"/>
      <c r="L181" s="495"/>
      <c r="M181" s="495"/>
      <c r="W181" s="483"/>
    </row>
    <row r="182" spans="1:23" s="492" customFormat="1" x14ac:dyDescent="0.25">
      <c r="A182" s="494" t="s">
        <v>270</v>
      </c>
      <c r="B182" s="495" t="s">
        <v>194</v>
      </c>
      <c r="C182" s="495" t="s">
        <v>211</v>
      </c>
      <c r="D182" s="495">
        <v>0</v>
      </c>
      <c r="E182" s="495">
        <v>0.66577404794350903</v>
      </c>
      <c r="F182" s="495">
        <v>8.2649195404882608E-2</v>
      </c>
      <c r="G182" s="495">
        <v>0.38976980311980147</v>
      </c>
      <c r="H182" s="495">
        <v>1.1511074920305777E-3</v>
      </c>
      <c r="I182" s="496">
        <v>4.8374999999999995</v>
      </c>
      <c r="K182" s="483"/>
      <c r="L182" s="495"/>
      <c r="M182" s="495"/>
      <c r="W182" s="483"/>
    </row>
    <row r="183" spans="1:23" s="492" customFormat="1" x14ac:dyDescent="0.25">
      <c r="A183" s="494" t="s">
        <v>277</v>
      </c>
      <c r="B183" s="495" t="s">
        <v>194</v>
      </c>
      <c r="C183" s="495" t="s">
        <v>211</v>
      </c>
      <c r="D183" s="495">
        <v>0</v>
      </c>
      <c r="E183" s="495">
        <v>0.21697225607815962</v>
      </c>
      <c r="F183" s="495">
        <v>0.13520166179601226</v>
      </c>
      <c r="G183" s="495">
        <v>0.49462569508074405</v>
      </c>
      <c r="H183" s="495">
        <v>9.8888210227621783E-4</v>
      </c>
      <c r="I183" s="496">
        <v>4.8374999999999995</v>
      </c>
      <c r="K183" s="483"/>
      <c r="L183" s="495"/>
      <c r="M183" s="495"/>
      <c r="W183" s="483"/>
    </row>
    <row r="184" spans="1:23" s="492" customFormat="1" x14ac:dyDescent="0.25">
      <c r="A184" s="494" t="s">
        <v>282</v>
      </c>
      <c r="B184" s="495" t="s">
        <v>168</v>
      </c>
      <c r="C184" s="495" t="s">
        <v>211</v>
      </c>
      <c r="D184" s="495">
        <v>0</v>
      </c>
      <c r="E184" s="495">
        <v>1.3333333333333334E-2</v>
      </c>
      <c r="F184" s="495">
        <v>7.8131585842451876E-2</v>
      </c>
      <c r="G184" s="495">
        <v>0.2608879069638913</v>
      </c>
      <c r="H184" s="495">
        <v>5.4073625082268911E-4</v>
      </c>
      <c r="I184" s="496">
        <v>0</v>
      </c>
      <c r="K184" s="483"/>
      <c r="L184" s="495"/>
      <c r="M184" s="495"/>
      <c r="W184" s="483"/>
    </row>
    <row r="185" spans="1:23" s="492" customFormat="1" x14ac:dyDescent="0.25">
      <c r="A185" s="494" t="s">
        <v>294</v>
      </c>
      <c r="B185" s="495" t="s">
        <v>190</v>
      </c>
      <c r="C185" s="495" t="s">
        <v>211</v>
      </c>
      <c r="D185" s="495">
        <v>0.25623790594558404</v>
      </c>
      <c r="E185" s="495">
        <v>0.12352982042913538</v>
      </c>
      <c r="F185" s="495">
        <v>0.21793222316945987</v>
      </c>
      <c r="G185" s="495">
        <v>0.37231767594101101</v>
      </c>
      <c r="H185" s="495">
        <v>1.661174476170213E-2</v>
      </c>
      <c r="I185" s="496">
        <v>3.9275000000000002</v>
      </c>
      <c r="K185" s="483"/>
      <c r="L185" s="495"/>
      <c r="M185" s="495"/>
      <c r="W185" s="483"/>
    </row>
    <row r="186" spans="1:23" s="492" customFormat="1" x14ac:dyDescent="0.25">
      <c r="A186" s="494" t="s">
        <v>295</v>
      </c>
      <c r="B186" s="495" t="s">
        <v>194</v>
      </c>
      <c r="C186" s="495" t="s">
        <v>211</v>
      </c>
      <c r="D186" s="495">
        <v>0.3072719469000792</v>
      </c>
      <c r="E186" s="495">
        <v>0.21172494337484432</v>
      </c>
      <c r="F186" s="495">
        <v>0.27806274130227693</v>
      </c>
      <c r="G186" s="495">
        <v>0.43337399301630697</v>
      </c>
      <c r="H186" s="495">
        <v>3.1523409983521163E-2</v>
      </c>
      <c r="I186" s="496">
        <v>4.8374999999999995</v>
      </c>
      <c r="K186" s="483"/>
      <c r="L186" s="495"/>
      <c r="M186" s="495"/>
      <c r="W186" s="483"/>
    </row>
    <row r="187" spans="1:23" s="492" customFormat="1" x14ac:dyDescent="0.25">
      <c r="A187" s="483" t="s">
        <v>355</v>
      </c>
      <c r="B187" s="495" t="s">
        <v>149</v>
      </c>
      <c r="C187" s="495" t="s">
        <v>211</v>
      </c>
      <c r="D187" s="495">
        <v>0</v>
      </c>
      <c r="E187" s="495">
        <v>9.3123168129999045E-2</v>
      </c>
      <c r="F187" s="495">
        <v>0.25076633684560368</v>
      </c>
      <c r="G187" s="495">
        <v>0.48156651718762372</v>
      </c>
      <c r="H187" s="495">
        <v>1.9060144917171428E-3</v>
      </c>
      <c r="I187" s="496">
        <v>1.07</v>
      </c>
      <c r="K187" s="483"/>
      <c r="L187" s="495"/>
      <c r="M187" s="495"/>
      <c r="W187" s="483"/>
    </row>
    <row r="188" spans="1:23" s="492" customFormat="1" x14ac:dyDescent="0.25">
      <c r="A188" s="483" t="s">
        <v>358</v>
      </c>
      <c r="B188" s="483" t="s">
        <v>149</v>
      </c>
      <c r="C188" s="400" t="s">
        <v>129</v>
      </c>
      <c r="D188" s="483">
        <v>0</v>
      </c>
      <c r="E188" s="483">
        <v>1.8076642335766422E-2</v>
      </c>
      <c r="F188" s="483">
        <v>0.37029084619387004</v>
      </c>
      <c r="G188" s="483">
        <v>0.29215017674351029</v>
      </c>
      <c r="H188" s="483">
        <v>0</v>
      </c>
      <c r="I188" s="483">
        <v>1.07</v>
      </c>
      <c r="L188" s="483"/>
      <c r="M188" s="483"/>
      <c r="N188" s="400"/>
      <c r="W188" s="483"/>
    </row>
    <row r="189" spans="1:23" s="492" customFormat="1" x14ac:dyDescent="0.25">
      <c r="A189" s="483" t="s">
        <v>369</v>
      </c>
      <c r="B189" s="483" t="s">
        <v>152</v>
      </c>
      <c r="C189" s="400" t="s">
        <v>129</v>
      </c>
      <c r="D189" s="483">
        <v>0</v>
      </c>
      <c r="E189" s="483">
        <v>2.0833333333333337E-3</v>
      </c>
      <c r="F189" s="483">
        <v>0</v>
      </c>
      <c r="G189" s="483">
        <v>3.8890872965260122E-2</v>
      </c>
      <c r="H189" s="483">
        <v>0</v>
      </c>
      <c r="I189" s="483">
        <v>0</v>
      </c>
      <c r="L189" s="483"/>
      <c r="M189" s="483"/>
      <c r="N189" s="400"/>
      <c r="W189" s="483"/>
    </row>
    <row r="190" spans="1:23" s="492" customFormat="1" x14ac:dyDescent="0.25">
      <c r="A190" s="496" t="s">
        <v>223</v>
      </c>
      <c r="B190" s="483" t="s">
        <v>200</v>
      </c>
      <c r="C190" s="400" t="s">
        <v>129</v>
      </c>
      <c r="D190" s="483">
        <v>0</v>
      </c>
      <c r="E190" s="483">
        <v>2.0833333333333337E-3</v>
      </c>
      <c r="F190" s="483">
        <v>0</v>
      </c>
      <c r="G190" s="483">
        <v>3.8890872965260122E-2</v>
      </c>
      <c r="H190" s="483">
        <v>0</v>
      </c>
      <c r="I190" s="483">
        <v>0</v>
      </c>
      <c r="L190" s="496"/>
      <c r="M190" s="483"/>
      <c r="N190" s="400"/>
      <c r="W190" s="483"/>
    </row>
    <row r="191" spans="1:23" s="492" customFormat="1" x14ac:dyDescent="0.25">
      <c r="A191" s="483" t="s">
        <v>359</v>
      </c>
      <c r="B191" s="483" t="s">
        <v>152</v>
      </c>
      <c r="C191" s="400" t="s">
        <v>129</v>
      </c>
      <c r="D191" s="483">
        <v>0</v>
      </c>
      <c r="E191" s="483">
        <v>2.0833333333333337E-3</v>
      </c>
      <c r="F191" s="483">
        <v>0</v>
      </c>
      <c r="G191" s="483">
        <v>3.8890872965260122E-2</v>
      </c>
      <c r="H191" s="483">
        <v>0</v>
      </c>
      <c r="I191" s="483">
        <v>0</v>
      </c>
      <c r="L191" s="483"/>
      <c r="M191" s="483"/>
      <c r="N191" s="400"/>
      <c r="W191" s="483"/>
    </row>
    <row r="192" spans="1:23" s="492" customFormat="1" x14ac:dyDescent="0.25">
      <c r="A192" s="496" t="s">
        <v>238</v>
      </c>
      <c r="B192" s="483" t="s">
        <v>159</v>
      </c>
      <c r="C192" s="400" t="s">
        <v>129</v>
      </c>
      <c r="D192" s="483">
        <v>0.61348618826838841</v>
      </c>
      <c r="E192" s="483">
        <v>0.48103107344632767</v>
      </c>
      <c r="F192" s="483">
        <v>0.13134096949018609</v>
      </c>
      <c r="G192" s="483">
        <v>0.45312030676698506</v>
      </c>
      <c r="H192" s="483">
        <v>4.0482220064367011E-2</v>
      </c>
      <c r="I192" s="483">
        <v>2.6755028248587571</v>
      </c>
      <c r="L192" s="496"/>
      <c r="M192" s="483"/>
      <c r="N192" s="400"/>
      <c r="W192" s="483"/>
    </row>
    <row r="193" spans="1:23" s="492" customFormat="1" x14ac:dyDescent="0.25">
      <c r="A193" s="496" t="s">
        <v>239</v>
      </c>
      <c r="B193" s="483" t="s">
        <v>152</v>
      </c>
      <c r="C193" s="400" t="s">
        <v>129</v>
      </c>
      <c r="D193" s="483">
        <v>0</v>
      </c>
      <c r="E193" s="483">
        <v>2.2500000000000003E-3</v>
      </c>
      <c r="F193" s="483">
        <v>0</v>
      </c>
      <c r="G193" s="483">
        <v>8.6962635654630444E-2</v>
      </c>
      <c r="H193" s="483">
        <v>0</v>
      </c>
      <c r="I193" s="483">
        <v>0</v>
      </c>
      <c r="L193" s="496"/>
      <c r="M193" s="483"/>
      <c r="N193" s="400"/>
      <c r="W193" s="483"/>
    </row>
    <row r="194" spans="1:23" s="492" customFormat="1" x14ac:dyDescent="0.25">
      <c r="A194" s="496" t="s">
        <v>240</v>
      </c>
      <c r="B194" s="483" t="s">
        <v>190</v>
      </c>
      <c r="C194" s="400" t="s">
        <v>129</v>
      </c>
      <c r="D194" s="483">
        <v>0</v>
      </c>
      <c r="E194" s="483">
        <v>0.22988051948051949</v>
      </c>
      <c r="F194" s="483">
        <v>0.44433434483691059</v>
      </c>
      <c r="G194" s="483">
        <v>0.70522171147637136</v>
      </c>
      <c r="H194" s="483">
        <v>0</v>
      </c>
      <c r="I194" s="483">
        <v>2.9247662337662339</v>
      </c>
      <c r="L194" s="496"/>
      <c r="M194" s="483"/>
      <c r="N194" s="400"/>
      <c r="W194" s="483"/>
    </row>
    <row r="195" spans="1:23" s="492" customFormat="1" x14ac:dyDescent="0.25">
      <c r="A195" s="483" t="s">
        <v>361</v>
      </c>
      <c r="B195" s="483" t="s">
        <v>152</v>
      </c>
      <c r="C195" s="400" t="s">
        <v>129</v>
      </c>
      <c r="D195" s="483">
        <v>0</v>
      </c>
      <c r="E195" s="483">
        <v>2.0833333333333337E-3</v>
      </c>
      <c r="F195" s="483">
        <v>0</v>
      </c>
      <c r="G195" s="483">
        <v>3.8890872965260122E-2</v>
      </c>
      <c r="H195" s="483">
        <v>0</v>
      </c>
      <c r="I195" s="483">
        <v>0</v>
      </c>
      <c r="L195" s="483"/>
      <c r="M195" s="483"/>
      <c r="N195" s="400"/>
      <c r="W195" s="483"/>
    </row>
    <row r="196" spans="1:23" s="492" customFormat="1" x14ac:dyDescent="0.25">
      <c r="A196" s="483" t="s">
        <v>370</v>
      </c>
      <c r="B196" s="483" t="s">
        <v>152</v>
      </c>
      <c r="C196" s="400" t="s">
        <v>129</v>
      </c>
      <c r="D196" s="483">
        <v>0</v>
      </c>
      <c r="E196" s="483">
        <v>2.0833333333333337E-3</v>
      </c>
      <c r="F196" s="483">
        <v>0</v>
      </c>
      <c r="G196" s="483">
        <v>3.8890872965260122E-2</v>
      </c>
      <c r="H196" s="483">
        <v>0</v>
      </c>
      <c r="I196" s="483">
        <v>0</v>
      </c>
      <c r="L196" s="483"/>
      <c r="M196" s="483"/>
      <c r="N196" s="400"/>
      <c r="W196" s="483"/>
    </row>
    <row r="197" spans="1:23" s="492" customFormat="1" x14ac:dyDescent="0.25">
      <c r="A197" s="496" t="s">
        <v>371</v>
      </c>
      <c r="B197" s="483" t="s">
        <v>152</v>
      </c>
      <c r="C197" s="400" t="s">
        <v>129</v>
      </c>
      <c r="D197" s="483">
        <v>0</v>
      </c>
      <c r="E197" s="483">
        <v>2.0833333333333337E-3</v>
      </c>
      <c r="F197" s="483">
        <v>0</v>
      </c>
      <c r="G197" s="483">
        <v>3.8890872965260122E-2</v>
      </c>
      <c r="H197" s="483">
        <v>0</v>
      </c>
      <c r="I197" s="483">
        <v>0</v>
      </c>
      <c r="L197" s="496"/>
      <c r="M197" s="483"/>
      <c r="N197" s="400"/>
      <c r="W197" s="483"/>
    </row>
    <row r="198" spans="1:23" s="492" customFormat="1" x14ac:dyDescent="0.25">
      <c r="A198" s="400" t="s">
        <v>356</v>
      </c>
      <c r="B198" s="483" t="s">
        <v>207</v>
      </c>
      <c r="C198" s="400" t="s">
        <v>129</v>
      </c>
      <c r="D198" s="483">
        <v>0.22579427120177961</v>
      </c>
      <c r="E198" s="483">
        <v>5.2440239043824707E-2</v>
      </c>
      <c r="F198" s="483">
        <v>3.4339533680010748E-2</v>
      </c>
      <c r="G198" s="483">
        <v>0.21506345769714899</v>
      </c>
      <c r="H198" s="483">
        <v>0.5653261021470074</v>
      </c>
      <c r="I198" s="483">
        <v>1.49</v>
      </c>
      <c r="L198" s="400"/>
      <c r="M198" s="483"/>
      <c r="N198" s="400"/>
      <c r="W198" s="483"/>
    </row>
    <row r="199" spans="1:23" s="492" customFormat="1" x14ac:dyDescent="0.25">
      <c r="A199" s="496" t="s">
        <v>357</v>
      </c>
      <c r="B199" s="483" t="s">
        <v>207</v>
      </c>
      <c r="C199" s="400" t="s">
        <v>129</v>
      </c>
      <c r="D199" s="483">
        <v>0.27712907665452824</v>
      </c>
      <c r="E199" s="483">
        <v>7.265700483091786E-2</v>
      </c>
      <c r="F199" s="483">
        <v>6.7098760637186533E-2</v>
      </c>
      <c r="G199" s="483">
        <v>0.27403982573151026</v>
      </c>
      <c r="H199" s="483">
        <v>0.55787748296579331</v>
      </c>
      <c r="I199" s="483">
        <v>1.49</v>
      </c>
      <c r="L199" s="496"/>
      <c r="M199" s="483"/>
      <c r="N199" s="400"/>
      <c r="W199" s="483"/>
    </row>
    <row r="200" spans="1:23" s="492" customFormat="1" x14ac:dyDescent="0.25">
      <c r="A200" s="483" t="s">
        <v>360</v>
      </c>
      <c r="B200" s="483" t="s">
        <v>152</v>
      </c>
      <c r="C200" s="400" t="s">
        <v>129</v>
      </c>
      <c r="D200" s="483">
        <v>0</v>
      </c>
      <c r="E200" s="483">
        <v>2.0833333333333337E-3</v>
      </c>
      <c r="F200" s="483">
        <v>0</v>
      </c>
      <c r="G200" s="483">
        <v>3.8890872965260122E-2</v>
      </c>
      <c r="H200" s="483">
        <v>0</v>
      </c>
      <c r="I200" s="483">
        <v>0</v>
      </c>
      <c r="L200" s="483"/>
      <c r="M200" s="483"/>
      <c r="N200" s="400"/>
      <c r="W200" s="483"/>
    </row>
    <row r="201" spans="1:23" s="492" customFormat="1" x14ac:dyDescent="0.25">
      <c r="A201" s="483" t="s">
        <v>246</v>
      </c>
      <c r="B201" s="483" t="s">
        <v>200</v>
      </c>
      <c r="C201" s="400" t="s">
        <v>129</v>
      </c>
      <c r="D201" s="483">
        <v>0</v>
      </c>
      <c r="E201" s="483">
        <v>2.0833333333333337E-3</v>
      </c>
      <c r="F201" s="483">
        <v>0</v>
      </c>
      <c r="G201" s="483">
        <v>3.8890872965260122E-2</v>
      </c>
      <c r="H201" s="483">
        <v>0</v>
      </c>
      <c r="I201" s="483">
        <v>0</v>
      </c>
      <c r="L201" s="483"/>
      <c r="M201" s="483"/>
      <c r="N201" s="400"/>
      <c r="W201" s="483"/>
    </row>
    <row r="202" spans="1:23" s="492" customFormat="1" x14ac:dyDescent="0.25">
      <c r="A202" s="483" t="s">
        <v>253</v>
      </c>
      <c r="B202" s="483" t="s">
        <v>200</v>
      </c>
      <c r="C202" s="400" t="s">
        <v>129</v>
      </c>
      <c r="D202" s="483">
        <v>0</v>
      </c>
      <c r="E202" s="483">
        <v>3.7409638554216869E-2</v>
      </c>
      <c r="F202" s="483">
        <v>4.2449007725800382E-2</v>
      </c>
      <c r="G202" s="483">
        <v>0.26195080242588736</v>
      </c>
      <c r="H202" s="483">
        <v>0</v>
      </c>
      <c r="I202" s="483">
        <v>0</v>
      </c>
      <c r="L202" s="483"/>
      <c r="M202" s="483"/>
      <c r="N202" s="400"/>
      <c r="W202" s="483"/>
    </row>
    <row r="203" spans="1:23" s="492" customFormat="1" x14ac:dyDescent="0.25">
      <c r="A203" s="483" t="s">
        <v>254</v>
      </c>
      <c r="B203" s="483" t="s">
        <v>200</v>
      </c>
      <c r="C203" s="400" t="s">
        <v>129</v>
      </c>
      <c r="D203" s="483">
        <v>0</v>
      </c>
      <c r="E203" s="483">
        <v>2.0833333333333337E-3</v>
      </c>
      <c r="F203" s="483">
        <v>0</v>
      </c>
      <c r="G203" s="483">
        <v>3.8890872965260122E-2</v>
      </c>
      <c r="H203" s="483">
        <v>4.783304592501667E-3</v>
      </c>
      <c r="I203" s="483">
        <v>0</v>
      </c>
      <c r="L203" s="483"/>
      <c r="M203" s="483"/>
      <c r="N203" s="400"/>
      <c r="W203" s="483"/>
    </row>
    <row r="204" spans="1:23" s="492" customFormat="1" x14ac:dyDescent="0.25">
      <c r="A204" s="496" t="s">
        <v>263</v>
      </c>
      <c r="B204" s="483" t="s">
        <v>173</v>
      </c>
      <c r="C204" s="400" t="s">
        <v>129</v>
      </c>
      <c r="D204" s="483">
        <v>0.5938570581787751</v>
      </c>
      <c r="E204" s="483">
        <v>0.22324797645327449</v>
      </c>
      <c r="F204" s="483">
        <v>0.16461805845624511</v>
      </c>
      <c r="G204" s="483">
        <v>0.38773205334164251</v>
      </c>
      <c r="H204" s="483">
        <v>0.16760616630023942</v>
      </c>
      <c r="I204" s="483">
        <v>1.3632626931567329</v>
      </c>
      <c r="L204" s="496"/>
      <c r="M204" s="483"/>
      <c r="N204" s="400"/>
      <c r="W204" s="483"/>
    </row>
    <row r="205" spans="1:23" s="492" customFormat="1" x14ac:dyDescent="0.25">
      <c r="A205" s="483" t="s">
        <v>264</v>
      </c>
      <c r="B205" s="483" t="s">
        <v>173</v>
      </c>
      <c r="C205" s="400" t="s">
        <v>129</v>
      </c>
      <c r="D205" s="483">
        <v>0.4280920212459568</v>
      </c>
      <c r="E205" s="483">
        <v>0.31381333333333328</v>
      </c>
      <c r="F205" s="483">
        <v>0.29568497156178136</v>
      </c>
      <c r="G205" s="483">
        <v>0.54540361299989737</v>
      </c>
      <c r="H205" s="483">
        <v>0.30164237661766918</v>
      </c>
      <c r="I205" s="483">
        <v>1.0047633333333335</v>
      </c>
      <c r="L205" s="483"/>
      <c r="M205" s="483"/>
      <c r="N205" s="400"/>
      <c r="W205" s="483"/>
    </row>
    <row r="206" spans="1:23" s="492" customFormat="1" x14ac:dyDescent="0.25">
      <c r="A206" s="483" t="s">
        <v>268</v>
      </c>
      <c r="B206" s="483" t="s">
        <v>141</v>
      </c>
      <c r="C206" s="400" t="s">
        <v>129</v>
      </c>
      <c r="D206" s="483">
        <v>0</v>
      </c>
      <c r="E206" s="483">
        <v>0</v>
      </c>
      <c r="F206" s="483">
        <v>8.1639413185071782E-3</v>
      </c>
      <c r="G206" s="483">
        <v>8.9232927428294723E-2</v>
      </c>
      <c r="H206" s="483">
        <v>0</v>
      </c>
      <c r="I206" s="483">
        <v>0</v>
      </c>
      <c r="L206" s="483"/>
      <c r="M206" s="483"/>
      <c r="N206" s="400"/>
      <c r="W206" s="483"/>
    </row>
    <row r="207" spans="1:23" s="492" customFormat="1" x14ac:dyDescent="0.25">
      <c r="A207" s="496" t="s">
        <v>269</v>
      </c>
      <c r="B207" s="483" t="s">
        <v>207</v>
      </c>
      <c r="C207" s="400" t="s">
        <v>129</v>
      </c>
      <c r="D207" s="483">
        <v>0.70311614561032765</v>
      </c>
      <c r="E207" s="483">
        <v>0.34760115606936415</v>
      </c>
      <c r="F207" s="483">
        <v>2.9161256354687387E-2</v>
      </c>
      <c r="G207" s="483">
        <v>0.35826047940478745</v>
      </c>
      <c r="H207" s="483">
        <v>0.55610901226815856</v>
      </c>
      <c r="I207" s="483">
        <v>1.7426416184971099</v>
      </c>
      <c r="L207" s="496"/>
      <c r="M207" s="483"/>
      <c r="N207" s="400"/>
      <c r="W207" s="483"/>
    </row>
    <row r="208" spans="1:23" s="492" customFormat="1" x14ac:dyDescent="0.25">
      <c r="A208" s="496" t="s">
        <v>362</v>
      </c>
      <c r="B208" s="483" t="s">
        <v>152</v>
      </c>
      <c r="C208" s="400" t="s">
        <v>129</v>
      </c>
      <c r="D208" s="483">
        <v>2.939815783088038E-2</v>
      </c>
      <c r="E208" s="483">
        <v>2.0833333333333337E-3</v>
      </c>
      <c r="F208" s="483">
        <v>0</v>
      </c>
      <c r="G208" s="483">
        <v>3.0052038200428274E-2</v>
      </c>
      <c r="H208" s="483">
        <v>4.490836985388337E-2</v>
      </c>
      <c r="I208" s="483">
        <v>0</v>
      </c>
      <c r="L208" s="496"/>
      <c r="M208" s="483"/>
      <c r="N208" s="400"/>
      <c r="W208" s="483"/>
    </row>
    <row r="209" spans="1:23" s="492" customFormat="1" x14ac:dyDescent="0.25">
      <c r="A209" s="483" t="s">
        <v>273</v>
      </c>
      <c r="B209" s="483" t="s">
        <v>152</v>
      </c>
      <c r="C209" s="400" t="s">
        <v>129</v>
      </c>
      <c r="D209" s="483">
        <v>0</v>
      </c>
      <c r="E209" s="483">
        <v>2.0833333333333337E-3</v>
      </c>
      <c r="F209" s="483">
        <v>0</v>
      </c>
      <c r="G209" s="483">
        <v>3.5469377855218524E-2</v>
      </c>
      <c r="H209" s="483">
        <v>0</v>
      </c>
      <c r="I209" s="483">
        <v>0</v>
      </c>
      <c r="L209" s="483"/>
      <c r="M209" s="483"/>
      <c r="N209" s="400"/>
      <c r="W209" s="483"/>
    </row>
    <row r="210" spans="1:23" s="492" customFormat="1" x14ac:dyDescent="0.25">
      <c r="A210" s="483" t="s">
        <v>274</v>
      </c>
      <c r="B210" s="483" t="s">
        <v>152</v>
      </c>
      <c r="C210" s="400" t="s">
        <v>129</v>
      </c>
      <c r="D210" s="483">
        <v>0</v>
      </c>
      <c r="E210" s="483">
        <v>2.0833333333333337E-3</v>
      </c>
      <c r="F210" s="483">
        <v>0</v>
      </c>
      <c r="G210" s="483">
        <v>3.3472847571242796E-2</v>
      </c>
      <c r="H210" s="483">
        <v>0</v>
      </c>
      <c r="I210" s="483">
        <v>0</v>
      </c>
      <c r="L210" s="483"/>
      <c r="M210" s="483"/>
      <c r="N210" s="400"/>
      <c r="W210" s="483"/>
    </row>
    <row r="211" spans="1:23" s="492" customFormat="1" x14ac:dyDescent="0.25">
      <c r="A211" s="496" t="s">
        <v>363</v>
      </c>
      <c r="B211" s="483" t="s">
        <v>152</v>
      </c>
      <c r="C211" s="400" t="s">
        <v>129</v>
      </c>
      <c r="D211" s="483">
        <v>0</v>
      </c>
      <c r="E211" s="483">
        <v>2.0833333333333337E-3</v>
      </c>
      <c r="F211" s="483">
        <v>0</v>
      </c>
      <c r="G211" s="483">
        <v>3.8890872965260122E-2</v>
      </c>
      <c r="H211" s="483">
        <v>0</v>
      </c>
      <c r="I211" s="483">
        <v>0</v>
      </c>
      <c r="L211" s="496"/>
      <c r="M211" s="483"/>
      <c r="N211" s="400"/>
      <c r="W211" s="483"/>
    </row>
    <row r="212" spans="1:23" s="492" customFormat="1" x14ac:dyDescent="0.25">
      <c r="A212" s="483" t="s">
        <v>275</v>
      </c>
      <c r="B212" s="483" t="s">
        <v>173</v>
      </c>
      <c r="C212" s="400" t="s">
        <v>129</v>
      </c>
      <c r="D212" s="483">
        <v>0.57999672167082694</v>
      </c>
      <c r="E212" s="483">
        <v>0.24976931949250294</v>
      </c>
      <c r="F212" s="483">
        <v>2.5694051882367945E-2</v>
      </c>
      <c r="G212" s="483">
        <v>0.13737658981299489</v>
      </c>
      <c r="H212" s="483">
        <v>0.22433188665265996</v>
      </c>
      <c r="I212" s="483">
        <v>1.49</v>
      </c>
      <c r="L212" s="483"/>
      <c r="M212" s="483"/>
      <c r="N212" s="400"/>
      <c r="W212" s="483"/>
    </row>
    <row r="213" spans="1:23" s="492" customFormat="1" x14ac:dyDescent="0.25">
      <c r="A213" s="483" t="s">
        <v>276</v>
      </c>
      <c r="B213" s="483" t="s">
        <v>173</v>
      </c>
      <c r="C213" s="400" t="s">
        <v>129</v>
      </c>
      <c r="D213" s="483">
        <v>0.53473837997478868</v>
      </c>
      <c r="E213" s="483">
        <v>0.18055121381886086</v>
      </c>
      <c r="F213" s="483">
        <v>5.2913773163527397E-2</v>
      </c>
      <c r="G213" s="483">
        <v>0.15770065401253644</v>
      </c>
      <c r="H213" s="483">
        <v>0.17721714988585632</v>
      </c>
      <c r="I213" s="483">
        <v>1.49</v>
      </c>
      <c r="L213" s="483"/>
      <c r="M213" s="483"/>
      <c r="N213" s="400"/>
      <c r="W213" s="483"/>
    </row>
    <row r="214" spans="1:23" s="492" customFormat="1" x14ac:dyDescent="0.25">
      <c r="A214" s="483" t="s">
        <v>364</v>
      </c>
      <c r="B214" s="483" t="s">
        <v>152</v>
      </c>
      <c r="C214" s="400" t="s">
        <v>129</v>
      </c>
      <c r="D214" s="483">
        <v>6.7304979947679047E-2</v>
      </c>
      <c r="E214" s="483">
        <v>2.0833333333333336E-2</v>
      </c>
      <c r="F214" s="483">
        <v>0</v>
      </c>
      <c r="G214" s="483">
        <v>3.7123106012293752E-2</v>
      </c>
      <c r="H214" s="483">
        <v>9.8457156410669558E-2</v>
      </c>
      <c r="I214" s="483">
        <v>0</v>
      </c>
      <c r="L214" s="483"/>
      <c r="M214" s="483"/>
      <c r="N214" s="400"/>
      <c r="W214" s="483"/>
    </row>
    <row r="215" spans="1:23" s="492" customFormat="1" x14ac:dyDescent="0.25">
      <c r="A215" s="483" t="s">
        <v>282</v>
      </c>
      <c r="B215" s="483" t="s">
        <v>192</v>
      </c>
      <c r="C215" s="400" t="s">
        <v>129</v>
      </c>
      <c r="D215" s="483">
        <v>0</v>
      </c>
      <c r="E215" s="483">
        <v>1.3333333333333334E-2</v>
      </c>
      <c r="F215" s="483">
        <v>7.8131585842451876E-2</v>
      </c>
      <c r="G215" s="483">
        <v>0.2608879069638913</v>
      </c>
      <c r="H215" s="483">
        <v>5.4073625082268911E-4</v>
      </c>
      <c r="I215" s="483">
        <v>3</v>
      </c>
      <c r="L215" s="483"/>
      <c r="M215" s="483"/>
      <c r="N215" s="400"/>
      <c r="W215" s="483"/>
    </row>
    <row r="216" spans="1:23" s="492" customFormat="1" x14ac:dyDescent="0.25">
      <c r="A216" s="483" t="s">
        <v>365</v>
      </c>
      <c r="B216" s="483" t="s">
        <v>156</v>
      </c>
      <c r="C216" s="400" t="s">
        <v>129</v>
      </c>
      <c r="D216" s="483">
        <v>0</v>
      </c>
      <c r="E216" s="483">
        <v>3.6309221840068781E-2</v>
      </c>
      <c r="F216" s="483">
        <v>0.38728245693459468</v>
      </c>
      <c r="G216" s="483">
        <v>0.45553418414651931</v>
      </c>
      <c r="H216" s="483">
        <v>3.76594460237053E-3</v>
      </c>
      <c r="I216" s="483">
        <v>0.98</v>
      </c>
      <c r="L216" s="483"/>
      <c r="M216" s="483"/>
      <c r="N216" s="400"/>
      <c r="W216" s="483"/>
    </row>
    <row r="217" spans="1:23" s="492" customFormat="1" x14ac:dyDescent="0.25">
      <c r="A217" s="496" t="s">
        <v>366</v>
      </c>
      <c r="B217" s="483" t="s">
        <v>156</v>
      </c>
      <c r="C217" s="400" t="s">
        <v>129</v>
      </c>
      <c r="D217" s="483">
        <v>0</v>
      </c>
      <c r="E217" s="483">
        <v>0</v>
      </c>
      <c r="F217" s="483">
        <v>6.8719491907401564E-2</v>
      </c>
      <c r="G217" s="483">
        <v>0.13972835910523254</v>
      </c>
      <c r="H217" s="483">
        <v>0</v>
      </c>
      <c r="I217" s="483">
        <v>0.98</v>
      </c>
      <c r="L217" s="496"/>
      <c r="M217" s="483"/>
      <c r="N217" s="400"/>
      <c r="W217" s="483"/>
    </row>
    <row r="218" spans="1:23" s="492" customFormat="1" x14ac:dyDescent="0.25">
      <c r="A218" s="496" t="s">
        <v>367</v>
      </c>
      <c r="B218" s="483" t="s">
        <v>156</v>
      </c>
      <c r="C218" s="400" t="s">
        <v>129</v>
      </c>
      <c r="D218" s="483">
        <v>0</v>
      </c>
      <c r="E218" s="483">
        <v>0</v>
      </c>
      <c r="F218" s="483">
        <v>7.2062562312362036E-2</v>
      </c>
      <c r="G218" s="483">
        <v>0.14036746238821504</v>
      </c>
      <c r="H218" s="483">
        <v>0</v>
      </c>
      <c r="I218" s="483">
        <v>0.98</v>
      </c>
      <c r="L218" s="496"/>
      <c r="M218" s="483"/>
      <c r="N218" s="400"/>
      <c r="W218" s="483"/>
    </row>
    <row r="219" spans="1:23" s="492" customFormat="1" x14ac:dyDescent="0.25">
      <c r="A219" s="483" t="s">
        <v>368</v>
      </c>
      <c r="B219" s="483" t="s">
        <v>156</v>
      </c>
      <c r="C219" s="400" t="s">
        <v>129</v>
      </c>
      <c r="D219" s="483">
        <v>0</v>
      </c>
      <c r="E219" s="483">
        <v>2.2985845129059119E-2</v>
      </c>
      <c r="F219" s="483">
        <v>0.37025782219610964</v>
      </c>
      <c r="G219" s="483">
        <v>0.28644316422220162</v>
      </c>
      <c r="H219" s="483">
        <v>0</v>
      </c>
      <c r="I219" s="483">
        <v>0.98</v>
      </c>
      <c r="L219" s="483"/>
      <c r="M219" s="483"/>
      <c r="N219" s="400"/>
      <c r="W219" s="483"/>
    </row>
    <row r="220" spans="1:23" s="492" customFormat="1" x14ac:dyDescent="0.25">
      <c r="A220" s="483" t="s">
        <v>283</v>
      </c>
      <c r="B220" s="483" t="s">
        <v>200</v>
      </c>
      <c r="C220" s="400" t="s">
        <v>129</v>
      </c>
      <c r="D220" s="483">
        <v>0</v>
      </c>
      <c r="E220" s="483">
        <v>6.483041722745625E-2</v>
      </c>
      <c r="F220" s="483">
        <v>0.18274732739580876</v>
      </c>
      <c r="G220" s="483">
        <v>0.42103086813751545</v>
      </c>
      <c r="H220" s="483">
        <v>0</v>
      </c>
      <c r="I220" s="483">
        <v>0</v>
      </c>
      <c r="L220" s="483"/>
      <c r="M220" s="483"/>
      <c r="N220" s="400"/>
      <c r="W220" s="483"/>
    </row>
    <row r="221" spans="1:23" s="492" customFormat="1" x14ac:dyDescent="0.25">
      <c r="A221" s="483" t="s">
        <v>284</v>
      </c>
      <c r="B221" s="483" t="s">
        <v>200</v>
      </c>
      <c r="C221" s="400" t="s">
        <v>129</v>
      </c>
      <c r="D221" s="483">
        <v>0</v>
      </c>
      <c r="E221" s="483">
        <v>6.483041722745625E-2</v>
      </c>
      <c r="F221" s="483">
        <v>0.18274732739580876</v>
      </c>
      <c r="G221" s="483">
        <v>0.42103086813751545</v>
      </c>
      <c r="H221" s="483">
        <v>0</v>
      </c>
      <c r="I221" s="483">
        <v>0</v>
      </c>
      <c r="L221" s="483"/>
      <c r="M221" s="483"/>
      <c r="N221" s="400"/>
      <c r="W221" s="483"/>
    </row>
    <row r="222" spans="1:23" s="492" customFormat="1" x14ac:dyDescent="0.25">
      <c r="A222" s="483" t="s">
        <v>556</v>
      </c>
      <c r="B222" s="483" t="s">
        <v>200</v>
      </c>
      <c r="C222" s="400" t="s">
        <v>129</v>
      </c>
      <c r="D222" s="483">
        <v>0</v>
      </c>
      <c r="E222" s="483">
        <v>9.8659793814432989E-2</v>
      </c>
      <c r="F222" s="483">
        <v>0.43114723696141771</v>
      </c>
      <c r="G222" s="483">
        <v>0.53576951114463867</v>
      </c>
      <c r="H222" s="483">
        <v>0</v>
      </c>
      <c r="I222" s="483">
        <v>0</v>
      </c>
      <c r="L222" s="483"/>
      <c r="M222" s="483"/>
      <c r="N222" s="400"/>
      <c r="W222" s="483"/>
    </row>
    <row r="223" spans="1:23" s="492" customFormat="1" x14ac:dyDescent="0.25">
      <c r="A223" s="483" t="s">
        <v>286</v>
      </c>
      <c r="B223" s="483" t="s">
        <v>200</v>
      </c>
      <c r="C223" s="400" t="s">
        <v>129</v>
      </c>
      <c r="D223" s="483">
        <v>0</v>
      </c>
      <c r="E223" s="483">
        <v>2.2500000000000003E-3</v>
      </c>
      <c r="F223" s="483">
        <v>0</v>
      </c>
      <c r="G223" s="483">
        <v>8.6962635654630444E-2</v>
      </c>
      <c r="H223" s="483">
        <v>0</v>
      </c>
      <c r="I223" s="483">
        <v>0</v>
      </c>
      <c r="L223" s="483"/>
      <c r="M223" s="483"/>
      <c r="N223" s="400"/>
      <c r="W223" s="483"/>
    </row>
    <row r="224" spans="1:23" s="492" customFormat="1" x14ac:dyDescent="0.25">
      <c r="A224" s="483" t="s">
        <v>298</v>
      </c>
      <c r="B224" s="483" t="s">
        <v>141</v>
      </c>
      <c r="C224" s="400" t="s">
        <v>129</v>
      </c>
      <c r="D224" s="483">
        <v>0</v>
      </c>
      <c r="E224" s="483">
        <v>1.2500000000000001E-2</v>
      </c>
      <c r="F224" s="483">
        <v>0</v>
      </c>
      <c r="G224" s="483">
        <v>5.3033008588991071E-2</v>
      </c>
      <c r="H224" s="483">
        <v>0</v>
      </c>
      <c r="I224" s="483">
        <v>0</v>
      </c>
      <c r="L224" s="483"/>
      <c r="M224" s="483"/>
      <c r="N224" s="400"/>
      <c r="W224" s="483"/>
    </row>
    <row r="225" spans="1:23" s="492" customFormat="1" x14ac:dyDescent="0.25">
      <c r="A225" s="483" t="s">
        <v>230</v>
      </c>
      <c r="B225" s="483" t="s">
        <v>145</v>
      </c>
      <c r="C225" s="483" t="s">
        <v>557</v>
      </c>
      <c r="D225" s="493" t="e">
        <f>NA()</f>
        <v>#N/A</v>
      </c>
      <c r="E225" s="493" t="e">
        <f>NA()</f>
        <v>#N/A</v>
      </c>
      <c r="F225" s="493" t="e">
        <f>NA()</f>
        <v>#N/A</v>
      </c>
      <c r="G225" s="493" t="e">
        <f>NA()</f>
        <v>#N/A</v>
      </c>
      <c r="H225" s="493" t="e">
        <f>NA()</f>
        <v>#N/A</v>
      </c>
      <c r="I225" s="498">
        <f>5.38*$K$228</f>
        <v>1.4672727272727271</v>
      </c>
      <c r="J225" s="493" t="s">
        <v>558</v>
      </c>
      <c r="W225" s="483"/>
    </row>
    <row r="226" spans="1:23" s="492" customFormat="1" x14ac:dyDescent="0.25">
      <c r="A226" s="483" t="s">
        <v>230</v>
      </c>
      <c r="B226" s="483" t="s">
        <v>182</v>
      </c>
      <c r="C226" s="483" t="s">
        <v>557</v>
      </c>
      <c r="D226" s="493" t="e">
        <f>NA()</f>
        <v>#N/A</v>
      </c>
      <c r="E226" s="493" t="e">
        <f>NA()</f>
        <v>#N/A</v>
      </c>
      <c r="F226" s="493" t="e">
        <f>NA()</f>
        <v>#N/A</v>
      </c>
      <c r="G226" s="493" t="e">
        <f>NA()</f>
        <v>#N/A</v>
      </c>
      <c r="H226" s="493" t="e">
        <f>NA()</f>
        <v>#N/A</v>
      </c>
      <c r="I226" s="498">
        <f t="shared" ref="I226:I248" si="0">5.38*$K$228</f>
        <v>1.4672727272727271</v>
      </c>
      <c r="J226" s="499" t="s">
        <v>559</v>
      </c>
      <c r="W226" s="483"/>
    </row>
    <row r="227" spans="1:23" s="492" customFormat="1" x14ac:dyDescent="0.25">
      <c r="A227" s="483" t="s">
        <v>230</v>
      </c>
      <c r="B227" s="483" t="s">
        <v>196</v>
      </c>
      <c r="C227" s="483" t="s">
        <v>557</v>
      </c>
      <c r="D227" s="493" t="e">
        <f>NA()</f>
        <v>#N/A</v>
      </c>
      <c r="E227" s="493" t="e">
        <f>NA()</f>
        <v>#N/A</v>
      </c>
      <c r="F227" s="493" t="e">
        <f>NA()</f>
        <v>#N/A</v>
      </c>
      <c r="G227" s="493" t="e">
        <f>NA()</f>
        <v>#N/A</v>
      </c>
      <c r="H227" s="493" t="e">
        <f>NA()</f>
        <v>#N/A</v>
      </c>
      <c r="I227" s="498">
        <f t="shared" si="0"/>
        <v>1.4672727272727271</v>
      </c>
      <c r="J227" s="499" t="s">
        <v>560</v>
      </c>
      <c r="W227" s="483"/>
    </row>
    <row r="228" spans="1:23" s="492" customFormat="1" x14ac:dyDescent="0.25">
      <c r="A228" s="483" t="s">
        <v>230</v>
      </c>
      <c r="B228" s="483" t="s">
        <v>198</v>
      </c>
      <c r="C228" s="483" t="s">
        <v>557</v>
      </c>
      <c r="D228" s="493" t="e">
        <f>NA()</f>
        <v>#N/A</v>
      </c>
      <c r="E228" s="493" t="e">
        <f>NA()</f>
        <v>#N/A</v>
      </c>
      <c r="F228" s="493" t="e">
        <f>NA()</f>
        <v>#N/A</v>
      </c>
      <c r="G228" s="493" t="e">
        <f>NA()</f>
        <v>#N/A</v>
      </c>
      <c r="H228" s="493" t="e">
        <f>NA()</f>
        <v>#N/A</v>
      </c>
      <c r="I228" s="498">
        <f t="shared" si="0"/>
        <v>1.4672727272727271</v>
      </c>
      <c r="J228" s="499" t="s">
        <v>561</v>
      </c>
      <c r="K228" s="492">
        <f>300/1100</f>
        <v>0.27272727272727271</v>
      </c>
      <c r="W228" s="483"/>
    </row>
    <row r="229" spans="1:23" s="492" customFormat="1" x14ac:dyDescent="0.25">
      <c r="A229" s="483" t="s">
        <v>230</v>
      </c>
      <c r="B229" s="483" t="s">
        <v>175</v>
      </c>
      <c r="C229" s="483" t="s">
        <v>557</v>
      </c>
      <c r="D229" s="493" t="e">
        <f>NA()</f>
        <v>#N/A</v>
      </c>
      <c r="E229" s="493" t="e">
        <f>NA()</f>
        <v>#N/A</v>
      </c>
      <c r="F229" s="493" t="e">
        <f>NA()</f>
        <v>#N/A</v>
      </c>
      <c r="G229" s="493" t="e">
        <f>NA()</f>
        <v>#N/A</v>
      </c>
      <c r="H229" s="493" t="e">
        <f>NA()</f>
        <v>#N/A</v>
      </c>
      <c r="I229" s="498">
        <f t="shared" si="0"/>
        <v>1.4672727272727271</v>
      </c>
      <c r="W229" s="483"/>
    </row>
    <row r="230" spans="1:23" s="492" customFormat="1" x14ac:dyDescent="0.25">
      <c r="A230" s="483" t="s">
        <v>230</v>
      </c>
      <c r="B230" s="483" t="s">
        <v>184</v>
      </c>
      <c r="C230" s="483" t="s">
        <v>557</v>
      </c>
      <c r="D230" s="493" t="e">
        <f>NA()</f>
        <v>#N/A</v>
      </c>
      <c r="E230" s="493" t="e">
        <f>NA()</f>
        <v>#N/A</v>
      </c>
      <c r="F230" s="493" t="e">
        <f>NA()</f>
        <v>#N/A</v>
      </c>
      <c r="G230" s="493" t="e">
        <f>NA()</f>
        <v>#N/A</v>
      </c>
      <c r="H230" s="493" t="e">
        <f>NA()</f>
        <v>#N/A</v>
      </c>
      <c r="I230" s="498">
        <f t="shared" si="0"/>
        <v>1.4672727272727271</v>
      </c>
      <c r="W230" s="483"/>
    </row>
    <row r="231" spans="1:23" s="492" customFormat="1" x14ac:dyDescent="0.25">
      <c r="A231" s="483" t="s">
        <v>230</v>
      </c>
      <c r="B231" s="483" t="s">
        <v>178</v>
      </c>
      <c r="C231" s="483" t="s">
        <v>557</v>
      </c>
      <c r="D231" s="493" t="e">
        <f>NA()</f>
        <v>#N/A</v>
      </c>
      <c r="E231" s="493" t="e">
        <f>NA()</f>
        <v>#N/A</v>
      </c>
      <c r="F231" s="493" t="e">
        <f>NA()</f>
        <v>#N/A</v>
      </c>
      <c r="G231" s="493" t="e">
        <f>NA()</f>
        <v>#N/A</v>
      </c>
      <c r="H231" s="493" t="e">
        <f>NA()</f>
        <v>#N/A</v>
      </c>
      <c r="I231" s="498">
        <f t="shared" si="0"/>
        <v>1.4672727272727271</v>
      </c>
      <c r="W231" s="483"/>
    </row>
    <row r="232" spans="1:23" s="492" customFormat="1" x14ac:dyDescent="0.25">
      <c r="A232" s="483" t="s">
        <v>230</v>
      </c>
      <c r="B232" s="483" t="s">
        <v>180</v>
      </c>
      <c r="C232" s="483" t="s">
        <v>557</v>
      </c>
      <c r="D232" s="493" t="e">
        <f>NA()</f>
        <v>#N/A</v>
      </c>
      <c r="E232" s="493" t="e">
        <f>NA()</f>
        <v>#N/A</v>
      </c>
      <c r="F232" s="493" t="e">
        <f>NA()</f>
        <v>#N/A</v>
      </c>
      <c r="G232" s="493" t="e">
        <f>NA()</f>
        <v>#N/A</v>
      </c>
      <c r="H232" s="493" t="e">
        <f>NA()</f>
        <v>#N/A</v>
      </c>
      <c r="I232" s="498">
        <f t="shared" si="0"/>
        <v>1.4672727272727271</v>
      </c>
      <c r="W232" s="483"/>
    </row>
    <row r="233" spans="1:23" s="492" customFormat="1" x14ac:dyDescent="0.25">
      <c r="A233" s="483" t="s">
        <v>230</v>
      </c>
      <c r="B233" s="483" t="s">
        <v>181</v>
      </c>
      <c r="C233" s="483" t="s">
        <v>557</v>
      </c>
      <c r="D233" s="493" t="e">
        <f>NA()</f>
        <v>#N/A</v>
      </c>
      <c r="E233" s="493" t="e">
        <f>NA()</f>
        <v>#N/A</v>
      </c>
      <c r="F233" s="493" t="e">
        <f>NA()</f>
        <v>#N/A</v>
      </c>
      <c r="G233" s="493" t="e">
        <f>NA()</f>
        <v>#N/A</v>
      </c>
      <c r="H233" s="493" t="e">
        <f>NA()</f>
        <v>#N/A</v>
      </c>
      <c r="I233" s="498">
        <f t="shared" si="0"/>
        <v>1.4672727272727271</v>
      </c>
      <c r="W233" s="483"/>
    </row>
    <row r="234" spans="1:23" s="492" customFormat="1" x14ac:dyDescent="0.25">
      <c r="A234" s="483" t="s">
        <v>230</v>
      </c>
      <c r="B234" s="483" t="s">
        <v>186</v>
      </c>
      <c r="C234" s="483" t="s">
        <v>557</v>
      </c>
      <c r="D234" s="493" t="e">
        <f>NA()</f>
        <v>#N/A</v>
      </c>
      <c r="E234" s="493" t="e">
        <f>NA()</f>
        <v>#N/A</v>
      </c>
      <c r="F234" s="493" t="e">
        <f>NA()</f>
        <v>#N/A</v>
      </c>
      <c r="G234" s="493" t="e">
        <f>NA()</f>
        <v>#N/A</v>
      </c>
      <c r="H234" s="493" t="e">
        <f>NA()</f>
        <v>#N/A</v>
      </c>
      <c r="I234" s="498">
        <f t="shared" si="0"/>
        <v>1.4672727272727271</v>
      </c>
      <c r="W234" s="483"/>
    </row>
    <row r="235" spans="1:23" s="492" customFormat="1" x14ac:dyDescent="0.25">
      <c r="A235" s="483" t="s">
        <v>230</v>
      </c>
      <c r="B235" s="483" t="s">
        <v>187</v>
      </c>
      <c r="C235" s="483" t="s">
        <v>557</v>
      </c>
      <c r="D235" s="493" t="e">
        <f>NA()</f>
        <v>#N/A</v>
      </c>
      <c r="E235" s="493" t="e">
        <f>NA()</f>
        <v>#N/A</v>
      </c>
      <c r="F235" s="493" t="e">
        <f>NA()</f>
        <v>#N/A</v>
      </c>
      <c r="G235" s="493" t="e">
        <f>NA()</f>
        <v>#N/A</v>
      </c>
      <c r="H235" s="493" t="e">
        <f>NA()</f>
        <v>#N/A</v>
      </c>
      <c r="I235" s="498">
        <f t="shared" si="0"/>
        <v>1.4672727272727271</v>
      </c>
      <c r="W235" s="483"/>
    </row>
    <row r="236" spans="1:23" s="492" customFormat="1" x14ac:dyDescent="0.25">
      <c r="A236" s="483" t="s">
        <v>230</v>
      </c>
      <c r="B236" s="483" t="s">
        <v>131</v>
      </c>
      <c r="C236" s="483" t="s">
        <v>557</v>
      </c>
      <c r="D236" s="493" t="e">
        <f>NA()</f>
        <v>#N/A</v>
      </c>
      <c r="E236" s="493" t="e">
        <f>NA()</f>
        <v>#N/A</v>
      </c>
      <c r="F236" s="493" t="e">
        <f>NA()</f>
        <v>#N/A</v>
      </c>
      <c r="G236" s="493" t="e">
        <f>NA()</f>
        <v>#N/A</v>
      </c>
      <c r="H236" s="493" t="e">
        <f>NA()</f>
        <v>#N/A</v>
      </c>
      <c r="I236" s="498">
        <f t="shared" si="0"/>
        <v>1.4672727272727271</v>
      </c>
      <c r="W236" s="483"/>
    </row>
    <row r="237" spans="1:23" s="492" customFormat="1" x14ac:dyDescent="0.25">
      <c r="A237" s="483" t="s">
        <v>230</v>
      </c>
      <c r="B237" s="483" t="s">
        <v>145</v>
      </c>
      <c r="C237" s="483" t="s">
        <v>129</v>
      </c>
      <c r="D237" s="493" t="e">
        <f>NA()</f>
        <v>#N/A</v>
      </c>
      <c r="E237" s="493" t="e">
        <f>NA()</f>
        <v>#N/A</v>
      </c>
      <c r="F237" s="493" t="e">
        <f>NA()</f>
        <v>#N/A</v>
      </c>
      <c r="G237" s="493" t="e">
        <f>NA()</f>
        <v>#N/A</v>
      </c>
      <c r="H237" s="493" t="e">
        <f>NA()</f>
        <v>#N/A</v>
      </c>
      <c r="I237" s="498">
        <f t="shared" si="0"/>
        <v>1.4672727272727271</v>
      </c>
      <c r="J237"/>
      <c r="K237"/>
      <c r="L237"/>
      <c r="M237"/>
      <c r="N237"/>
      <c r="O237"/>
      <c r="P237"/>
      <c r="Q237"/>
      <c r="R237"/>
      <c r="S237"/>
      <c r="T237"/>
      <c r="U237"/>
      <c r="V237"/>
      <c r="W237"/>
    </row>
    <row r="238" spans="1:23" x14ac:dyDescent="0.25">
      <c r="A238" s="483" t="s">
        <v>230</v>
      </c>
      <c r="B238" s="483" t="s">
        <v>182</v>
      </c>
      <c r="C238" s="483" t="s">
        <v>129</v>
      </c>
      <c r="D238" s="493" t="e">
        <f>NA()</f>
        <v>#N/A</v>
      </c>
      <c r="E238" s="493" t="e">
        <f>NA()</f>
        <v>#N/A</v>
      </c>
      <c r="F238" s="493" t="e">
        <f>NA()</f>
        <v>#N/A</v>
      </c>
      <c r="G238" s="493" t="e">
        <f>NA()</f>
        <v>#N/A</v>
      </c>
      <c r="H238" s="493" t="e">
        <f>NA()</f>
        <v>#N/A</v>
      </c>
      <c r="I238" s="498">
        <f t="shared" si="0"/>
        <v>1.4672727272727271</v>
      </c>
    </row>
    <row r="239" spans="1:23" x14ac:dyDescent="0.25">
      <c r="A239" s="483" t="s">
        <v>230</v>
      </c>
      <c r="B239" s="483" t="s">
        <v>196</v>
      </c>
      <c r="C239" s="483" t="s">
        <v>129</v>
      </c>
      <c r="D239" s="493" t="e">
        <f>NA()</f>
        <v>#N/A</v>
      </c>
      <c r="E239" s="493" t="e">
        <f>NA()</f>
        <v>#N/A</v>
      </c>
      <c r="F239" s="493" t="e">
        <f>NA()</f>
        <v>#N/A</v>
      </c>
      <c r="G239" s="493" t="e">
        <f>NA()</f>
        <v>#N/A</v>
      </c>
      <c r="H239" s="493" t="e">
        <f>NA()</f>
        <v>#N/A</v>
      </c>
      <c r="I239" s="498">
        <f t="shared" si="0"/>
        <v>1.4672727272727271</v>
      </c>
    </row>
    <row r="240" spans="1:23" x14ac:dyDescent="0.25">
      <c r="A240" s="483" t="s">
        <v>230</v>
      </c>
      <c r="B240" s="483" t="s">
        <v>198</v>
      </c>
      <c r="C240" s="483" t="s">
        <v>129</v>
      </c>
      <c r="D240" s="493" t="e">
        <f>NA()</f>
        <v>#N/A</v>
      </c>
      <c r="E240" s="493" t="e">
        <f>NA()</f>
        <v>#N/A</v>
      </c>
      <c r="F240" s="493" t="e">
        <f>NA()</f>
        <v>#N/A</v>
      </c>
      <c r="G240" s="493" t="e">
        <f>NA()</f>
        <v>#N/A</v>
      </c>
      <c r="H240" s="493" t="e">
        <f>NA()</f>
        <v>#N/A</v>
      </c>
      <c r="I240" s="498">
        <f t="shared" si="0"/>
        <v>1.4672727272727271</v>
      </c>
    </row>
    <row r="241" spans="1:9" x14ac:dyDescent="0.25">
      <c r="A241" s="483" t="s">
        <v>230</v>
      </c>
      <c r="B241" s="483" t="s">
        <v>175</v>
      </c>
      <c r="C241" s="483" t="s">
        <v>129</v>
      </c>
      <c r="D241" s="493" t="e">
        <f>NA()</f>
        <v>#N/A</v>
      </c>
      <c r="E241" s="493" t="e">
        <f>NA()</f>
        <v>#N/A</v>
      </c>
      <c r="F241" s="493" t="e">
        <f>NA()</f>
        <v>#N/A</v>
      </c>
      <c r="G241" s="493" t="e">
        <f>NA()</f>
        <v>#N/A</v>
      </c>
      <c r="H241" s="493" t="e">
        <f>NA()</f>
        <v>#N/A</v>
      </c>
      <c r="I241" s="498">
        <f t="shared" si="0"/>
        <v>1.4672727272727271</v>
      </c>
    </row>
    <row r="242" spans="1:9" x14ac:dyDescent="0.25">
      <c r="A242" s="483" t="s">
        <v>230</v>
      </c>
      <c r="B242" s="483" t="s">
        <v>184</v>
      </c>
      <c r="C242" s="483" t="s">
        <v>129</v>
      </c>
      <c r="D242" s="493" t="e">
        <f>NA()</f>
        <v>#N/A</v>
      </c>
      <c r="E242" s="493" t="e">
        <f>NA()</f>
        <v>#N/A</v>
      </c>
      <c r="F242" s="493" t="e">
        <f>NA()</f>
        <v>#N/A</v>
      </c>
      <c r="G242" s="493" t="e">
        <f>NA()</f>
        <v>#N/A</v>
      </c>
      <c r="H242" s="493" t="e">
        <f>NA()</f>
        <v>#N/A</v>
      </c>
      <c r="I242" s="498">
        <f t="shared" si="0"/>
        <v>1.4672727272727271</v>
      </c>
    </row>
    <row r="243" spans="1:9" x14ac:dyDescent="0.25">
      <c r="A243" s="483" t="s">
        <v>230</v>
      </c>
      <c r="B243" s="483" t="s">
        <v>178</v>
      </c>
      <c r="C243" s="483" t="s">
        <v>129</v>
      </c>
      <c r="D243" s="493" t="e">
        <f>NA()</f>
        <v>#N/A</v>
      </c>
      <c r="E243" s="493" t="e">
        <f>NA()</f>
        <v>#N/A</v>
      </c>
      <c r="F243" s="493" t="e">
        <f>NA()</f>
        <v>#N/A</v>
      </c>
      <c r="G243" s="493" t="e">
        <f>NA()</f>
        <v>#N/A</v>
      </c>
      <c r="H243" s="493" t="e">
        <f>NA()</f>
        <v>#N/A</v>
      </c>
      <c r="I243" s="498">
        <f t="shared" si="0"/>
        <v>1.4672727272727271</v>
      </c>
    </row>
    <row r="244" spans="1:9" x14ac:dyDescent="0.25">
      <c r="A244" s="483" t="s">
        <v>230</v>
      </c>
      <c r="B244" s="483" t="s">
        <v>180</v>
      </c>
      <c r="C244" s="483" t="s">
        <v>129</v>
      </c>
      <c r="D244" s="493" t="e">
        <f>NA()</f>
        <v>#N/A</v>
      </c>
      <c r="E244" s="493" t="e">
        <f>NA()</f>
        <v>#N/A</v>
      </c>
      <c r="F244" s="493" t="e">
        <f>NA()</f>
        <v>#N/A</v>
      </c>
      <c r="G244" s="493" t="e">
        <f>NA()</f>
        <v>#N/A</v>
      </c>
      <c r="H244" s="493" t="e">
        <f>NA()</f>
        <v>#N/A</v>
      </c>
      <c r="I244" s="498">
        <f t="shared" si="0"/>
        <v>1.4672727272727271</v>
      </c>
    </row>
    <row r="245" spans="1:9" x14ac:dyDescent="0.25">
      <c r="A245" s="483" t="s">
        <v>230</v>
      </c>
      <c r="B245" s="483" t="s">
        <v>181</v>
      </c>
      <c r="C245" s="483" t="s">
        <v>129</v>
      </c>
      <c r="D245" s="493" t="e">
        <f>NA()</f>
        <v>#N/A</v>
      </c>
      <c r="E245" s="493" t="e">
        <f>NA()</f>
        <v>#N/A</v>
      </c>
      <c r="F245" s="493" t="e">
        <f>NA()</f>
        <v>#N/A</v>
      </c>
      <c r="G245" s="493" t="e">
        <f>NA()</f>
        <v>#N/A</v>
      </c>
      <c r="H245" s="493" t="e">
        <f>NA()</f>
        <v>#N/A</v>
      </c>
      <c r="I245" s="498">
        <f t="shared" si="0"/>
        <v>1.4672727272727271</v>
      </c>
    </row>
    <row r="246" spans="1:9" x14ac:dyDescent="0.25">
      <c r="A246" s="483" t="s">
        <v>230</v>
      </c>
      <c r="B246" s="483" t="s">
        <v>186</v>
      </c>
      <c r="C246" s="483" t="s">
        <v>129</v>
      </c>
      <c r="D246" s="493" t="e">
        <f>NA()</f>
        <v>#N/A</v>
      </c>
      <c r="E246" s="493" t="e">
        <f>NA()</f>
        <v>#N/A</v>
      </c>
      <c r="F246" s="493" t="e">
        <f>NA()</f>
        <v>#N/A</v>
      </c>
      <c r="G246" s="493" t="e">
        <f>NA()</f>
        <v>#N/A</v>
      </c>
      <c r="H246" s="493" t="e">
        <f>NA()</f>
        <v>#N/A</v>
      </c>
      <c r="I246" s="498">
        <f t="shared" si="0"/>
        <v>1.4672727272727271</v>
      </c>
    </row>
    <row r="247" spans="1:9" x14ac:dyDescent="0.25">
      <c r="A247" s="483" t="s">
        <v>230</v>
      </c>
      <c r="B247" s="483" t="s">
        <v>187</v>
      </c>
      <c r="C247" s="483" t="s">
        <v>129</v>
      </c>
      <c r="D247" s="493" t="e">
        <f>NA()</f>
        <v>#N/A</v>
      </c>
      <c r="E247" s="493" t="e">
        <f>NA()</f>
        <v>#N/A</v>
      </c>
      <c r="F247" s="493" t="e">
        <f>NA()</f>
        <v>#N/A</v>
      </c>
      <c r="G247" s="493" t="e">
        <f>NA()</f>
        <v>#N/A</v>
      </c>
      <c r="H247" s="493" t="e">
        <f>NA()</f>
        <v>#N/A</v>
      </c>
      <c r="I247" s="498">
        <f t="shared" si="0"/>
        <v>1.4672727272727271</v>
      </c>
    </row>
    <row r="248" spans="1:9" x14ac:dyDescent="0.25">
      <c r="A248" s="483" t="s">
        <v>230</v>
      </c>
      <c r="B248" s="483" t="s">
        <v>131</v>
      </c>
      <c r="C248" s="483" t="s">
        <v>129</v>
      </c>
      <c r="D248" s="493" t="e">
        <f>NA()</f>
        <v>#N/A</v>
      </c>
      <c r="E248" s="493" t="e">
        <f>NA()</f>
        <v>#N/A</v>
      </c>
      <c r="F248" s="493" t="e">
        <f>NA()</f>
        <v>#N/A</v>
      </c>
      <c r="G248" s="493" t="e">
        <f>NA()</f>
        <v>#N/A</v>
      </c>
      <c r="H248" s="493" t="e">
        <f>NA()</f>
        <v>#N/A</v>
      </c>
      <c r="I248" s="498">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topLeftCell="A4" zoomScale="85" zoomScaleNormal="85" workbookViewId="0">
      <selection activeCell="F29" sqref="F29"/>
    </sheetView>
    <sheetView workbookViewId="1"/>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400" customFormat="1" ht="28.5" customHeight="1" x14ac:dyDescent="0.2">
      <c r="A1" s="400" t="s">
        <v>562</v>
      </c>
      <c r="H1" s="500"/>
      <c r="I1" s="483"/>
    </row>
    <row r="2" spans="1:27" s="400" customFormat="1" ht="37.5" customHeight="1" x14ac:dyDescent="0.2">
      <c r="C2" s="651" t="s">
        <v>563</v>
      </c>
      <c r="D2" s="652"/>
      <c r="E2" s="652"/>
      <c r="F2" s="652"/>
      <c r="G2" s="652"/>
      <c r="H2" s="500"/>
      <c r="I2" s="483"/>
      <c r="J2" s="651" t="s">
        <v>564</v>
      </c>
      <c r="K2" s="652"/>
      <c r="L2" s="652"/>
      <c r="M2" s="652"/>
      <c r="N2" s="652"/>
      <c r="R2" s="653" t="s">
        <v>536</v>
      </c>
      <c r="S2" s="647"/>
    </row>
    <row r="3" spans="1:27" s="400" customFormat="1" ht="25.5" x14ac:dyDescent="0.2">
      <c r="A3" s="501" t="s">
        <v>565</v>
      </c>
      <c r="B3" s="502" t="s">
        <v>566</v>
      </c>
      <c r="C3" s="490" t="s">
        <v>549</v>
      </c>
      <c r="D3" s="260" t="s">
        <v>550</v>
      </c>
      <c r="E3" s="260" t="s">
        <v>551</v>
      </c>
      <c r="F3" s="260" t="s">
        <v>552</v>
      </c>
      <c r="G3" s="260" t="s">
        <v>553</v>
      </c>
      <c r="H3" s="503" t="s">
        <v>537</v>
      </c>
      <c r="I3" s="504"/>
      <c r="J3" s="490" t="s">
        <v>549</v>
      </c>
      <c r="K3" s="260" t="s">
        <v>550</v>
      </c>
      <c r="L3" s="260" t="s">
        <v>551</v>
      </c>
      <c r="M3" s="260" t="s">
        <v>552</v>
      </c>
      <c r="N3" s="260" t="s">
        <v>553</v>
      </c>
      <c r="O3" s="503" t="s">
        <v>537</v>
      </c>
      <c r="S3" s="503" t="s">
        <v>537</v>
      </c>
    </row>
    <row r="4" spans="1:27" s="400" customFormat="1" ht="18" customHeight="1" x14ac:dyDescent="0.25">
      <c r="A4" s="505" t="s">
        <v>194</v>
      </c>
      <c r="B4" t="s">
        <v>195</v>
      </c>
      <c r="C4" s="506">
        <f>IFERROR(
    SUMIFS('[2]Custom HV &amp; WD'!D:D, '[2]Custom HV &amp; WD'!$B:$B, 'Generic HV &amp; WD'!$A4, '[2]Custom HV &amp; WD'!$C:$C, "Base")/COUNTIFS('[2]Custom HV &amp; WD'!$B:$B, 'Generic HV &amp; WD'!$A4, '[2]Custom HV &amp; WD'!$C:$C, "Base"),
    J4
)</f>
        <v>1.1874649803890181E-2</v>
      </c>
      <c r="D4" s="506">
        <f>IFERROR(
    SUMIFS('[2]Custom HV &amp; WD'!E:E, '[2]Custom HV &amp; WD'!$B:$B, 'Generic HV &amp; WD'!$A4, '[2]Custom HV &amp; WD'!$C:$C, "Base")/COUNTIFS('[2]Custom HV &amp; WD'!$B:$B, 'Generic HV &amp; WD'!$A4, '[2]Custom HV &amp; WD'!$C:$C, "Base"),
    K4
)</f>
        <v>0.2873044508940466</v>
      </c>
      <c r="E4" s="506">
        <f>IFERROR(
    SUMIFS('[2]Custom HV &amp; WD'!F:F, '[2]Custom HV &amp; WD'!$B:$B, 'Generic HV &amp; WD'!$A4, '[2]Custom HV &amp; WD'!$C:$C, "Base")/COUNTIFS('[2]Custom HV &amp; WD'!$B:$B, 'Generic HV &amp; WD'!$A4, '[2]Custom HV &amp; WD'!$C:$C, "Base"),
    L4
)</f>
        <v>0.13495124456662677</v>
      </c>
      <c r="F4" s="506">
        <f>IFERROR(
    SUMIFS('[2]Custom HV &amp; WD'!G:G, '[2]Custom HV &amp; WD'!$B:$B, 'Generic HV &amp; WD'!$A4, '[2]Custom HV &amp; WD'!$C:$C, "Base")/COUNTIFS('[2]Custom HV &amp; WD'!$B:$B, 'Generic HV &amp; WD'!$A4, '[2]Custom HV &amp; WD'!$C:$C, "Base"),
    M4
)</f>
        <v>0.48704684710313606</v>
      </c>
      <c r="G4" s="506">
        <f>IFERROR(
    SUMIFS('[2]Custom HV &amp; WD'!H:H, '[2]Custom HV &amp; WD'!$B:$B, 'Generic HV &amp; WD'!$A4, '[2]Custom HV &amp; WD'!$C:$C, "Base")/COUNTIFS('[2]Custom HV &amp; WD'!$B:$B, 'Generic HV &amp; WD'!$A4, '[2]Custom HV &amp; WD'!$C:$C, "Base"),
    N4
)</f>
        <v>2.6439073982321266E-3</v>
      </c>
      <c r="H4" s="507">
        <v>3.13</v>
      </c>
      <c r="I4" s="496"/>
      <c r="J4" s="506">
        <v>2.1492047987506806E-2</v>
      </c>
      <c r="K4" s="506">
        <v>0.28006650300918062</v>
      </c>
      <c r="L4" s="506">
        <v>0.12329440138538973</v>
      </c>
      <c r="M4" s="506">
        <v>0.44243223961045497</v>
      </c>
      <c r="N4" s="506">
        <v>6.8052012362149724E-3</v>
      </c>
      <c r="O4" s="508">
        <v>4.3599999999999994</v>
      </c>
      <c r="R4" s="509" t="s">
        <v>191</v>
      </c>
      <c r="S4" s="510">
        <v>2.73</v>
      </c>
      <c r="AA4" s="400" t="s">
        <v>567</v>
      </c>
    </row>
    <row r="5" spans="1:27" s="400" customFormat="1" ht="18" customHeight="1" x14ac:dyDescent="0.25">
      <c r="A5" s="505" t="s">
        <v>204</v>
      </c>
      <c r="B5" t="s">
        <v>205</v>
      </c>
      <c r="C5" s="506">
        <f>IFERROR(
    SUMIFS('[2]Custom HV &amp; WD'!D:D, '[2]Custom HV &amp; WD'!$B:$B, 'Generic HV &amp; WD'!$A5, '[2]Custom HV &amp; WD'!$C:$C, "Base")/COUNTIFS('[2]Custom HV &amp; WD'!$B:$B, 'Generic HV &amp; WD'!$A5, '[2]Custom HV &amp; WD'!$C:$C, "Base"),
    J5
)</f>
        <v>0.16832772343196775</v>
      </c>
      <c r="D5" s="506">
        <f>IFERROR(
    SUMIFS('[2]Custom HV &amp; WD'!E:E, '[2]Custom HV &amp; WD'!$B:$B, 'Generic HV &amp; WD'!$A5, '[2]Custom HV &amp; WD'!$C:$C, "Base")/COUNTIFS('[2]Custom HV &amp; WD'!$B:$B, 'Generic HV &amp; WD'!$A5, '[2]Custom HV &amp; WD'!$C:$C, "Base"),
    K5
)</f>
        <v>5.3258080813560274E-2</v>
      </c>
      <c r="E5" s="506">
        <f>IFERROR(
    SUMIFS('[2]Custom HV &amp; WD'!F:F, '[2]Custom HV &amp; WD'!$B:$B, 'Generic HV &amp; WD'!$A5, '[2]Custom HV &amp; WD'!$C:$C, "Base")/COUNTIFS('[2]Custom HV &amp; WD'!$B:$B, 'Generic HV &amp; WD'!$A5, '[2]Custom HV &amp; WD'!$C:$C, "Base"),
    L5
)</f>
        <v>2.1259912350245453E-2</v>
      </c>
      <c r="F5" s="506">
        <f>IFERROR(
    SUMIFS('[2]Custom HV &amp; WD'!G:G, '[2]Custom HV &amp; WD'!$B:$B, 'Generic HV &amp; WD'!$A5, '[2]Custom HV &amp; WD'!$C:$C, "Base")/COUNTIFS('[2]Custom HV &amp; WD'!$B:$B, 'Generic HV &amp; WD'!$A5, '[2]Custom HV &amp; WD'!$C:$C, "Base"),
    M5
)</f>
        <v>0.23564243261872514</v>
      </c>
      <c r="G5" s="506">
        <f>IFERROR(
    SUMIFS('[2]Custom HV &amp; WD'!H:H, '[2]Custom HV &amp; WD'!$B:$B, 'Generic HV &amp; WD'!$A5, '[2]Custom HV &amp; WD'!$C:$C, "Base")/COUNTIFS('[2]Custom HV &amp; WD'!$B:$B, 'Generic HV &amp; WD'!$A5, '[2]Custom HV &amp; WD'!$C:$C, "Base"),
    N5
)</f>
        <v>0.36190464954547247</v>
      </c>
      <c r="H5" s="507">
        <v>1.01</v>
      </c>
      <c r="I5" s="496"/>
      <c r="J5" s="506">
        <v>0.16832772343196775</v>
      </c>
      <c r="K5" s="506">
        <v>5.3258080813560274E-2</v>
      </c>
      <c r="L5" s="506">
        <v>2.1259912350245453E-2</v>
      </c>
      <c r="M5" s="506">
        <v>0.23564243261872514</v>
      </c>
      <c r="N5" s="506">
        <v>0.36190464954547247</v>
      </c>
      <c r="O5" s="508">
        <v>1.35</v>
      </c>
      <c r="R5" s="509" t="s">
        <v>140</v>
      </c>
      <c r="S5" s="510">
        <v>2.68</v>
      </c>
      <c r="AA5" s="400" t="s">
        <v>568</v>
      </c>
    </row>
    <row r="6" spans="1:27" s="400" customFormat="1" ht="18" customHeight="1" x14ac:dyDescent="0.25">
      <c r="A6" s="505" t="s">
        <v>207</v>
      </c>
      <c r="B6" t="s">
        <v>208</v>
      </c>
      <c r="C6" s="506">
        <f>IFERROR(
    SUMIFS('[2]Custom HV &amp; WD'!D:D, '[2]Custom HV &amp; WD'!$B:$B, 'Generic HV &amp; WD'!$A6, '[2]Custom HV &amp; WD'!$C:$C, "Base")/COUNTIFS('[2]Custom HV &amp; WD'!$B:$B, 'Generic HV &amp; WD'!$A6, '[2]Custom HV &amp; WD'!$C:$C, "Base"),
    J6
)</f>
        <v>0</v>
      </c>
      <c r="D6" s="506">
        <f>IFERROR(
    SUMIFS('[2]Custom HV &amp; WD'!E:E, '[2]Custom HV &amp; WD'!$B:$B, 'Generic HV &amp; WD'!$A6, '[2]Custom HV &amp; WD'!$C:$C, "Base")/COUNTIFS('[2]Custom HV &amp; WD'!$B:$B, 'Generic HV &amp; WD'!$A6, '[2]Custom HV &amp; WD'!$C:$C, "Base"),
    K6
)</f>
        <v>4.3718592964824124E-2</v>
      </c>
      <c r="E6" s="506">
        <f>IFERROR(
    SUMIFS('[2]Custom HV &amp; WD'!F:F, '[2]Custom HV &amp; WD'!$B:$B, 'Generic HV &amp; WD'!$A6, '[2]Custom HV &amp; WD'!$C:$C, "Base")/COUNTIFS('[2]Custom HV &amp; WD'!$B:$B, 'Generic HV &amp; WD'!$A6, '[2]Custom HV &amp; WD'!$C:$C, "Base"),
    L6
)</f>
        <v>9.0954773869346736E-2</v>
      </c>
      <c r="F6" s="506">
        <f>IFERROR(
    SUMIFS('[2]Custom HV &amp; WD'!G:G, '[2]Custom HV &amp; WD'!$B:$B, 'Generic HV &amp; WD'!$A6, '[2]Custom HV &amp; WD'!$C:$C, "Base")/COUNTIFS('[2]Custom HV &amp; WD'!$B:$B, 'Generic HV &amp; WD'!$A6, '[2]Custom HV &amp; WD'!$C:$C, "Base"),
    M6
)</f>
        <v>0.29798994974874371</v>
      </c>
      <c r="G6" s="506">
        <f>IFERROR(
    SUMIFS('[2]Custom HV &amp; WD'!H:H, '[2]Custom HV &amp; WD'!$B:$B, 'Generic HV &amp; WD'!$A6, '[2]Custom HV &amp; WD'!$C:$C, "Base")/COUNTIFS('[2]Custom HV &amp; WD'!$B:$B, 'Generic HV &amp; WD'!$A6, '[2]Custom HV &amp; WD'!$C:$C, "Base"),
    N6
)</f>
        <v>0</v>
      </c>
      <c r="H6" s="507">
        <v>3.18</v>
      </c>
      <c r="I6" s="496"/>
      <c r="J6" s="506">
        <v>1.9221628045157455E-2</v>
      </c>
      <c r="K6" s="506">
        <v>2.2221753801843085E-2</v>
      </c>
      <c r="L6" s="506">
        <v>3.0318257956448911E-2</v>
      </c>
      <c r="M6" s="506">
        <v>0.12469722336474276</v>
      </c>
      <c r="N6" s="506">
        <v>1.7646020822304571E-4</v>
      </c>
      <c r="O6" s="508">
        <v>1.49</v>
      </c>
      <c r="R6" s="509" t="s">
        <v>538</v>
      </c>
      <c r="S6" s="510">
        <v>1.01</v>
      </c>
    </row>
    <row r="7" spans="1:27" s="400" customFormat="1" ht="18" customHeight="1" x14ac:dyDescent="0.25">
      <c r="A7" s="505" t="s">
        <v>169</v>
      </c>
      <c r="B7" t="s">
        <v>569</v>
      </c>
      <c r="C7" s="506">
        <f>IFERROR(
    SUMIFS('[2]Custom HV &amp; WD'!D:D, '[2]Custom HV &amp; WD'!$B:$B, 'Generic HV &amp; WD'!$A7, '[2]Custom HV &amp; WD'!$C:$C, "Base")/COUNTIFS('[2]Custom HV &amp; WD'!$B:$B, 'Generic HV &amp; WD'!$A7, '[2]Custom HV &amp; WD'!$C:$C, "Base"),
    J7
)</f>
        <v>0.20115510858364183</v>
      </c>
      <c r="D7" s="506">
        <f>IFERROR(
    SUMIFS('[2]Custom HV &amp; WD'!E:E, '[2]Custom HV &amp; WD'!$B:$B, 'Generic HV &amp; WD'!$A7, '[2]Custom HV &amp; WD'!$C:$C, "Base")/COUNTIFS('[2]Custom HV &amp; WD'!$B:$B, 'Generic HV &amp; WD'!$A7, '[2]Custom HV &amp; WD'!$C:$C, "Base"),
    K7
)</f>
        <v>5.9680928208846989E-2</v>
      </c>
      <c r="E7" s="506">
        <f>IFERROR(
    SUMIFS('[2]Custom HV &amp; WD'!F:F, '[2]Custom HV &amp; WD'!$B:$B, 'Generic HV &amp; WD'!$A7, '[2]Custom HV &amp; WD'!$C:$C, "Base")/COUNTIFS('[2]Custom HV &amp; WD'!$B:$B, 'Generic HV &amp; WD'!$A7, '[2]Custom HV &amp; WD'!$C:$C, "Base"),
    L7
)</f>
        <v>0</v>
      </c>
      <c r="F7" s="506">
        <f>IFERROR(
    SUMIFS('[2]Custom HV &amp; WD'!G:G, '[2]Custom HV &amp; WD'!$B:$B, 'Generic HV &amp; WD'!$A7, '[2]Custom HV &amp; WD'!$C:$C, "Base")/COUNTIFS('[2]Custom HV &amp; WD'!$B:$B, 'Generic HV &amp; WD'!$A7, '[2]Custom HV &amp; WD'!$C:$C, "Base"),
    M7
)</f>
        <v>6.1309682836532958E-2</v>
      </c>
      <c r="G7" s="506">
        <f>IFERROR(
    SUMIFS('[2]Custom HV &amp; WD'!H:H, '[2]Custom HV &amp; WD'!$B:$B, 'Generic HV &amp; WD'!$A7, '[2]Custom HV &amp; WD'!$C:$C, "Base")/COUNTIFS('[2]Custom HV &amp; WD'!$B:$B, 'Generic HV &amp; WD'!$A7, '[2]Custom HV &amp; WD'!$C:$C, "Base"),
    N7
)</f>
        <v>2.0247318804625779E-3</v>
      </c>
      <c r="H7" s="508">
        <v>0.72</v>
      </c>
      <c r="I7" s="496"/>
      <c r="J7" s="506">
        <v>0.20115510858364183</v>
      </c>
      <c r="K7" s="506">
        <v>5.9680928208846989E-2</v>
      </c>
      <c r="L7" s="506">
        <v>0</v>
      </c>
      <c r="M7" s="506">
        <v>6.1309682836532958E-2</v>
      </c>
      <c r="N7" s="506">
        <v>2.0247318804625779E-3</v>
      </c>
      <c r="O7" s="508">
        <v>0.72</v>
      </c>
      <c r="R7" s="509" t="s">
        <v>539</v>
      </c>
      <c r="S7" s="510">
        <v>3.18</v>
      </c>
    </row>
    <row r="8" spans="1:27" s="400" customFormat="1" ht="18" customHeight="1" x14ac:dyDescent="0.25">
      <c r="A8" s="505" t="s">
        <v>190</v>
      </c>
      <c r="B8" t="s">
        <v>191</v>
      </c>
      <c r="C8" s="506">
        <f>IFERROR(
    SUMIFS('[2]Custom HV &amp; WD'!D:D, '[2]Custom HV &amp; WD'!$B:$B, 'Generic HV &amp; WD'!$A8, '[2]Custom HV &amp; WD'!$C:$C, "Base")/COUNTIFS('[2]Custom HV &amp; WD'!$B:$B, 'Generic HV &amp; WD'!$A8, '[2]Custom HV &amp; WD'!$C:$C, "Base"),
    J8
)</f>
        <v>4.3991620752888774E-2</v>
      </c>
      <c r="D8" s="506">
        <f>IFERROR(
    SUMIFS('[2]Custom HV &amp; WD'!E:E, '[2]Custom HV &amp; WD'!$B:$B, 'Generic HV &amp; WD'!$A8, '[2]Custom HV &amp; WD'!$C:$C, "Base")/COUNTIFS('[2]Custom HV &amp; WD'!$B:$B, 'Generic HV &amp; WD'!$A8, '[2]Custom HV &amp; WD'!$C:$C, "Base"),
    K8
)</f>
        <v>0.19211635718736295</v>
      </c>
      <c r="E8" s="506">
        <f>IFERROR(
    SUMIFS('[2]Custom HV &amp; WD'!F:F, '[2]Custom HV &amp; WD'!$B:$B, 'Generic HV &amp; WD'!$A8, '[2]Custom HV &amp; WD'!$C:$C, "Base")/COUNTIFS('[2]Custom HV &amp; WD'!$B:$B, 'Generic HV &amp; WD'!$A8, '[2]Custom HV &amp; WD'!$C:$C, "Base"),
    L8
)</f>
        <v>0.22295604082387882</v>
      </c>
      <c r="F8" s="506">
        <f>IFERROR(
    SUMIFS('[2]Custom HV &amp; WD'!G:G, '[2]Custom HV &amp; WD'!$B:$B, 'Generic HV &amp; WD'!$A8, '[2]Custom HV &amp; WD'!$C:$C, "Base")/COUNTIFS('[2]Custom HV &amp; WD'!$B:$B, 'Generic HV &amp; WD'!$A8, '[2]Custom HV &amp; WD'!$C:$C, "Base"),
    M8
)</f>
        <v>0.41747023102518466</v>
      </c>
      <c r="G8" s="506">
        <f>IFERROR(
    SUMIFS('[2]Custom HV &amp; WD'!H:H, '[2]Custom HV &amp; WD'!$B:$B, 'Generic HV &amp; WD'!$A8, '[2]Custom HV &amp; WD'!$C:$C, "Base")/COUNTIFS('[2]Custom HV &amp; WD'!$B:$B, 'Generic HV &amp; WD'!$A8, '[2]Custom HV &amp; WD'!$C:$C, "Base"),
    N8
)</f>
        <v>2.3832664417619592E-2</v>
      </c>
      <c r="H8" s="507">
        <v>2.73</v>
      </c>
      <c r="I8" s="496"/>
      <c r="J8" s="506">
        <v>2.4812420178799487E-2</v>
      </c>
      <c r="K8" s="506">
        <v>0.18416325299178959</v>
      </c>
      <c r="L8" s="506">
        <v>0.23831196877328026</v>
      </c>
      <c r="M8" s="506">
        <v>0.43011898699446194</v>
      </c>
      <c r="N8" s="506">
        <v>8.6280155772984462E-3</v>
      </c>
      <c r="O8" s="508">
        <v>3.5100000000000002</v>
      </c>
      <c r="R8" s="509" t="s">
        <v>540</v>
      </c>
      <c r="S8" s="510">
        <v>3.13</v>
      </c>
      <c r="T8" s="400" t="s">
        <v>541</v>
      </c>
    </row>
    <row r="9" spans="1:27" s="400" customFormat="1" ht="18" customHeight="1" x14ac:dyDescent="0.25">
      <c r="A9" s="505" t="s">
        <v>156</v>
      </c>
      <c r="B9" t="s">
        <v>570</v>
      </c>
      <c r="C9" s="506">
        <f>IFERROR(
    SUMIFS('[2]Custom HV &amp; WD'!D:D, '[2]Custom HV &amp; WD'!$B:$B, 'Generic HV &amp; WD'!$A9, '[2]Custom HV &amp; WD'!$C:$C, "Base")/COUNTIFS('[2]Custom HV &amp; WD'!$B:$B, 'Generic HV &amp; WD'!$A9, '[2]Custom HV &amp; WD'!$C:$C, "Base"),
    J9
)</f>
        <v>0</v>
      </c>
      <c r="D9" s="506">
        <f>IFERROR(
    SUMIFS('[2]Custom HV &amp; WD'!E:E, '[2]Custom HV &amp; WD'!$B:$B, 'Generic HV &amp; WD'!$A9, '[2]Custom HV &amp; WD'!$C:$C, "Base")/COUNTIFS('[2]Custom HV &amp; WD'!$B:$B, 'Generic HV &amp; WD'!$A9, '[2]Custom HV &amp; WD'!$C:$C, "Base"),
    K9
)</f>
        <v>4.1542499999999996E-2</v>
      </c>
      <c r="E9" s="506">
        <f>IFERROR(
    SUMIFS('[2]Custom HV &amp; WD'!F:F, '[2]Custom HV &amp; WD'!$B:$B, 'Generic HV &amp; WD'!$A9, '[2]Custom HV &amp; WD'!$C:$C, "Base")/COUNTIFS('[2]Custom HV &amp; WD'!$B:$B, 'Generic HV &amp; WD'!$A9, '[2]Custom HV &amp; WD'!$C:$C, "Base"),
    L9
)</f>
        <v>0.12905957731130205</v>
      </c>
      <c r="F9" s="506">
        <f>IFERROR(
    SUMIFS('[2]Custom HV &amp; WD'!G:G, '[2]Custom HV &amp; WD'!$B:$B, 'Generic HV &amp; WD'!$A9, '[2]Custom HV &amp; WD'!$C:$C, "Base")/COUNTIFS('[2]Custom HV &amp; WD'!$B:$B, 'Generic HV &amp; WD'!$A9, '[2]Custom HV &amp; WD'!$C:$C, "Base"),
    M9
)</f>
        <v>0.30120590963658067</v>
      </c>
      <c r="G9" s="506">
        <f>IFERROR(
    SUMIFS('[2]Custom HV &amp; WD'!H:H, '[2]Custom HV &amp; WD'!$B:$B, 'Generic HV &amp; WD'!$A9, '[2]Custom HV &amp; WD'!$C:$C, "Base")/COUNTIFS('[2]Custom HV &amp; WD'!$B:$B, 'Generic HV &amp; WD'!$A9, '[2]Custom HV &amp; WD'!$C:$C, "Base"),
    N9
)</f>
        <v>0</v>
      </c>
      <c r="H9" s="508">
        <v>0.98</v>
      </c>
      <c r="I9" s="496"/>
      <c r="J9" s="511">
        <v>0</v>
      </c>
      <c r="K9" s="511">
        <v>4.1542499999999996E-2</v>
      </c>
      <c r="L9" s="511">
        <v>0.12905957731130205</v>
      </c>
      <c r="M9" s="511">
        <v>0.30120590963658067</v>
      </c>
      <c r="N9" s="511">
        <v>0</v>
      </c>
      <c r="O9" s="508">
        <v>0.98</v>
      </c>
      <c r="R9" s="509" t="s">
        <v>542</v>
      </c>
      <c r="S9" s="510">
        <v>3.86</v>
      </c>
    </row>
    <row r="10" spans="1:27" s="400" customFormat="1" ht="18" customHeight="1" x14ac:dyDescent="0.25">
      <c r="A10" s="505" t="s">
        <v>159</v>
      </c>
      <c r="B10" t="s">
        <v>571</v>
      </c>
      <c r="C10" s="506">
        <f>IFERROR(
    SUMIFS('[2]Custom HV &amp; WD'!D:D, '[2]Custom HV &amp; WD'!$B:$B, 'Generic HV &amp; WD'!$A10, '[2]Custom HV &amp; WD'!$C:$C, "Base")/COUNTIFS('[2]Custom HV &amp; WD'!$B:$B, 'Generic HV &amp; WD'!$A10, '[2]Custom HV &amp; WD'!$C:$C, "Base"),
    J10
)</f>
        <v>0</v>
      </c>
      <c r="D10" s="506">
        <f>IFERROR(
    SUMIFS('[2]Custom HV &amp; WD'!E:E, '[2]Custom HV &amp; WD'!$B:$B, 'Generic HV &amp; WD'!$A10, '[2]Custom HV &amp; WD'!$C:$C, "Base")/COUNTIFS('[2]Custom HV &amp; WD'!$B:$B, 'Generic HV &amp; WD'!$A10, '[2]Custom HV &amp; WD'!$C:$C, "Base"),
    K10
)</f>
        <v>4.7750000000000001E-2</v>
      </c>
      <c r="E10" s="506">
        <f>IFERROR(
    SUMIFS('[2]Custom HV &amp; WD'!F:F, '[2]Custom HV &amp; WD'!$B:$B, 'Generic HV &amp; WD'!$A10, '[2]Custom HV &amp; WD'!$C:$C, "Base")/COUNTIFS('[2]Custom HV &amp; WD'!$B:$B, 'Generic HV &amp; WD'!$A10, '[2]Custom HV &amp; WD'!$C:$C, "Base"),
    L10
)</f>
        <v>0.23384066538248741</v>
      </c>
      <c r="F10" s="506">
        <f>IFERROR(
    SUMIFS('[2]Custom HV &amp; WD'!G:G, '[2]Custom HV &amp; WD'!$B:$B, 'Generic HV &amp; WD'!$A10, '[2]Custom HV &amp; WD'!$C:$C, "Base")/COUNTIFS('[2]Custom HV &amp; WD'!$B:$B, 'Generic HV &amp; WD'!$A10, '[2]Custom HV &amp; WD'!$C:$C, "Base"),
    M10
)</f>
        <v>0.33139855159611065</v>
      </c>
      <c r="G10" s="506">
        <f>IFERROR(
    SUMIFS('[2]Custom HV &amp; WD'!H:H, '[2]Custom HV &amp; WD'!$B:$B, 'Generic HV &amp; WD'!$A10, '[2]Custom HV &amp; WD'!$C:$C, "Base")/COUNTIFS('[2]Custom HV &amp; WD'!$B:$B, 'Generic HV &amp; WD'!$A10, '[2]Custom HV &amp; WD'!$C:$C, "Base"),
    N10
)</f>
        <v>0</v>
      </c>
      <c r="H10" s="508">
        <v>1.51</v>
      </c>
      <c r="I10" s="496"/>
      <c r="J10" s="511">
        <v>0</v>
      </c>
      <c r="K10" s="511">
        <v>4.7750000000000001E-2</v>
      </c>
      <c r="L10" s="511">
        <v>0.23384066538248741</v>
      </c>
      <c r="M10" s="511">
        <v>0.33139855159611065</v>
      </c>
      <c r="N10" s="511">
        <v>0</v>
      </c>
      <c r="O10" s="508">
        <v>1.51</v>
      </c>
      <c r="R10" s="509" t="s">
        <v>543</v>
      </c>
      <c r="S10" s="510">
        <v>5.38</v>
      </c>
      <c r="T10" s="400" t="s">
        <v>544</v>
      </c>
    </row>
    <row r="11" spans="1:27" s="400" customFormat="1" ht="18" customHeight="1" x14ac:dyDescent="0.25">
      <c r="A11" s="505" t="s">
        <v>149</v>
      </c>
      <c r="B11" t="s">
        <v>572</v>
      </c>
      <c r="C11" s="506">
        <f>IFERROR(
    SUMIFS('[2]Custom HV &amp; WD'!D:D, '[2]Custom HV &amp; WD'!$B:$B, 'Generic HV &amp; WD'!$A11, '[2]Custom HV &amp; WD'!$C:$C, "Base")/COUNTIFS('[2]Custom HV &amp; WD'!$B:$B, 'Generic HV &amp; WD'!$A11, '[2]Custom HV &amp; WD'!$C:$C, "Base"),
    J11
)</f>
        <v>0</v>
      </c>
      <c r="D11" s="506">
        <f>IFERROR(
    SUMIFS('[2]Custom HV &amp; WD'!E:E, '[2]Custom HV &amp; WD'!$B:$B, 'Generic HV &amp; WD'!$A11, '[2]Custom HV &amp; WD'!$C:$C, "Base")/COUNTIFS('[2]Custom HV &amp; WD'!$B:$B, 'Generic HV &amp; WD'!$A11, '[2]Custom HV &amp; WD'!$C:$C, "Base"),
    K11
)</f>
        <v>4.1542499999999996E-2</v>
      </c>
      <c r="E11" s="506">
        <f>IFERROR(
    SUMIFS('[2]Custom HV &amp; WD'!F:F, '[2]Custom HV &amp; WD'!$B:$B, 'Generic HV &amp; WD'!$A11, '[2]Custom HV &amp; WD'!$C:$C, "Base")/COUNTIFS('[2]Custom HV &amp; WD'!$B:$B, 'Generic HV &amp; WD'!$A11, '[2]Custom HV &amp; WD'!$C:$C, "Base"),
    L11
)</f>
        <v>0.12905957731130205</v>
      </c>
      <c r="F11" s="506">
        <f>IFERROR(
    SUMIFS('[2]Custom HV &amp; WD'!G:G, '[2]Custom HV &amp; WD'!$B:$B, 'Generic HV &amp; WD'!$A11, '[2]Custom HV &amp; WD'!$C:$C, "Base")/COUNTIFS('[2]Custom HV &amp; WD'!$B:$B, 'Generic HV &amp; WD'!$A11, '[2]Custom HV &amp; WD'!$C:$C, "Base"),
    M11
)</f>
        <v>0.30120590963658067</v>
      </c>
      <c r="G11" s="506">
        <f>IFERROR(
    SUMIFS('[2]Custom HV &amp; WD'!H:H, '[2]Custom HV &amp; WD'!$B:$B, 'Generic HV &amp; WD'!$A11, '[2]Custom HV &amp; WD'!$C:$C, "Base")/COUNTIFS('[2]Custom HV &amp; WD'!$B:$B, 'Generic HV &amp; WD'!$A11, '[2]Custom HV &amp; WD'!$C:$C, "Base"),
    N11
)</f>
        <v>0</v>
      </c>
      <c r="H11" s="508">
        <v>1.07</v>
      </c>
      <c r="I11" s="496"/>
      <c r="J11" s="511">
        <v>0</v>
      </c>
      <c r="K11" s="511">
        <v>4.1542499999999996E-2</v>
      </c>
      <c r="L11" s="511">
        <v>0.12905957731130205</v>
      </c>
      <c r="M11" s="511">
        <v>0.30120590963658067</v>
      </c>
      <c r="N11" s="511">
        <v>0</v>
      </c>
      <c r="O11" s="508">
        <v>1.07</v>
      </c>
    </row>
    <row r="12" spans="1:27" s="400" customFormat="1" ht="18" customHeight="1" x14ac:dyDescent="0.25">
      <c r="A12" s="505" t="s">
        <v>145</v>
      </c>
      <c r="B12" t="s">
        <v>573</v>
      </c>
      <c r="C12" s="506">
        <f>IFERROR(
    SUMIFS('[2]Custom HV &amp; WD'!D:D, '[2]Custom HV &amp; WD'!$B:$B, 'Generic HV &amp; WD'!$A12, '[2]Custom HV &amp; WD'!$C:$C, "Base")/COUNTIFS('[2]Custom HV &amp; WD'!$B:$B, 'Generic HV &amp; WD'!$A12, '[2]Custom HV &amp; WD'!$C:$C, "Base"),
    J12
)</f>
        <v>0.53250740216149872</v>
      </c>
      <c r="D12" s="506">
        <f>IFERROR(
    SUMIFS('[2]Custom HV &amp; WD'!E:E, '[2]Custom HV &amp; WD'!$B:$B, 'Generic HV &amp; WD'!$A12, '[2]Custom HV &amp; WD'!$C:$C, "Base")/COUNTIFS('[2]Custom HV &amp; WD'!$B:$B, 'Generic HV &amp; WD'!$A12, '[2]Custom HV &amp; WD'!$C:$C, "Base"),
    K12
)</f>
        <v>0.61029166666666668</v>
      </c>
      <c r="E12" s="506">
        <f>IFERROR(
    SUMIFS('[2]Custom HV &amp; WD'!F:F, '[2]Custom HV &amp; WD'!$B:$B, 'Generic HV &amp; WD'!$A12, '[2]Custom HV &amp; WD'!$C:$C, "Base")/COUNTIFS('[2]Custom HV &amp; WD'!$B:$B, 'Generic HV &amp; WD'!$A12, '[2]Custom HV &amp; WD'!$C:$C, "Base"),
    L12
)</f>
        <v>0.11520097001162803</v>
      </c>
      <c r="F12" s="506">
        <f>IFERROR(
    SUMIFS('[2]Custom HV &amp; WD'!G:G, '[2]Custom HV &amp; WD'!$B:$B, 'Generic HV &amp; WD'!$A12, '[2]Custom HV &amp; WD'!$C:$C, "Base")/COUNTIFS('[2]Custom HV &amp; WD'!$B:$B, 'Generic HV &amp; WD'!$A12, '[2]Custom HV &amp; WD'!$C:$C, "Base"),
    M12
)</f>
        <v>0.47706131681367753</v>
      </c>
      <c r="G12" s="506">
        <f>IFERROR(
    SUMIFS('[2]Custom HV &amp; WD'!H:H, '[2]Custom HV &amp; WD'!$B:$B, 'Generic HV &amp; WD'!$A12, '[2]Custom HV &amp; WD'!$C:$C, "Base")/COUNTIFS('[2]Custom HV &amp; WD'!$B:$B, 'Generic HV &amp; WD'!$A12, '[2]Custom HV &amp; WD'!$C:$C, "Base"),
    N12
)</f>
        <v>0</v>
      </c>
      <c r="H12" s="510">
        <v>3.86</v>
      </c>
      <c r="I12" s="496"/>
      <c r="J12" s="512">
        <v>0.53250740216149872</v>
      </c>
      <c r="K12" s="512">
        <v>0.61029166666666668</v>
      </c>
      <c r="L12" s="512">
        <v>0.11520097001162803</v>
      </c>
      <c r="M12" s="512">
        <v>0.47706131681367753</v>
      </c>
      <c r="N12" s="512">
        <v>0</v>
      </c>
      <c r="O12" s="508">
        <v>4.0999999999999996</v>
      </c>
    </row>
    <row r="13" spans="1:27" s="400" customFormat="1" ht="18" customHeight="1" x14ac:dyDescent="0.25">
      <c r="A13" s="505" t="s">
        <v>182</v>
      </c>
      <c r="B13" t="s">
        <v>574</v>
      </c>
      <c r="C13" s="506">
        <f>IFERROR(
    SUMIFS('[2]Custom HV &amp; WD'!D:D, '[2]Custom HV &amp; WD'!$B:$B, 'Generic HV &amp; WD'!$A13, '[2]Custom HV &amp; WD'!$C:$C, "Base")/COUNTIFS('[2]Custom HV &amp; WD'!$B:$B, 'Generic HV &amp; WD'!$A13, '[2]Custom HV &amp; WD'!$C:$C, "Base"),
    J13
)</f>
        <v>0</v>
      </c>
      <c r="D13" s="506">
        <f>IFERROR(
    SUMIFS('[2]Custom HV &amp; WD'!E:E, '[2]Custom HV &amp; WD'!$B:$B, 'Generic HV &amp; WD'!$A13, '[2]Custom HV &amp; WD'!$C:$C, "Base")/COUNTIFS('[2]Custom HV &amp; WD'!$B:$B, 'Generic HV &amp; WD'!$A13, '[2]Custom HV &amp; WD'!$C:$C, "Base"),
    K13
)</f>
        <v>0.75500000000000012</v>
      </c>
      <c r="E13" s="506">
        <f>IFERROR(
    SUMIFS('[2]Custom HV &amp; WD'!F:F, '[2]Custom HV &amp; WD'!$B:$B, 'Generic HV &amp; WD'!$A13, '[2]Custom HV &amp; WD'!$C:$C, "Base")/COUNTIFS('[2]Custom HV &amp; WD'!$B:$B, 'Generic HV &amp; WD'!$A13, '[2]Custom HV &amp; WD'!$C:$C, "Base"),
    L13
)</f>
        <v>0.14514412708595817</v>
      </c>
      <c r="F13" s="506">
        <f>IFERROR(
    SUMIFS('[2]Custom HV &amp; WD'!G:G, '[2]Custom HV &amp; WD'!$B:$B, 'Generic HV &amp; WD'!$A13, '[2]Custom HV &amp; WD'!$C:$C, "Base")/COUNTIFS('[2]Custom HV &amp; WD'!$B:$B, 'Generic HV &amp; WD'!$A13, '[2]Custom HV &amp; WD'!$C:$C, "Base"),
    M13
)</f>
        <v>0.57019733426244634</v>
      </c>
      <c r="G13" s="506">
        <f>IFERROR(
    SUMIFS('[2]Custom HV &amp; WD'!H:H, '[2]Custom HV &amp; WD'!$B:$B, 'Generic HV &amp; WD'!$A13, '[2]Custom HV &amp; WD'!$C:$C, "Base")/COUNTIFS('[2]Custom HV &amp; WD'!$B:$B, 'Generic HV &amp; WD'!$A13, '[2]Custom HV &amp; WD'!$C:$C, "Base"),
    N13
)</f>
        <v>0</v>
      </c>
      <c r="H13" s="510">
        <v>3.86</v>
      </c>
      <c r="I13" s="496"/>
      <c r="J13" s="512">
        <v>0</v>
      </c>
      <c r="K13" s="512">
        <v>0.75500000000000012</v>
      </c>
      <c r="L13" s="512">
        <v>0.14514412708595817</v>
      </c>
      <c r="M13" s="512">
        <v>0.57019733426244634</v>
      </c>
      <c r="N13" s="512">
        <v>0</v>
      </c>
      <c r="O13" s="508">
        <v>4.7099999999999991</v>
      </c>
    </row>
    <row r="14" spans="1:27" s="400" customFormat="1" ht="18" customHeight="1" x14ac:dyDescent="0.25">
      <c r="A14" s="505" t="s">
        <v>196</v>
      </c>
      <c r="B14" t="s">
        <v>197</v>
      </c>
      <c r="C14" s="506">
        <f>IFERROR(
    SUMIFS('[2]Custom HV &amp; WD'!D:D, '[2]Custom HV &amp; WD'!$B:$B, 'Generic HV &amp; WD'!$A14, '[2]Custom HV &amp; WD'!$C:$C, "Base")/COUNTIFS('[2]Custom HV &amp; WD'!$B:$B, 'Generic HV &amp; WD'!$A14, '[2]Custom HV &amp; WD'!$C:$C, "Base"),
    J14
)</f>
        <v>0</v>
      </c>
      <c r="D14" s="506">
        <f>IFERROR(
    SUMIFS('[2]Custom HV &amp; WD'!E:E, '[2]Custom HV &amp; WD'!$B:$B, 'Generic HV &amp; WD'!$A14, '[2]Custom HV &amp; WD'!$C:$C, "Base")/COUNTIFS('[2]Custom HV &amp; WD'!$B:$B, 'Generic HV &amp; WD'!$A14, '[2]Custom HV &amp; WD'!$C:$C, "Base"),
    K14
)</f>
        <v>0.26999999999999996</v>
      </c>
      <c r="E14" s="506">
        <f>IFERROR(
    SUMIFS('[2]Custom HV &amp; WD'!F:F, '[2]Custom HV &amp; WD'!$B:$B, 'Generic HV &amp; WD'!$A14, '[2]Custom HV &amp; WD'!$C:$C, "Base")/COUNTIFS('[2]Custom HV &amp; WD'!$B:$B, 'Generic HV &amp; WD'!$A14, '[2]Custom HV &amp; WD'!$C:$C, "Base"),
    L14
)</f>
        <v>0.53908469164528727</v>
      </c>
      <c r="F14" s="506">
        <f>IFERROR(
    SUMIFS('[2]Custom HV &amp; WD'!G:G, '[2]Custom HV &amp; WD'!$B:$B, 'Generic HV &amp; WD'!$A14, '[2]Custom HV &amp; WD'!$C:$C, "Base")/COUNTIFS('[2]Custom HV &amp; WD'!$B:$B, 'Generic HV &amp; WD'!$A14, '[2]Custom HV &amp; WD'!$C:$C, "Base"),
    M14
)</f>
        <v>0.56124860801609122</v>
      </c>
      <c r="G14" s="506">
        <f>IFERROR(
    SUMIFS('[2]Custom HV &amp; WD'!H:H, '[2]Custom HV &amp; WD'!$B:$B, 'Generic HV &amp; WD'!$A14, '[2]Custom HV &amp; WD'!$C:$C, "Base")/COUNTIFS('[2]Custom HV &amp; WD'!$B:$B, 'Generic HV &amp; WD'!$A14, '[2]Custom HV &amp; WD'!$C:$C, "Base"),
    N14
)</f>
        <v>0</v>
      </c>
      <c r="H14" s="510">
        <v>3.86</v>
      </c>
      <c r="I14" s="496"/>
      <c r="J14" s="512">
        <v>0</v>
      </c>
      <c r="K14" s="512">
        <v>0.26999999999999996</v>
      </c>
      <c r="L14" s="512">
        <v>0.53908469164528727</v>
      </c>
      <c r="M14" s="512">
        <v>0.56124860801609122</v>
      </c>
      <c r="N14" s="512">
        <v>0</v>
      </c>
      <c r="O14" s="508">
        <v>3.46</v>
      </c>
    </row>
    <row r="15" spans="1:27" s="400" customFormat="1" ht="18" customHeight="1" x14ac:dyDescent="0.25">
      <c r="A15" s="505" t="s">
        <v>198</v>
      </c>
      <c r="B15" t="s">
        <v>199</v>
      </c>
      <c r="C15" s="506">
        <f>IFERROR(
    SUMIFS('[2]Custom HV &amp; WD'!D:D, '[2]Custom HV &amp; WD'!$B:$B, 'Generic HV &amp; WD'!$A15, '[2]Custom HV &amp; WD'!$C:$C, "Base")/COUNTIFS('[2]Custom HV &amp; WD'!$B:$B, 'Generic HV &amp; WD'!$A15, '[2]Custom HV &amp; WD'!$C:$C, "Base"),
    J15
)</f>
        <v>0</v>
      </c>
      <c r="D15" s="506">
        <f>IFERROR(
    SUMIFS('[2]Custom HV &amp; WD'!E:E, '[2]Custom HV &amp; WD'!$B:$B, 'Generic HV &amp; WD'!$A15, '[2]Custom HV &amp; WD'!$C:$C, "Base")/COUNTIFS('[2]Custom HV &amp; WD'!$B:$B, 'Generic HV &amp; WD'!$A15, '[2]Custom HV &amp; WD'!$C:$C, "Base"),
    K15
)</f>
        <v>7.7354999999999993E-2</v>
      </c>
      <c r="E15" s="506">
        <f>IFERROR(
    SUMIFS('[2]Custom HV &amp; WD'!F:F, '[2]Custom HV &amp; WD'!$B:$B, 'Generic HV &amp; WD'!$A15, '[2]Custom HV &amp; WD'!$C:$C, "Base")/COUNTIFS('[2]Custom HV &amp; WD'!$B:$B, 'Generic HV &amp; WD'!$A15, '[2]Custom HV &amp; WD'!$C:$C, "Base"),
    L15
)</f>
        <v>0.52288362369902364</v>
      </c>
      <c r="F15" s="506">
        <f>IFERROR(
    SUMIFS('[2]Custom HV &amp; WD'!G:G, '[2]Custom HV &amp; WD'!$B:$B, 'Generic HV &amp; WD'!$A15, '[2]Custom HV &amp; WD'!$C:$C, "Base")/COUNTIFS('[2]Custom HV &amp; WD'!$B:$B, 'Generic HV &amp; WD'!$A15, '[2]Custom HV &amp; WD'!$C:$C, "Base"),
    M15
)</f>
        <v>0.54847515896346666</v>
      </c>
      <c r="G15" s="506">
        <f>IFERROR(
    SUMIFS('[2]Custom HV &amp; WD'!H:H, '[2]Custom HV &amp; WD'!$B:$B, 'Generic HV &amp; WD'!$A15, '[2]Custom HV &amp; WD'!$C:$C, "Base")/COUNTIFS('[2]Custom HV &amp; WD'!$B:$B, 'Generic HV &amp; WD'!$A15, '[2]Custom HV &amp; WD'!$C:$C, "Base"),
    N15
)</f>
        <v>0</v>
      </c>
      <c r="H15" s="510">
        <v>3.86</v>
      </c>
      <c r="I15" s="496"/>
      <c r="J15" s="512">
        <v>0</v>
      </c>
      <c r="K15" s="512">
        <v>7.7354999999999993E-2</v>
      </c>
      <c r="L15" s="512">
        <v>0.52288362369902364</v>
      </c>
      <c r="M15" s="512">
        <v>0.54847515896346666</v>
      </c>
      <c r="N15" s="512">
        <v>0</v>
      </c>
      <c r="O15" s="508">
        <v>3.46</v>
      </c>
    </row>
    <row r="16" spans="1:27" s="400" customFormat="1" ht="18" customHeight="1" x14ac:dyDescent="0.25">
      <c r="A16" s="505" t="s">
        <v>175</v>
      </c>
      <c r="B16" t="s">
        <v>575</v>
      </c>
      <c r="C16" s="506">
        <f>IFERROR(
    SUMIFS('[2]Custom HV &amp; WD'!D:D, '[2]Custom HV &amp; WD'!$B:$B, 'Generic HV &amp; WD'!$A16, '[2]Custom HV &amp; WD'!$C:$C, "Base")/COUNTIFS('[2]Custom HV &amp; WD'!$B:$B, 'Generic HV &amp; WD'!$A16, '[2]Custom HV &amp; WD'!$C:$C, "Base"),
    J16
)</f>
        <v>0</v>
      </c>
      <c r="D16" s="506">
        <f>IFERROR(
    SUMIFS('[2]Custom HV &amp; WD'!E:E, '[2]Custom HV &amp; WD'!$B:$B, 'Generic HV &amp; WD'!$A16, '[2]Custom HV &amp; WD'!$C:$C, "Base")/COUNTIFS('[2]Custom HV &amp; WD'!$B:$B, 'Generic HV &amp; WD'!$A16, '[2]Custom HV &amp; WD'!$C:$C, "Base"),
    K16
)</f>
        <v>0.35249999999999998</v>
      </c>
      <c r="E16" s="506">
        <f>IFERROR(
    SUMIFS('[2]Custom HV &amp; WD'!F:F, '[2]Custom HV &amp; WD'!$B:$B, 'Generic HV &amp; WD'!$A16, '[2]Custom HV &amp; WD'!$C:$C, "Base")/COUNTIFS('[2]Custom HV &amp; WD'!$B:$B, 'Generic HV &amp; WD'!$A16, '[2]Custom HV &amp; WD'!$C:$C, "Base"),
    L16
)</f>
        <v>0.39216642887819259</v>
      </c>
      <c r="F16" s="506">
        <f>IFERROR(
    SUMIFS('[2]Custom HV &amp; WD'!G:G, '[2]Custom HV &amp; WD'!$B:$B, 'Generic HV &amp; WD'!$A16, '[2]Custom HV &amp; WD'!$C:$C, "Base")/COUNTIFS('[2]Custom HV &amp; WD'!$B:$B, 'Generic HV &amp; WD'!$A16, '[2]Custom HV &amp; WD'!$C:$C, "Base"),
    M16
)</f>
        <v>0.89442719099991586</v>
      </c>
      <c r="G16" s="506">
        <f>IFERROR(
    SUMIFS('[2]Custom HV &amp; WD'!H:H, '[2]Custom HV &amp; WD'!$B:$B, 'Generic HV &amp; WD'!$A16, '[2]Custom HV &amp; WD'!$C:$C, "Base")/COUNTIFS('[2]Custom HV &amp; WD'!$B:$B, 'Generic HV &amp; WD'!$A16, '[2]Custom HV &amp; WD'!$C:$C, "Base"),
    N16
)</f>
        <v>0</v>
      </c>
      <c r="H16" s="510">
        <v>3.86</v>
      </c>
      <c r="I16" s="496"/>
      <c r="J16" s="512">
        <v>0</v>
      </c>
      <c r="K16" s="512">
        <v>0.35249999999999998</v>
      </c>
      <c r="L16" s="512">
        <v>0.39216642887819259</v>
      </c>
      <c r="M16" s="512">
        <v>0.89442719099991586</v>
      </c>
      <c r="N16" s="512">
        <v>0</v>
      </c>
      <c r="O16" s="508">
        <v>4.7099999999999991</v>
      </c>
    </row>
    <row r="17" spans="1:15" s="400" customFormat="1" ht="18" customHeight="1" x14ac:dyDescent="0.25">
      <c r="A17" s="505" t="s">
        <v>173</v>
      </c>
      <c r="B17" t="s">
        <v>173</v>
      </c>
      <c r="C17" s="506">
        <f>IFERROR(
    SUMIFS('[2]Custom HV &amp; WD'!D:D, '[2]Custom HV &amp; WD'!$B:$B, 'Generic HV &amp; WD'!$A17, '[2]Custom HV &amp; WD'!$C:$C, "Base")/COUNTIFS('[2]Custom HV &amp; WD'!$B:$B, 'Generic HV &amp; WD'!$A17, '[2]Custom HV &amp; WD'!$C:$C, "Base"),
    J17
)</f>
        <v>0.15383995416612356</v>
      </c>
      <c r="D17" s="506">
        <f>IFERROR(
    SUMIFS('[2]Custom HV &amp; WD'!E:E, '[2]Custom HV &amp; WD'!$B:$B, 'Generic HV &amp; WD'!$A17, '[2]Custom HV &amp; WD'!$C:$C, "Base")/COUNTIFS('[2]Custom HV &amp; WD'!$B:$B, 'Generic HV &amp; WD'!$A17, '[2]Custom HV &amp; WD'!$C:$C, "Base"),
    K17
)</f>
        <v>0.02</v>
      </c>
      <c r="E17" s="506">
        <f>IFERROR(
    SUMIFS('[2]Custom HV &amp; WD'!F:F, '[2]Custom HV &amp; WD'!$B:$B, 'Generic HV &amp; WD'!$A17, '[2]Custom HV &amp; WD'!$C:$C, "Base")/COUNTIFS('[2]Custom HV &amp; WD'!$B:$B, 'Generic HV &amp; WD'!$A17, '[2]Custom HV &amp; WD'!$C:$C, "Base"),
    L17
)</f>
        <v>0</v>
      </c>
      <c r="F17" s="506">
        <f>IFERROR(
    SUMIFS('[2]Custom HV &amp; WD'!G:G, '[2]Custom HV &amp; WD'!$B:$B, 'Generic HV &amp; WD'!$A17, '[2]Custom HV &amp; WD'!$C:$C, "Base")/COUNTIFS('[2]Custom HV &amp; WD'!$B:$B, 'Generic HV &amp; WD'!$A17, '[2]Custom HV &amp; WD'!$C:$C, "Base"),
    M17
)</f>
        <v>0</v>
      </c>
      <c r="G17" s="506">
        <f>IFERROR(
    SUMIFS('[2]Custom HV &amp; WD'!H:H, '[2]Custom HV &amp; WD'!$B:$B, 'Generic HV &amp; WD'!$A17, '[2]Custom HV &amp; WD'!$C:$C, "Base")/COUNTIFS('[2]Custom HV &amp; WD'!$B:$B, 'Generic HV &amp; WD'!$A17, '[2]Custom HV &amp; WD'!$C:$C, "Base"),
    N17
)</f>
        <v>0.97249999999999992</v>
      </c>
      <c r="H17" s="508">
        <v>1.49</v>
      </c>
      <c r="I17" s="496"/>
      <c r="J17" s="512">
        <v>0.15383995416612356</v>
      </c>
      <c r="K17" s="512">
        <v>0.02</v>
      </c>
      <c r="L17" s="512">
        <v>0</v>
      </c>
      <c r="M17" s="512">
        <v>0</v>
      </c>
      <c r="N17" s="512">
        <v>0.97249999999999992</v>
      </c>
      <c r="O17" s="508">
        <v>1.49</v>
      </c>
    </row>
    <row r="18" spans="1:15" s="400" customFormat="1" ht="18" customHeight="1" x14ac:dyDescent="0.25">
      <c r="A18" s="505" t="s">
        <v>184</v>
      </c>
      <c r="B18" t="s">
        <v>576</v>
      </c>
      <c r="C18" s="506">
        <f>IFERROR(
    SUMIFS('[2]Custom HV &amp; WD'!D:D, '[2]Custom HV &amp; WD'!$B:$B, 'Generic HV &amp; WD'!$A18, '[2]Custom HV &amp; WD'!$C:$C, "Base")/COUNTIFS('[2]Custom HV &amp; WD'!$B:$B, 'Generic HV &amp; WD'!$A18, '[2]Custom HV &amp; WD'!$C:$C, "Base"),
    J18
)</f>
        <v>0</v>
      </c>
      <c r="D18" s="506">
        <f>IFERROR(
    SUMIFS('[2]Custom HV &amp; WD'!E:E, '[2]Custom HV &amp; WD'!$B:$B, 'Generic HV &amp; WD'!$A18, '[2]Custom HV &amp; WD'!$C:$C, "Base")/COUNTIFS('[2]Custom HV &amp; WD'!$B:$B, 'Generic HV &amp; WD'!$A18, '[2]Custom HV &amp; WD'!$C:$C, "Base"),
    K18
)</f>
        <v>0.75500000000000012</v>
      </c>
      <c r="E18" s="506">
        <f>IFERROR(
    SUMIFS('[2]Custom HV &amp; WD'!F:F, '[2]Custom HV &amp; WD'!$B:$B, 'Generic HV &amp; WD'!$A18, '[2]Custom HV &amp; WD'!$C:$C, "Base")/COUNTIFS('[2]Custom HV &amp; WD'!$B:$B, 'Generic HV &amp; WD'!$A18, '[2]Custom HV &amp; WD'!$C:$C, "Base"),
    L18
)</f>
        <v>0.15838514486573974</v>
      </c>
      <c r="F18" s="506">
        <f>IFERROR(
    SUMIFS('[2]Custom HV &amp; WD'!G:G, '[2]Custom HV &amp; WD'!$B:$B, 'Generic HV &amp; WD'!$A18, '[2]Custom HV &amp; WD'!$C:$C, "Base")/COUNTIFS('[2]Custom HV &amp; WD'!$B:$B, 'Generic HV &amp; WD'!$A18, '[2]Custom HV &amp; WD'!$C:$C, "Base"),
    M18
)</f>
        <v>0.73201711496642863</v>
      </c>
      <c r="G18" s="506">
        <f>IFERROR(
    SUMIFS('[2]Custom HV &amp; WD'!H:H, '[2]Custom HV &amp; WD'!$B:$B, 'Generic HV &amp; WD'!$A18, '[2]Custom HV &amp; WD'!$C:$C, "Base")/COUNTIFS('[2]Custom HV &amp; WD'!$B:$B, 'Generic HV &amp; WD'!$A18, '[2]Custom HV &amp; WD'!$C:$C, "Base"),
    N18
)</f>
        <v>0</v>
      </c>
      <c r="H18" s="510">
        <v>3.86</v>
      </c>
      <c r="I18" s="496"/>
      <c r="J18" s="512">
        <v>0</v>
      </c>
      <c r="K18" s="512">
        <v>0.75500000000000012</v>
      </c>
      <c r="L18" s="512">
        <v>0.15838514486573974</v>
      </c>
      <c r="M18" s="512">
        <v>0.73201711496642863</v>
      </c>
      <c r="N18" s="512">
        <v>0</v>
      </c>
      <c r="O18" s="508">
        <v>4.7099999999999991</v>
      </c>
    </row>
    <row r="19" spans="1:15" s="400" customFormat="1" ht="18" customHeight="1" x14ac:dyDescent="0.25">
      <c r="A19" s="505" t="s">
        <v>178</v>
      </c>
      <c r="B19" t="s">
        <v>577</v>
      </c>
      <c r="C19" s="506">
        <f>IFERROR(
    SUMIFS('[2]Custom HV &amp; WD'!D:D, '[2]Custom HV &amp; WD'!$B:$B, 'Generic HV &amp; WD'!$A19, '[2]Custom HV &amp; WD'!$C:$C, "Base")/COUNTIFS('[2]Custom HV &amp; WD'!$B:$B, 'Generic HV &amp; WD'!$A19, '[2]Custom HV &amp; WD'!$C:$C, "Base"),
    J19
)</f>
        <v>0</v>
      </c>
      <c r="D19" s="506">
        <f>IFERROR(
    SUMIFS('[2]Custom HV &amp; WD'!E:E, '[2]Custom HV &amp; WD'!$B:$B, 'Generic HV &amp; WD'!$A19, '[2]Custom HV &amp; WD'!$C:$C, "Base")/COUNTIFS('[2]Custom HV &amp; WD'!$B:$B, 'Generic HV &amp; WD'!$A19, '[2]Custom HV &amp; WD'!$C:$C, "Base"),
    K19
)</f>
        <v>0.12</v>
      </c>
      <c r="E19" s="506">
        <f>IFERROR(
    SUMIFS('[2]Custom HV &amp; WD'!F:F, '[2]Custom HV &amp; WD'!$B:$B, 'Generic HV &amp; WD'!$A19, '[2]Custom HV &amp; WD'!$C:$C, "Base")/COUNTIFS('[2]Custom HV &amp; WD'!$B:$B, 'Generic HV &amp; WD'!$A19, '[2]Custom HV &amp; WD'!$C:$C, "Base"),
    L19
)</f>
        <v>0.53908469164528727</v>
      </c>
      <c r="F19" s="506">
        <f>IFERROR(
    SUMIFS('[2]Custom HV &amp; WD'!G:G, '[2]Custom HV &amp; WD'!$B:$B, 'Generic HV &amp; WD'!$A19, '[2]Custom HV &amp; WD'!$C:$C, "Base")/COUNTIFS('[2]Custom HV &amp; WD'!$B:$B, 'Generic HV &amp; WD'!$A19, '[2]Custom HV &amp; WD'!$C:$C, "Base"),
    M19
)</f>
        <v>0.89442719099991586</v>
      </c>
      <c r="G19" s="506">
        <f>IFERROR(
    SUMIFS('[2]Custom HV &amp; WD'!H:H, '[2]Custom HV &amp; WD'!$B:$B, 'Generic HV &amp; WD'!$A19, '[2]Custom HV &amp; WD'!$C:$C, "Base")/COUNTIFS('[2]Custom HV &amp; WD'!$B:$B, 'Generic HV &amp; WD'!$A19, '[2]Custom HV &amp; WD'!$C:$C, "Base"),
    N19
)</f>
        <v>0</v>
      </c>
      <c r="H19" s="510">
        <v>3.86</v>
      </c>
      <c r="I19" s="496"/>
      <c r="J19" s="512">
        <v>0</v>
      </c>
      <c r="K19" s="512">
        <v>0.12</v>
      </c>
      <c r="L19" s="512">
        <v>0.53908469164528727</v>
      </c>
      <c r="M19" s="512">
        <v>0.89442719099991586</v>
      </c>
      <c r="N19" s="512">
        <v>0</v>
      </c>
      <c r="O19" s="508">
        <v>4.7099999999999991</v>
      </c>
    </row>
    <row r="20" spans="1:15" s="400" customFormat="1" ht="18" customHeight="1" x14ac:dyDescent="0.25">
      <c r="A20" s="505" t="s">
        <v>180</v>
      </c>
      <c r="B20" t="s">
        <v>578</v>
      </c>
      <c r="C20" s="506">
        <f>IFERROR(
    SUMIFS('[2]Custom HV &amp; WD'!D:D, '[2]Custom HV &amp; WD'!$B:$B, 'Generic HV &amp; WD'!$A20, '[2]Custom HV &amp; WD'!$C:$C, "Base")/COUNTIFS('[2]Custom HV &amp; WD'!$B:$B, 'Generic HV &amp; WD'!$A20, '[2]Custom HV &amp; WD'!$C:$C, "Base"),
    J20
)</f>
        <v>0</v>
      </c>
      <c r="D20" s="506">
        <f>IFERROR(
    SUMIFS('[2]Custom HV &amp; WD'!E:E, '[2]Custom HV &amp; WD'!$B:$B, 'Generic HV &amp; WD'!$A20, '[2]Custom HV &amp; WD'!$C:$C, "Base")/COUNTIFS('[2]Custom HV &amp; WD'!$B:$B, 'Generic HV &amp; WD'!$A20, '[2]Custom HV &amp; WD'!$C:$C, "Base"),
    K20
)</f>
        <v>0.11459999999999999</v>
      </c>
      <c r="E20" s="506">
        <f>IFERROR(
    SUMIFS('[2]Custom HV &amp; WD'!F:F, '[2]Custom HV &amp; WD'!$B:$B, 'Generic HV &amp; WD'!$A20, '[2]Custom HV &amp; WD'!$C:$C, "Base")/COUNTIFS('[2]Custom HV &amp; WD'!$B:$B, 'Generic HV &amp; WD'!$A20, '[2]Custom HV &amp; WD'!$C:$C, "Base"),
    L20
)</f>
        <v>0.52288362369902364</v>
      </c>
      <c r="F20" s="506">
        <f>IFERROR(
    SUMIFS('[2]Custom HV &amp; WD'!G:G, '[2]Custom HV &amp; WD'!$B:$B, 'Generic HV &amp; WD'!$A20, '[2]Custom HV &amp; WD'!$C:$C, "Base")/COUNTIFS('[2]Custom HV &amp; WD'!$B:$B, 'Generic HV &amp; WD'!$A20, '[2]Custom HV &amp; WD'!$C:$C, "Base"),
    M20
)</f>
        <v>0.87407093533648628</v>
      </c>
      <c r="G20" s="506">
        <f>IFERROR(
    SUMIFS('[2]Custom HV &amp; WD'!H:H, '[2]Custom HV &amp; WD'!$B:$B, 'Generic HV &amp; WD'!$A20, '[2]Custom HV &amp; WD'!$C:$C, "Base")/COUNTIFS('[2]Custom HV &amp; WD'!$B:$B, 'Generic HV &amp; WD'!$A20, '[2]Custom HV &amp; WD'!$C:$C, "Base"),
    N20
)</f>
        <v>0</v>
      </c>
      <c r="H20" s="510">
        <v>3.86</v>
      </c>
      <c r="I20" s="496"/>
      <c r="J20" s="512">
        <v>0</v>
      </c>
      <c r="K20" s="512">
        <v>0.11459999999999999</v>
      </c>
      <c r="L20" s="512">
        <v>0.52288362369902364</v>
      </c>
      <c r="M20" s="512">
        <v>0.87407093533648628</v>
      </c>
      <c r="N20" s="512">
        <v>0</v>
      </c>
      <c r="O20" s="508">
        <v>4.7099999999999991</v>
      </c>
    </row>
    <row r="21" spans="1:15" s="400" customFormat="1" ht="18" customHeight="1" x14ac:dyDescent="0.25">
      <c r="A21" s="505" t="s">
        <v>181</v>
      </c>
      <c r="B21" t="s">
        <v>579</v>
      </c>
      <c r="C21" s="506">
        <f>IFERROR(
    SUMIFS('[2]Custom HV &amp; WD'!D:D, '[2]Custom HV &amp; WD'!$B:$B, 'Generic HV &amp; WD'!$A21, '[2]Custom HV &amp; WD'!$C:$C, "Base")/COUNTIFS('[2]Custom HV &amp; WD'!$B:$B, 'Generic HV &amp; WD'!$A21, '[2]Custom HV &amp; WD'!$C:$C, "Base"),
    J21
)</f>
        <v>0</v>
      </c>
      <c r="D21" s="506">
        <f>IFERROR(
    SUMIFS('[2]Custom HV &amp; WD'!E:E, '[2]Custom HV &amp; WD'!$B:$B, 'Generic HV &amp; WD'!$A21, '[2]Custom HV &amp; WD'!$C:$C, "Base")/COUNTIFS('[2]Custom HV &amp; WD'!$B:$B, 'Generic HV &amp; WD'!$A21, '[2]Custom HV &amp; WD'!$C:$C, "Base"),
    K21
)</f>
        <v>0.38200000000000001</v>
      </c>
      <c r="E21" s="506">
        <f>IFERROR(
    SUMIFS('[2]Custom HV &amp; WD'!F:F, '[2]Custom HV &amp; WD'!$B:$B, 'Generic HV &amp; WD'!$A21, '[2]Custom HV &amp; WD'!$C:$C, "Base")/COUNTIFS('[2]Custom HV &amp; WD'!$B:$B, 'Generic HV &amp; WD'!$A21, '[2]Custom HV &amp; WD'!$C:$C, "Base"),
    L21
)</f>
        <v>0.52288362369902364</v>
      </c>
      <c r="F21" s="506">
        <f>IFERROR(
    SUMIFS('[2]Custom HV &amp; WD'!G:G, '[2]Custom HV &amp; WD'!$B:$B, 'Generic HV &amp; WD'!$A21, '[2]Custom HV &amp; WD'!$C:$C, "Base")/COUNTIFS('[2]Custom HV &amp; WD'!$B:$B, 'Generic HV &amp; WD'!$A21, '[2]Custom HV &amp; WD'!$C:$C, "Base"),
    M21
)</f>
        <v>0.87407093533648628</v>
      </c>
      <c r="G21" s="506">
        <f>IFERROR(
    SUMIFS('[2]Custom HV &amp; WD'!H:H, '[2]Custom HV &amp; WD'!$B:$B, 'Generic HV &amp; WD'!$A21, '[2]Custom HV &amp; WD'!$C:$C, "Base")/COUNTIFS('[2]Custom HV &amp; WD'!$B:$B, 'Generic HV &amp; WD'!$A21, '[2]Custom HV &amp; WD'!$C:$C, "Base"),
    N21
)</f>
        <v>0</v>
      </c>
      <c r="H21" s="510">
        <v>3.86</v>
      </c>
      <c r="I21" s="496"/>
      <c r="J21" s="512">
        <v>0</v>
      </c>
      <c r="K21" s="512">
        <v>0.38200000000000001</v>
      </c>
      <c r="L21" s="512">
        <v>0.52288362369902364</v>
      </c>
      <c r="M21" s="512">
        <v>0.87407093533648628</v>
      </c>
      <c r="N21" s="512">
        <v>0</v>
      </c>
      <c r="O21" s="508">
        <v>4.7099999999999991</v>
      </c>
    </row>
    <row r="22" spans="1:15" s="400" customFormat="1" ht="18" customHeight="1" x14ac:dyDescent="0.25">
      <c r="A22" s="505" t="s">
        <v>186</v>
      </c>
      <c r="B22" t="s">
        <v>580</v>
      </c>
      <c r="C22" s="506">
        <f>IFERROR(
    SUMIFS('[2]Custom HV &amp; WD'!D:D, '[2]Custom HV &amp; WD'!$B:$B, 'Generic HV &amp; WD'!$A22, '[2]Custom HV &amp; WD'!$C:$C, "Base")/COUNTIFS('[2]Custom HV &amp; WD'!$B:$B, 'Generic HV &amp; WD'!$A22, '[2]Custom HV &amp; WD'!$C:$C, "Base"),
    J22
)</f>
        <v>0</v>
      </c>
      <c r="D22" s="506">
        <f>IFERROR(
    SUMIFS('[2]Custom HV &amp; WD'!E:E, '[2]Custom HV &amp; WD'!$B:$B, 'Generic HV &amp; WD'!$A22, '[2]Custom HV &amp; WD'!$C:$C, "Base")/COUNTIFS('[2]Custom HV &amp; WD'!$B:$B, 'Generic HV &amp; WD'!$A22, '[2]Custom HV &amp; WD'!$C:$C, "Base"),
    K22
)</f>
        <v>0.3726666666666667</v>
      </c>
      <c r="E22" s="506">
        <f>IFERROR(
    SUMIFS('[2]Custom HV &amp; WD'!F:F, '[2]Custom HV &amp; WD'!$B:$B, 'Generic HV &amp; WD'!$A22, '[2]Custom HV &amp; WD'!$C:$C, "Base")/COUNTIFS('[2]Custom HV &amp; WD'!$B:$B, 'Generic HV &amp; WD'!$A22, '[2]Custom HV &amp; WD'!$C:$C, "Base"),
    L22
)</f>
        <v>0.50390843230817306</v>
      </c>
      <c r="F22" s="506">
        <f>IFERROR(
    SUMIFS('[2]Custom HV &amp; WD'!G:G, '[2]Custom HV &amp; WD'!$B:$B, 'Generic HV &amp; WD'!$A22, '[2]Custom HV &amp; WD'!$C:$C, "Base")/COUNTIFS('[2]Custom HV &amp; WD'!$B:$B, 'Generic HV &amp; WD'!$A22, '[2]Custom HV &amp; WD'!$C:$C, "Base"),
    M22
)</f>
        <v>0.63196123298822693</v>
      </c>
      <c r="G22" s="506">
        <f>IFERROR(
    SUMIFS('[2]Custom HV &amp; WD'!H:H, '[2]Custom HV &amp; WD'!$B:$B, 'Generic HV &amp; WD'!$A22, '[2]Custom HV &amp; WD'!$C:$C, "Base")/COUNTIFS('[2]Custom HV &amp; WD'!$B:$B, 'Generic HV &amp; WD'!$A22, '[2]Custom HV &amp; WD'!$C:$C, "Base"),
    N22
)</f>
        <v>0</v>
      </c>
      <c r="H22" s="510">
        <v>3.86</v>
      </c>
      <c r="I22" s="496"/>
      <c r="J22" s="512">
        <v>0</v>
      </c>
      <c r="K22" s="512">
        <v>0.3726666666666667</v>
      </c>
      <c r="L22" s="512">
        <v>0.50390843230817306</v>
      </c>
      <c r="M22" s="512">
        <v>0.63196123298822693</v>
      </c>
      <c r="N22" s="512">
        <v>0</v>
      </c>
      <c r="O22" s="508">
        <v>4.7099999999999991</v>
      </c>
    </row>
    <row r="23" spans="1:15" s="400" customFormat="1" ht="18" customHeight="1" x14ac:dyDescent="0.25">
      <c r="A23" s="505" t="s">
        <v>187</v>
      </c>
      <c r="B23" t="s">
        <v>581</v>
      </c>
      <c r="C23" s="506">
        <f>IFERROR(
    SUMIFS('[2]Custom HV &amp; WD'!D:D, '[2]Custom HV &amp; WD'!$B:$B, 'Generic HV &amp; WD'!$A23, '[2]Custom HV &amp; WD'!$C:$C, "Base")/COUNTIFS('[2]Custom HV &amp; WD'!$B:$B, 'Generic HV &amp; WD'!$A23, '[2]Custom HV &amp; WD'!$C:$C, "Base"),
    J23
)</f>
        <v>0</v>
      </c>
      <c r="D23" s="506">
        <f>IFERROR(
    SUMIFS('[2]Custom HV &amp; WD'!E:E, '[2]Custom HV &amp; WD'!$B:$B, 'Generic HV &amp; WD'!$A23, '[2]Custom HV &amp; WD'!$C:$C, "Base")/COUNTIFS('[2]Custom HV &amp; WD'!$B:$B, 'Generic HV &amp; WD'!$A23, '[2]Custom HV &amp; WD'!$C:$C, "Base"),
    K23
)</f>
        <v>0.35186666666666666</v>
      </c>
      <c r="E23" s="506">
        <f>IFERROR(
    SUMIFS('[2]Custom HV &amp; WD'!F:F, '[2]Custom HV &amp; WD'!$B:$B, 'Generic HV &amp; WD'!$A23, '[2]Custom HV &amp; WD'!$C:$C, "Base")/COUNTIFS('[2]Custom HV &amp; WD'!$B:$B, 'Generic HV &amp; WD'!$A23, '[2]Custom HV &amp; WD'!$C:$C, "Base"),
    L23
)</f>
        <v>0.56982333691863019</v>
      </c>
      <c r="F23" s="506">
        <f>IFERROR(
    SUMIFS('[2]Custom HV &amp; WD'!G:G, '[2]Custom HV &amp; WD'!$B:$B, 'Generic HV &amp; WD'!$A23, '[2]Custom HV &amp; WD'!$C:$C, "Base")/COUNTIFS('[2]Custom HV &amp; WD'!$B:$B, 'Generic HV &amp; WD'!$A23, '[2]Custom HV &amp; WD'!$C:$C, "Base"),
    M23
)</f>
        <v>0.61022536820423978</v>
      </c>
      <c r="G23" s="506">
        <f>IFERROR(
    SUMIFS('[2]Custom HV &amp; WD'!H:H, '[2]Custom HV &amp; WD'!$B:$B, 'Generic HV &amp; WD'!$A23, '[2]Custom HV &amp; WD'!$C:$C, "Base")/COUNTIFS('[2]Custom HV &amp; WD'!$B:$B, 'Generic HV &amp; WD'!$A23, '[2]Custom HV &amp; WD'!$C:$C, "Base"),
    N23
)</f>
        <v>0</v>
      </c>
      <c r="H23" s="510">
        <v>3.86</v>
      </c>
      <c r="I23" s="496"/>
      <c r="J23" s="512">
        <v>0</v>
      </c>
      <c r="K23" s="512">
        <v>0.35186666666666666</v>
      </c>
      <c r="L23" s="512">
        <v>0.56982333691863019</v>
      </c>
      <c r="M23" s="512">
        <v>0.61022536820423978</v>
      </c>
      <c r="N23" s="512">
        <v>0</v>
      </c>
      <c r="O23" s="508">
        <v>4.7099999999999991</v>
      </c>
    </row>
    <row r="24" spans="1:15" s="400" customFormat="1" ht="18" customHeight="1" x14ac:dyDescent="0.25">
      <c r="A24" s="505" t="s">
        <v>153</v>
      </c>
      <c r="B24" t="s">
        <v>570</v>
      </c>
      <c r="C24" s="506">
        <f>IFERROR(
    SUMIFS('[2]Custom HV &amp; WD'!D:D, '[2]Custom HV &amp; WD'!$B:$B, 'Generic HV &amp; WD'!$A24, '[2]Custom HV &amp; WD'!$C:$C, "Base")/COUNTIFS('[2]Custom HV &amp; WD'!$B:$B, 'Generic HV &amp; WD'!$A24, '[2]Custom HV &amp; WD'!$C:$C, "Base"),
    J24
)</f>
        <v>0</v>
      </c>
      <c r="D24" s="506">
        <f>IFERROR(
    SUMIFS('[2]Custom HV &amp; WD'!E:E, '[2]Custom HV &amp; WD'!$B:$B, 'Generic HV &amp; WD'!$A24, '[2]Custom HV &amp; WD'!$C:$C, "Base")/COUNTIFS('[2]Custom HV &amp; WD'!$B:$B, 'Generic HV &amp; WD'!$A24, '[2]Custom HV &amp; WD'!$C:$C, "Base"),
    K24
)</f>
        <v>4.1542499999999996E-2</v>
      </c>
      <c r="E24" s="506">
        <f>IFERROR(
    SUMIFS('[2]Custom HV &amp; WD'!F:F, '[2]Custom HV &amp; WD'!$B:$B, 'Generic HV &amp; WD'!$A24, '[2]Custom HV &amp; WD'!$C:$C, "Base")/COUNTIFS('[2]Custom HV &amp; WD'!$B:$B, 'Generic HV &amp; WD'!$A24, '[2]Custom HV &amp; WD'!$C:$C, "Base"),
    L24
)</f>
        <v>0.12905957731130205</v>
      </c>
      <c r="F24" s="506">
        <f>IFERROR(
    SUMIFS('[2]Custom HV &amp; WD'!G:G, '[2]Custom HV &amp; WD'!$B:$B, 'Generic HV &amp; WD'!$A24, '[2]Custom HV &amp; WD'!$C:$C, "Base")/COUNTIFS('[2]Custom HV &amp; WD'!$B:$B, 'Generic HV &amp; WD'!$A24, '[2]Custom HV &amp; WD'!$C:$C, "Base"),
    M24
)</f>
        <v>0.30120590963658067</v>
      </c>
      <c r="G24" s="506">
        <f>IFERROR(
    SUMIFS('[2]Custom HV &amp; WD'!H:H, '[2]Custom HV &amp; WD'!$B:$B, 'Generic HV &amp; WD'!$A24, '[2]Custom HV &amp; WD'!$C:$C, "Base")/COUNTIFS('[2]Custom HV &amp; WD'!$B:$B, 'Generic HV &amp; WD'!$A24, '[2]Custom HV &amp; WD'!$C:$C, "Base"),
    N24
)</f>
        <v>0</v>
      </c>
      <c r="H24" s="508">
        <v>0.98</v>
      </c>
      <c r="I24" s="496"/>
      <c r="J24" s="512">
        <v>0</v>
      </c>
      <c r="K24" s="512">
        <v>4.1542499999999996E-2</v>
      </c>
      <c r="L24" s="512">
        <v>0.12905957731130205</v>
      </c>
      <c r="M24" s="512">
        <v>0.30120590963658067</v>
      </c>
      <c r="N24" s="512">
        <v>0</v>
      </c>
      <c r="O24" s="508">
        <v>0.98</v>
      </c>
    </row>
    <row r="25" spans="1:15" s="400" customFormat="1" ht="18" customHeight="1" x14ac:dyDescent="0.25">
      <c r="A25" s="505" t="s">
        <v>162</v>
      </c>
      <c r="B25" t="s">
        <v>582</v>
      </c>
      <c r="C25" s="506">
        <f>IFERROR(
    SUMIFS('[2]Custom HV &amp; WD'!D:D, '[2]Custom HV &amp; WD'!$B:$B, 'Generic HV &amp; WD'!$A25, '[2]Custom HV &amp; WD'!$C:$C, "Base")/COUNTIFS('[2]Custom HV &amp; WD'!$B:$B, 'Generic HV &amp; WD'!$A25, '[2]Custom HV &amp; WD'!$C:$C, "Base"),
    J25
)</f>
        <v>0</v>
      </c>
      <c r="D25" s="506">
        <f>IFERROR(
    SUMIFS('[2]Custom HV &amp; WD'!E:E, '[2]Custom HV &amp; WD'!$B:$B, 'Generic HV &amp; WD'!$A25, '[2]Custom HV &amp; WD'!$C:$C, "Base")/COUNTIFS('[2]Custom HV &amp; WD'!$B:$B, 'Generic HV &amp; WD'!$A25, '[2]Custom HV &amp; WD'!$C:$C, "Base"),
    K25
)</f>
        <v>4.7272500000000002E-2</v>
      </c>
      <c r="E25" s="506">
        <f>IFERROR(
    SUMIFS('[2]Custom HV &amp; WD'!F:F, '[2]Custom HV &amp; WD'!$B:$B, 'Generic HV &amp; WD'!$A25, '[2]Custom HV &amp; WD'!$C:$C, "Base")/COUNTIFS('[2]Custom HV &amp; WD'!$B:$B, 'Generic HV &amp; WD'!$A25, '[2]Custom HV &amp; WD'!$C:$C, "Base"),
    L25
)</f>
        <v>0.36071307787781953</v>
      </c>
      <c r="F25" s="506">
        <f>IFERROR(
    SUMIFS('[2]Custom HV &amp; WD'!G:G, '[2]Custom HV &amp; WD'!$B:$B, 'Generic HV &amp; WD'!$A25, '[2]Custom HV &amp; WD'!$C:$C, "Base")/COUNTIFS('[2]Custom HV &amp; WD'!$B:$B, 'Generic HV &amp; WD'!$A25, '[2]Custom HV &amp; WD'!$C:$C, "Base"),
    M25
)</f>
        <v>0.39089640571384132</v>
      </c>
      <c r="G25" s="506">
        <f>IFERROR(
    SUMIFS('[2]Custom HV &amp; WD'!H:H, '[2]Custom HV &amp; WD'!$B:$B, 'Generic HV &amp; WD'!$A25, '[2]Custom HV &amp; WD'!$C:$C, "Base")/COUNTIFS('[2]Custom HV &amp; WD'!$B:$B, 'Generic HV &amp; WD'!$A25, '[2]Custom HV &amp; WD'!$C:$C, "Base"),
    N25
)</f>
        <v>0</v>
      </c>
      <c r="H25" s="508">
        <v>3.59</v>
      </c>
      <c r="I25" s="496"/>
      <c r="J25" s="512">
        <v>0</v>
      </c>
      <c r="K25" s="512">
        <v>4.7272500000000002E-2</v>
      </c>
      <c r="L25" s="512">
        <v>0.36071307787781953</v>
      </c>
      <c r="M25" s="512">
        <v>0.39089640571384132</v>
      </c>
      <c r="N25" s="512">
        <v>0</v>
      </c>
      <c r="O25" s="508">
        <v>3.59</v>
      </c>
    </row>
    <row r="26" spans="1:15" s="400" customFormat="1" ht="18" customHeight="1" x14ac:dyDescent="0.25">
      <c r="A26" s="505" t="s">
        <v>166</v>
      </c>
      <c r="B26" t="s">
        <v>571</v>
      </c>
      <c r="C26" s="506">
        <f>IFERROR(
    SUMIFS('[2]Custom HV &amp; WD'!D:D, '[2]Custom HV &amp; WD'!$B:$B, 'Generic HV &amp; WD'!$A26, '[2]Custom HV &amp; WD'!$C:$C, "Base")/COUNTIFS('[2]Custom HV &amp; WD'!$B:$B, 'Generic HV &amp; WD'!$A26, '[2]Custom HV &amp; WD'!$C:$C, "Base"),
    J26
)</f>
        <v>0</v>
      </c>
      <c r="D26" s="506">
        <f>IFERROR(
    SUMIFS('[2]Custom HV &amp; WD'!E:E, '[2]Custom HV &amp; WD'!$B:$B, 'Generic HV &amp; WD'!$A26, '[2]Custom HV &amp; WD'!$C:$C, "Base")/COUNTIFS('[2]Custom HV &amp; WD'!$B:$B, 'Generic HV &amp; WD'!$A26, '[2]Custom HV &amp; WD'!$C:$C, "Base"),
    K26
)</f>
        <v>4.7750000000000001E-2</v>
      </c>
      <c r="E26" s="506">
        <f>IFERROR(
    SUMIFS('[2]Custom HV &amp; WD'!F:F, '[2]Custom HV &amp; WD'!$B:$B, 'Generic HV &amp; WD'!$A26, '[2]Custom HV &amp; WD'!$C:$C, "Base")/COUNTIFS('[2]Custom HV &amp; WD'!$B:$B, 'Generic HV &amp; WD'!$A26, '[2]Custom HV &amp; WD'!$C:$C, "Base"),
    L26
)</f>
        <v>0.23384066538248741</v>
      </c>
      <c r="F26" s="506">
        <f>IFERROR(
    SUMIFS('[2]Custom HV &amp; WD'!G:G, '[2]Custom HV &amp; WD'!$B:$B, 'Generic HV &amp; WD'!$A26, '[2]Custom HV &amp; WD'!$C:$C, "Base")/COUNTIFS('[2]Custom HV &amp; WD'!$B:$B, 'Generic HV &amp; WD'!$A26, '[2]Custom HV &amp; WD'!$C:$C, "Base"),
    M26
)</f>
        <v>0.33139855159611065</v>
      </c>
      <c r="G26" s="506">
        <f>IFERROR(
    SUMIFS('[2]Custom HV &amp; WD'!H:H, '[2]Custom HV &amp; WD'!$B:$B, 'Generic HV &amp; WD'!$A26, '[2]Custom HV &amp; WD'!$C:$C, "Base")/COUNTIFS('[2]Custom HV &amp; WD'!$B:$B, 'Generic HV &amp; WD'!$A26, '[2]Custom HV &amp; WD'!$C:$C, "Base"),
    N26
)</f>
        <v>0</v>
      </c>
      <c r="H26" s="508">
        <v>1.51</v>
      </c>
      <c r="I26" s="496"/>
      <c r="J26" s="512">
        <v>0</v>
      </c>
      <c r="K26" s="512">
        <v>4.7750000000000001E-2</v>
      </c>
      <c r="L26" s="512">
        <v>0.23384066538248741</v>
      </c>
      <c r="M26" s="512">
        <v>0.33139855159611065</v>
      </c>
      <c r="N26" s="512">
        <v>0</v>
      </c>
      <c r="O26" s="508">
        <v>1.51</v>
      </c>
    </row>
    <row r="27" spans="1:15" s="400" customFormat="1" ht="18" customHeight="1" x14ac:dyDescent="0.25">
      <c r="A27" s="505" t="s">
        <v>192</v>
      </c>
      <c r="B27" t="s">
        <v>583</v>
      </c>
      <c r="C27" s="506">
        <f>IFERROR(
    SUMIFS('[2]Custom HV &amp; WD'!D:D, '[2]Custom HV &amp; WD'!$B:$B, 'Generic HV &amp; WD'!$A27, '[2]Custom HV &amp; WD'!$C:$C, "Base")/COUNTIFS('[2]Custom HV &amp; WD'!$B:$B, 'Generic HV &amp; WD'!$A27, '[2]Custom HV &amp; WD'!$C:$C, "Base"),
    J27
)</f>
        <v>2.4812420178799487E-2</v>
      </c>
      <c r="D27" s="506">
        <f>IFERROR(
    SUMIFS('[2]Custom HV &amp; WD'!E:E, '[2]Custom HV &amp; WD'!$B:$B, 'Generic HV &amp; WD'!$A27, '[2]Custom HV &amp; WD'!$C:$C, "Base")/COUNTIFS('[2]Custom HV &amp; WD'!$B:$B, 'Generic HV &amp; WD'!$A27, '[2]Custom HV &amp; WD'!$C:$C, "Base"),
    K27
)</f>
        <v>0.18416325299178959</v>
      </c>
      <c r="E27" s="506">
        <f>IFERROR(
    SUMIFS('[2]Custom HV &amp; WD'!F:F, '[2]Custom HV &amp; WD'!$B:$B, 'Generic HV &amp; WD'!$A27, '[2]Custom HV &amp; WD'!$C:$C, "Base")/COUNTIFS('[2]Custom HV &amp; WD'!$B:$B, 'Generic HV &amp; WD'!$A27, '[2]Custom HV &amp; WD'!$C:$C, "Base"),
    L27
)</f>
        <v>0.23831196877328026</v>
      </c>
      <c r="F27" s="506">
        <f>IFERROR(
    SUMIFS('[2]Custom HV &amp; WD'!G:G, '[2]Custom HV &amp; WD'!$B:$B, 'Generic HV &amp; WD'!$A27, '[2]Custom HV &amp; WD'!$C:$C, "Base")/COUNTIFS('[2]Custom HV &amp; WD'!$B:$B, 'Generic HV &amp; WD'!$A27, '[2]Custom HV &amp; WD'!$C:$C, "Base"),
    M27
)</f>
        <v>0.43011898699446194</v>
      </c>
      <c r="G27" s="506">
        <f>IFERROR(
    SUMIFS('[2]Custom HV &amp; WD'!H:H, '[2]Custom HV &amp; WD'!$B:$B, 'Generic HV &amp; WD'!$A27, '[2]Custom HV &amp; WD'!$C:$C, "Base")/COUNTIFS('[2]Custom HV &amp; WD'!$B:$B, 'Generic HV &amp; WD'!$A27, '[2]Custom HV &amp; WD'!$C:$C, "Base"),
    N27
)</f>
        <v>8.6280155772984462E-3</v>
      </c>
      <c r="H27" s="507">
        <v>2.68</v>
      </c>
      <c r="I27" s="496"/>
      <c r="J27" s="506">
        <v>2.4812420178799487E-2</v>
      </c>
      <c r="K27" s="506">
        <v>0.18416325299178959</v>
      </c>
      <c r="L27" s="506">
        <v>0.23831196877328026</v>
      </c>
      <c r="M27" s="506">
        <v>0.43011898699446194</v>
      </c>
      <c r="N27" s="506">
        <v>8.6280155772984462E-3</v>
      </c>
      <c r="O27" s="508">
        <v>3</v>
      </c>
    </row>
    <row r="28" spans="1:15" s="400" customFormat="1" ht="18" customHeight="1" x14ac:dyDescent="0.25">
      <c r="A28" s="505" t="s">
        <v>152</v>
      </c>
      <c r="B28" t="s">
        <v>152</v>
      </c>
      <c r="C28" s="506">
        <f>IFERROR(
    SUMIFS('[2]Custom HV &amp; WD'!D:D, '[2]Custom HV &amp; WD'!$B:$B, 'Generic HV &amp; WD'!$A28, '[2]Custom HV &amp; WD'!$C:$C, "Base")/COUNTIFS('[2]Custom HV &amp; WD'!$B:$B, 'Generic HV &amp; WD'!$A28, '[2]Custom HV &amp; WD'!$C:$C, "Base"),
    J28
)</f>
        <v>0</v>
      </c>
      <c r="D28" s="506">
        <v>0</v>
      </c>
      <c r="E28" s="506">
        <f>IFERROR(
    SUMIFS('[2]Custom HV &amp; WD'!F:F, '[2]Custom HV &amp; WD'!$B:$B, 'Generic HV &amp; WD'!$A28, '[2]Custom HV &amp; WD'!$C:$C, "Base")/COUNTIFS('[2]Custom HV &amp; WD'!$B:$B, 'Generic HV &amp; WD'!$A28, '[2]Custom HV &amp; WD'!$C:$C, "Base"),
    L28
)</f>
        <v>0</v>
      </c>
      <c r="F28" s="506">
        <v>0</v>
      </c>
      <c r="G28" s="506">
        <v>0</v>
      </c>
      <c r="H28" s="508">
        <v>0</v>
      </c>
      <c r="I28" s="496"/>
      <c r="J28" s="506">
        <v>0</v>
      </c>
      <c r="K28" s="506">
        <v>0</v>
      </c>
      <c r="L28" s="506">
        <v>0</v>
      </c>
      <c r="M28" s="506">
        <v>0</v>
      </c>
      <c r="N28" s="506">
        <v>0</v>
      </c>
      <c r="O28" s="508">
        <v>0</v>
      </c>
    </row>
    <row r="29" spans="1:15" s="400" customFormat="1" ht="18" customHeight="1" x14ac:dyDescent="0.25">
      <c r="A29" s="505" t="s">
        <v>200</v>
      </c>
      <c r="B29" t="s">
        <v>200</v>
      </c>
      <c r="C29" s="506">
        <f>IFERROR(
    SUMIFS('[2]Custom HV &amp; WD'!D:D, '[2]Custom HV &amp; WD'!$B:$B, 'Generic HV &amp; WD'!$A29, '[2]Custom HV &amp; WD'!$C:$C, "Base")/COUNTIFS('[2]Custom HV &amp; WD'!$B:$B, 'Generic HV &amp; WD'!$A29, '[2]Custom HV &amp; WD'!$C:$C, "Base"),
    J29
)</f>
        <v>0</v>
      </c>
      <c r="D29" s="506">
        <f>IFERROR(
    SUMIFS('[2]Custom HV &amp; WD'!E:E, '[2]Custom HV &amp; WD'!$B:$B, 'Generic HV &amp; WD'!$A29, '[2]Custom HV &amp; WD'!$C:$C, "Base")/COUNTIFS('[2]Custom HV &amp; WD'!$B:$B, 'Generic HV &amp; WD'!$A29, '[2]Custom HV &amp; WD'!$C:$C, "Base"),
    K29
)</f>
        <v>0</v>
      </c>
      <c r="E29" s="506">
        <f>IFERROR(
    SUMIFS('[2]Custom HV &amp; WD'!F:F, '[2]Custom HV &amp; WD'!$B:$B, 'Generic HV &amp; WD'!$A29, '[2]Custom HV &amp; WD'!$C:$C, "Base")/COUNTIFS('[2]Custom HV &amp; WD'!$B:$B, 'Generic HV &amp; WD'!$A29, '[2]Custom HV &amp; WD'!$C:$C, "Base"),
    L29
)</f>
        <v>0</v>
      </c>
      <c r="F29" s="506">
        <f>IFERROR(
    SUMIFS('[2]Custom HV &amp; WD'!G:G, '[2]Custom HV &amp; WD'!$B:$B, 'Generic HV &amp; WD'!$A29, '[2]Custom HV &amp; WD'!$C:$C, "Base")/COUNTIFS('[2]Custom HV &amp; WD'!$B:$B, 'Generic HV &amp; WD'!$A29, '[2]Custom HV &amp; WD'!$C:$C, "Base"),
    M29
)</f>
        <v>0</v>
      </c>
      <c r="G29" s="506">
        <f>IFERROR(
    SUMIFS('[2]Custom HV &amp; WD'!H:H, '[2]Custom HV &amp; WD'!$B:$B, 'Generic HV &amp; WD'!$A29, '[2]Custom HV &amp; WD'!$C:$C, "Base")/COUNTIFS('[2]Custom HV &amp; WD'!$B:$B, 'Generic HV &amp; WD'!$A29, '[2]Custom HV &amp; WD'!$C:$C, "Base"),
    N29
)</f>
        <v>0</v>
      </c>
      <c r="H29" s="508">
        <v>0</v>
      </c>
      <c r="I29" s="496"/>
      <c r="J29" s="506">
        <v>0</v>
      </c>
      <c r="K29" s="506">
        <v>0</v>
      </c>
      <c r="L29" s="506">
        <v>0</v>
      </c>
      <c r="M29" s="506">
        <v>0</v>
      </c>
      <c r="N29" s="506">
        <v>0</v>
      </c>
      <c r="O29" s="508">
        <v>0</v>
      </c>
    </row>
    <row r="30" spans="1:15" s="400" customFormat="1" ht="18" customHeight="1" x14ac:dyDescent="0.25">
      <c r="A30" s="505" t="s">
        <v>202</v>
      </c>
      <c r="B30" t="s">
        <v>202</v>
      </c>
      <c r="C30" s="506">
        <f>IFERROR(
    SUMIFS('[2]Custom HV &amp; WD'!D:D, '[2]Custom HV &amp; WD'!$B:$B, 'Generic HV &amp; WD'!$A30, '[2]Custom HV &amp; WD'!$C:$C, "Base")/COUNTIFS('[2]Custom HV &amp; WD'!$B:$B, 'Generic HV &amp; WD'!$A30, '[2]Custom HV &amp; WD'!$C:$C, "Base"),
    J30
)</f>
        <v>0</v>
      </c>
      <c r="D30" s="506">
        <f>IFERROR(
    SUMIFS('[2]Custom HV &amp; WD'!E:E, '[2]Custom HV &amp; WD'!$B:$B, 'Generic HV &amp; WD'!$A30, '[2]Custom HV &amp; WD'!$C:$C, "Base")/COUNTIFS('[2]Custom HV &amp; WD'!$B:$B, 'Generic HV &amp; WD'!$A30, '[2]Custom HV &amp; WD'!$C:$C, "Base"),
    K30
)</f>
        <v>0</v>
      </c>
      <c r="E30" s="506">
        <f>IFERROR(
    SUMIFS('[2]Custom HV &amp; WD'!F:F, '[2]Custom HV &amp; WD'!$B:$B, 'Generic HV &amp; WD'!$A30, '[2]Custom HV &amp; WD'!$C:$C, "Base")/COUNTIFS('[2]Custom HV &amp; WD'!$B:$B, 'Generic HV &amp; WD'!$A30, '[2]Custom HV &amp; WD'!$C:$C, "Base"),
    L30
)</f>
        <v>0</v>
      </c>
      <c r="F30" s="506">
        <f>IFERROR(
    SUMIFS('[2]Custom HV &amp; WD'!G:G, '[2]Custom HV &amp; WD'!$B:$B, 'Generic HV &amp; WD'!$A30, '[2]Custom HV &amp; WD'!$C:$C, "Base")/COUNTIFS('[2]Custom HV &amp; WD'!$B:$B, 'Generic HV &amp; WD'!$A30, '[2]Custom HV &amp; WD'!$C:$C, "Base"),
    M30
)</f>
        <v>0</v>
      </c>
      <c r="G30" s="506">
        <f>IFERROR(
    SUMIFS('[2]Custom HV &amp; WD'!H:H, '[2]Custom HV &amp; WD'!$B:$B, 'Generic HV &amp; WD'!$A30, '[2]Custom HV &amp; WD'!$C:$C, "Base")/COUNTIFS('[2]Custom HV &amp; WD'!$B:$B, 'Generic HV &amp; WD'!$A30, '[2]Custom HV &amp; WD'!$C:$C, "Base"),
    N30
)</f>
        <v>0</v>
      </c>
      <c r="H30" s="508">
        <v>0</v>
      </c>
      <c r="I30" s="496"/>
      <c r="J30" s="506">
        <v>0</v>
      </c>
      <c r="K30" s="506">
        <v>0</v>
      </c>
      <c r="L30" s="506">
        <v>0</v>
      </c>
      <c r="M30" s="506">
        <v>0</v>
      </c>
      <c r="N30" s="506">
        <v>0</v>
      </c>
      <c r="O30" s="508">
        <v>0</v>
      </c>
    </row>
    <row r="31" spans="1:15" s="400" customFormat="1" ht="18" customHeight="1" x14ac:dyDescent="0.25">
      <c r="A31" s="505" t="s">
        <v>165</v>
      </c>
      <c r="B31" t="s">
        <v>165</v>
      </c>
      <c r="C31" s="506">
        <f>IFERROR(
    SUMIFS('[2]Custom HV &amp; WD'!D:D, '[2]Custom HV &amp; WD'!$B:$B, 'Generic HV &amp; WD'!$A31, '[2]Custom HV &amp; WD'!$C:$C, "Base")/COUNTIFS('[2]Custom HV &amp; WD'!$B:$B, 'Generic HV &amp; WD'!$A31, '[2]Custom HV &amp; WD'!$C:$C, "Base"),
    J31
)</f>
        <v>0</v>
      </c>
      <c r="D31" s="506">
        <v>0</v>
      </c>
      <c r="E31" s="506">
        <v>0</v>
      </c>
      <c r="F31" s="506">
        <v>0</v>
      </c>
      <c r="G31" s="506">
        <v>0</v>
      </c>
      <c r="H31" s="508">
        <v>0</v>
      </c>
      <c r="I31" s="496"/>
      <c r="J31" s="506">
        <v>0</v>
      </c>
      <c r="K31" s="506">
        <v>4.9154589371980681E-2</v>
      </c>
      <c r="L31" s="506">
        <v>0.15378421900161032</v>
      </c>
      <c r="M31" s="506">
        <v>0.33055555555555555</v>
      </c>
      <c r="N31" s="506">
        <v>1.7230273752012883E-2</v>
      </c>
      <c r="O31" s="508">
        <v>0</v>
      </c>
    </row>
    <row r="32" spans="1:15" s="400" customFormat="1" ht="18" customHeight="1" x14ac:dyDescent="0.25">
      <c r="A32" s="505" t="s">
        <v>141</v>
      </c>
      <c r="B32" t="s">
        <v>141</v>
      </c>
      <c r="C32" s="506">
        <f>IFERROR(
    SUMIFS('[2]Custom HV &amp; WD'!D:D, '[2]Custom HV &amp; WD'!$B:$B, 'Generic HV &amp; WD'!$A32, '[2]Custom HV &amp; WD'!$C:$C, "Base")/COUNTIFS('[2]Custom HV &amp; WD'!$B:$B, 'Generic HV &amp; WD'!$A32, '[2]Custom HV &amp; WD'!$C:$C, "Base"),
    J32
)</f>
        <v>0</v>
      </c>
      <c r="D32" s="506">
        <f>IFERROR(
    SUMIFS('[2]Custom HV &amp; WD'!E:E, '[2]Custom HV &amp; WD'!$B:$B, 'Generic HV &amp; WD'!$A32, '[2]Custom HV &amp; WD'!$C:$C, "Base")/COUNTIFS('[2]Custom HV &amp; WD'!$B:$B, 'Generic HV &amp; WD'!$A32, '[2]Custom HV &amp; WD'!$C:$C, "Base"),
    K32
)</f>
        <v>0</v>
      </c>
      <c r="E32" s="506">
        <v>0</v>
      </c>
      <c r="F32" s="506">
        <v>0</v>
      </c>
      <c r="G32" s="506">
        <v>0</v>
      </c>
      <c r="H32" s="508">
        <v>0</v>
      </c>
      <c r="I32" s="496"/>
      <c r="J32" s="506">
        <v>0</v>
      </c>
      <c r="K32" s="506">
        <v>0</v>
      </c>
      <c r="L32" s="506">
        <v>0</v>
      </c>
      <c r="M32" s="506">
        <v>4.8735408560311284E-2</v>
      </c>
      <c r="N32" s="506">
        <v>0</v>
      </c>
      <c r="O32" s="508">
        <v>0</v>
      </c>
    </row>
    <row r="33" spans="1:20" s="400" customFormat="1" ht="24" customHeight="1" x14ac:dyDescent="0.25">
      <c r="A33" s="505" t="s">
        <v>131</v>
      </c>
      <c r="B33" t="s">
        <v>131</v>
      </c>
      <c r="C33" s="506">
        <f>IFERROR(
    SUMIFS('[2]Custom HV &amp; WD'!D:D, '[2]Custom HV &amp; WD'!$B:$B, 'Generic HV &amp; WD'!$A33, '[2]Custom HV &amp; WD'!$C:$C, "Base")/COUNTIFS('[2]Custom HV &amp; WD'!$B:$B, 'Generic HV &amp; WD'!$A33, '[2]Custom HV &amp; WD'!$C:$C, "Base"),
    J33
)</f>
        <v>0.34571304221674165</v>
      </c>
      <c r="D33" s="506">
        <f>IFERROR(
    SUMIFS('[2]Custom HV &amp; WD'!E:E, '[2]Custom HV &amp; WD'!$B:$B, 'Generic HV &amp; WD'!$A33, '[2]Custom HV &amp; WD'!$C:$C, "Base")/COUNTIFS('[2]Custom HV &amp; WD'!$B:$B, 'Generic HV &amp; WD'!$A33, '[2]Custom HV &amp; WD'!$C:$C, "Base"),
    K33
)</f>
        <v>0.1741331785869723</v>
      </c>
      <c r="E33" s="506">
        <f>IFERROR(
    SUMIFS('[2]Custom HV &amp; WD'!F:F, '[2]Custom HV &amp; WD'!$B:$B, 'Generic HV &amp; WD'!$A33, '[2]Custom HV &amp; WD'!$C:$C, "Base")/COUNTIFS('[2]Custom HV &amp; WD'!$B:$B, 'Generic HV &amp; WD'!$A33, '[2]Custom HV &amp; WD'!$C:$C, "Base"),
    L33
)</f>
        <v>5.4301465254606128E-2</v>
      </c>
      <c r="F33" s="506">
        <f>IFERROR(
    SUMIFS('[2]Custom HV &amp; WD'!G:G, '[2]Custom HV &amp; WD'!$B:$B, 'Generic HV &amp; WD'!$A33, '[2]Custom HV &amp; WD'!$C:$C, "Base")/COUNTIFS('[2]Custom HV &amp; WD'!$B:$B, 'Generic HV &amp; WD'!$A33, '[2]Custom HV &amp; WD'!$C:$C, "Base"),
    M33
)</f>
        <v>0.23824169447265342</v>
      </c>
      <c r="G33" s="506">
        <f>IFERROR(
    SUMIFS('[2]Custom HV &amp; WD'!H:H, '[2]Custom HV &amp; WD'!$B:$B, 'Generic HV &amp; WD'!$A33, '[2]Custom HV &amp; WD'!$C:$C, "Base")/COUNTIFS('[2]Custom HV &amp; WD'!$B:$B, 'Generic HV &amp; WD'!$A33, '[2]Custom HV &amp; WD'!$C:$C, "Base"),
    N33
)</f>
        <v>0.38427390105904541</v>
      </c>
      <c r="H33" s="508">
        <v>3.5100000000000002</v>
      </c>
      <c r="I33" s="496"/>
      <c r="J33" s="506">
        <v>0.34571304221674165</v>
      </c>
      <c r="K33" s="506">
        <v>0.1741331785869723</v>
      </c>
      <c r="L33" s="506">
        <v>5.4301465254606128E-2</v>
      </c>
      <c r="M33" s="506">
        <v>0.23824169447265342</v>
      </c>
      <c r="N33" s="506">
        <v>0.38427390105904541</v>
      </c>
      <c r="O33" s="508">
        <v>3.5100000000000002</v>
      </c>
    </row>
    <row r="34" spans="1:20" s="400" customFormat="1" ht="18" customHeight="1" x14ac:dyDescent="0.25">
      <c r="A34" s="505" t="s">
        <v>168</v>
      </c>
      <c r="B34" t="s">
        <v>168</v>
      </c>
      <c r="C34" s="506">
        <f>IFERROR(
    SUMIFS('[2]Custom HV &amp; WD'!D:D, '[2]Custom HV &amp; WD'!$B:$B, 'Generic HV &amp; WD'!$A34, '[2]Custom HV &amp; WD'!$C:$C, "Base")/COUNTIFS('[2]Custom HV &amp; WD'!$B:$B, 'Generic HV &amp; WD'!$A34, '[2]Custom HV &amp; WD'!$C:$C, "Base"),
    J34
)</f>
        <v>2.3874240183119448E-2</v>
      </c>
      <c r="D34" s="506">
        <f>IFERROR(
    SUMIFS('[2]Custom HV &amp; WD'!E:E, '[2]Custom HV &amp; WD'!$B:$B, 'Generic HV &amp; WD'!$A34, '[2]Custom HV &amp; WD'!$C:$C, "Base")/COUNTIFS('[2]Custom HV &amp; WD'!$B:$B, 'Generic HV &amp; WD'!$A34, '[2]Custom HV &amp; WD'!$C:$C, "Base"),
    K34
)</f>
        <v>1.0157800164198127E-2</v>
      </c>
      <c r="E34" s="506">
        <f>IFERROR(
    SUMIFS('[2]Custom HV &amp; WD'!F:F, '[2]Custom HV &amp; WD'!$B:$B, 'Generic HV &amp; WD'!$A34, '[2]Custom HV &amp; WD'!$C:$C, "Base")/COUNTIFS('[2]Custom HV &amp; WD'!$B:$B, 'Generic HV &amp; WD'!$A34, '[2]Custom HV &amp; WD'!$C:$C, "Base"),
    L34
)</f>
        <v>1.7622707180487876E-2</v>
      </c>
      <c r="F34" s="506">
        <f>IFERROR(
    SUMIFS('[2]Custom HV &amp; WD'!G:G, '[2]Custom HV &amp; WD'!$B:$B, 'Generic HV &amp; WD'!$A34, '[2]Custom HV &amp; WD'!$C:$C, "Base")/COUNTIFS('[2]Custom HV &amp; WD'!$B:$B, 'Generic HV &amp; WD'!$A34, '[2]Custom HV &amp; WD'!$C:$C, "Base"),
    M34
)</f>
        <v>0.11914588988794694</v>
      </c>
      <c r="G34" s="506">
        <f>IFERROR(
    SUMIFS('[2]Custom HV &amp; WD'!H:H, '[2]Custom HV &amp; WD'!$B:$B, 'Generic HV &amp; WD'!$A34, '[2]Custom HV &amp; WD'!$C:$C, "Base")/COUNTIFS('[2]Custom HV &amp; WD'!$B:$B, 'Generic HV &amp; WD'!$A34, '[2]Custom HV &amp; WD'!$C:$C, "Base"),
    N34
)</f>
        <v>1.5199209680905115E-2</v>
      </c>
      <c r="H34" s="508">
        <v>0</v>
      </c>
      <c r="I34" s="496"/>
      <c r="J34" s="505">
        <v>0</v>
      </c>
      <c r="K34" s="505">
        <v>0</v>
      </c>
      <c r="L34" s="505">
        <v>0</v>
      </c>
      <c r="M34" s="505">
        <v>0</v>
      </c>
      <c r="N34" s="505">
        <v>0</v>
      </c>
      <c r="O34" s="508">
        <v>0</v>
      </c>
      <c r="R34" s="483"/>
      <c r="S34" s="483"/>
      <c r="T34" s="483"/>
    </row>
    <row r="35" spans="1:20" s="483" customFormat="1" ht="12.75" x14ac:dyDescent="0.2"/>
    <row r="36" spans="1:20" s="483" customFormat="1" x14ac:dyDescent="0.25">
      <c r="A36" s="483" t="s">
        <v>584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topLeftCell="I4" workbookViewId="0">
      <selection activeCell="F26" sqref="F26"/>
    </sheetView>
    <sheetView workbookViewId="1"/>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21" t="s">
        <v>122</v>
      </c>
      <c r="B1" s="121" t="s">
        <v>123</v>
      </c>
      <c r="C1" s="672"/>
      <c r="E1" s="121" t="s">
        <v>124</v>
      </c>
      <c r="F1" s="121" t="s">
        <v>484</v>
      </c>
      <c r="G1" s="121" t="s">
        <v>483</v>
      </c>
      <c r="I1" s="121" t="s">
        <v>125</v>
      </c>
      <c r="J1" s="121" t="s">
        <v>126</v>
      </c>
      <c r="K1" s="121" t="s">
        <v>127</v>
      </c>
      <c r="L1" s="121" t="s">
        <v>124</v>
      </c>
      <c r="N1" t="s">
        <v>128</v>
      </c>
    </row>
    <row r="2" spans="1:19" ht="30.75" customHeight="1" x14ac:dyDescent="0.25">
      <c r="A2" s="143" t="s">
        <v>129</v>
      </c>
      <c r="B2" s="676">
        <v>2018</v>
      </c>
      <c r="C2" s="673">
        <v>0</v>
      </c>
      <c r="E2" s="144" t="s">
        <v>130</v>
      </c>
      <c r="F2" s="676">
        <v>25</v>
      </c>
      <c r="G2" s="680">
        <f>S3</f>
        <v>0.25224245718945365</v>
      </c>
      <c r="I2" s="144" t="s">
        <v>131</v>
      </c>
      <c r="J2" s="144" t="s">
        <v>131</v>
      </c>
      <c r="K2" s="144" t="s">
        <v>132</v>
      </c>
      <c r="L2" s="144" t="s">
        <v>133</v>
      </c>
      <c r="N2" s="145" t="s">
        <v>57</v>
      </c>
      <c r="O2" s="146" t="s">
        <v>134</v>
      </c>
      <c r="P2" s="146" t="s">
        <v>135</v>
      </c>
      <c r="Q2" s="146" t="s">
        <v>136</v>
      </c>
      <c r="R2" s="146" t="s">
        <v>137</v>
      </c>
      <c r="S2" s="146" t="s">
        <v>138</v>
      </c>
    </row>
    <row r="3" spans="1:19" x14ac:dyDescent="0.25">
      <c r="A3" s="143" t="s">
        <v>139</v>
      </c>
      <c r="B3" s="676">
        <v>2021</v>
      </c>
      <c r="C3" s="673">
        <v>1</v>
      </c>
      <c r="E3" s="144" t="s">
        <v>140</v>
      </c>
      <c r="F3" s="676">
        <v>32</v>
      </c>
      <c r="G3" s="680">
        <f t="shared" ref="G3:G12" si="0">S4</f>
        <v>0.32828806064434624</v>
      </c>
      <c r="I3" s="144" t="s">
        <v>141</v>
      </c>
      <c r="J3" s="144" t="s">
        <v>141</v>
      </c>
      <c r="K3" s="144" t="s">
        <v>141</v>
      </c>
      <c r="L3" s="144" t="s">
        <v>142</v>
      </c>
      <c r="N3" s="144" t="s">
        <v>130</v>
      </c>
      <c r="O3" s="144">
        <v>11037</v>
      </c>
      <c r="P3" s="144">
        <f t="shared" ref="P3:P14" si="1">O3*0.0015625</f>
        <v>17.245312500000001</v>
      </c>
      <c r="Q3" s="678">
        <v>0.15</v>
      </c>
      <c r="R3" s="147">
        <f>$R$14*Q3</f>
        <v>4.3499999999999996</v>
      </c>
      <c r="S3" s="147">
        <f>R3/P3</f>
        <v>0.25224245718945365</v>
      </c>
    </row>
    <row r="4" spans="1:19" x14ac:dyDescent="0.25">
      <c r="A4" s="143" t="s">
        <v>143</v>
      </c>
      <c r="B4" s="676">
        <v>2024</v>
      </c>
      <c r="C4" s="673">
        <v>2</v>
      </c>
      <c r="E4" s="144" t="s">
        <v>144</v>
      </c>
      <c r="F4" s="676">
        <v>36</v>
      </c>
      <c r="G4" s="680">
        <f t="shared" si="0"/>
        <v>1.6395759717314489</v>
      </c>
      <c r="I4" s="144" t="s">
        <v>145</v>
      </c>
      <c r="J4" s="144" t="s">
        <v>146</v>
      </c>
      <c r="K4" s="144" t="s">
        <v>145</v>
      </c>
      <c r="L4" s="144" t="s">
        <v>130</v>
      </c>
      <c r="N4" s="144" t="s">
        <v>140</v>
      </c>
      <c r="O4" s="144">
        <v>7915</v>
      </c>
      <c r="P4" s="144">
        <f t="shared" si="1"/>
        <v>12.3671875</v>
      </c>
      <c r="Q4" s="678">
        <v>0.14000000000000001</v>
      </c>
      <c r="R4" s="147">
        <f t="shared" ref="R4:R13" si="2">$R$14*Q4</f>
        <v>4.0600000000000005</v>
      </c>
      <c r="S4" s="147">
        <f t="shared" ref="S4:S11" si="3">R4/P4</f>
        <v>0.32828806064434624</v>
      </c>
    </row>
    <row r="5" spans="1:19" x14ac:dyDescent="0.25">
      <c r="A5" s="143" t="s">
        <v>147</v>
      </c>
      <c r="B5" s="676">
        <v>2027</v>
      </c>
      <c r="C5" s="673">
        <v>3</v>
      </c>
      <c r="E5" s="144" t="s">
        <v>148</v>
      </c>
      <c r="F5" s="676">
        <v>36</v>
      </c>
      <c r="G5" s="680">
        <f t="shared" si="0"/>
        <v>2.0203859475507171</v>
      </c>
      <c r="I5" s="144" t="s">
        <v>149</v>
      </c>
      <c r="J5" s="144" t="s">
        <v>150</v>
      </c>
      <c r="K5" s="144" t="s">
        <v>149</v>
      </c>
      <c r="L5" s="144" t="s">
        <v>130</v>
      </c>
      <c r="N5" s="144" t="s">
        <v>144</v>
      </c>
      <c r="O5" s="144">
        <v>2264</v>
      </c>
      <c r="P5" s="144">
        <f t="shared" si="1"/>
        <v>3.5375000000000001</v>
      </c>
      <c r="Q5" s="678">
        <v>0.2</v>
      </c>
      <c r="R5" s="147">
        <f t="shared" si="2"/>
        <v>5.8000000000000007</v>
      </c>
      <c r="S5" s="147">
        <f t="shared" si="3"/>
        <v>1.6395759717314489</v>
      </c>
    </row>
    <row r="6" spans="1:19" x14ac:dyDescent="0.25">
      <c r="A6" s="143" t="s">
        <v>151</v>
      </c>
      <c r="B6" s="676">
        <v>2030</v>
      </c>
      <c r="C6" s="673">
        <v>4</v>
      </c>
      <c r="E6" s="144" t="s">
        <v>152</v>
      </c>
      <c r="F6" s="676">
        <v>37</v>
      </c>
      <c r="G6" s="680">
        <f t="shared" si="0"/>
        <v>0.24122693007538343</v>
      </c>
      <c r="I6" s="144" t="s">
        <v>153</v>
      </c>
      <c r="J6" s="144" t="s">
        <v>154</v>
      </c>
      <c r="K6" s="144" t="s">
        <v>153</v>
      </c>
      <c r="L6" s="144" t="s">
        <v>130</v>
      </c>
      <c r="N6" s="144" t="s">
        <v>148</v>
      </c>
      <c r="O6" s="144">
        <v>2021</v>
      </c>
      <c r="P6" s="144">
        <f t="shared" si="1"/>
        <v>3.1578125000000004</v>
      </c>
      <c r="Q6" s="678">
        <v>0.22</v>
      </c>
      <c r="R6" s="147">
        <f t="shared" si="2"/>
        <v>6.38</v>
      </c>
      <c r="S6" s="147">
        <f t="shared" si="3"/>
        <v>2.0203859475507171</v>
      </c>
    </row>
    <row r="7" spans="1:19" x14ac:dyDescent="0.25">
      <c r="A7" s="143" t="s">
        <v>155</v>
      </c>
      <c r="B7" s="676">
        <v>2033</v>
      </c>
      <c r="C7" s="673">
        <v>5</v>
      </c>
      <c r="E7" s="144" t="s">
        <v>142</v>
      </c>
      <c r="F7" s="676">
        <v>22</v>
      </c>
      <c r="G7" s="680">
        <f t="shared" si="0"/>
        <v>1.9903485254691686</v>
      </c>
      <c r="I7" s="144" t="s">
        <v>156</v>
      </c>
      <c r="J7" s="144" t="s">
        <v>157</v>
      </c>
      <c r="K7" s="144" t="s">
        <v>156</v>
      </c>
      <c r="L7" s="144" t="s">
        <v>130</v>
      </c>
      <c r="N7" s="144" t="s">
        <v>152</v>
      </c>
      <c r="O7" s="144">
        <v>3847</v>
      </c>
      <c r="P7" s="144">
        <f t="shared" si="1"/>
        <v>6.0109375000000007</v>
      </c>
      <c r="Q7" s="678">
        <v>0.05</v>
      </c>
      <c r="R7" s="147">
        <f t="shared" si="2"/>
        <v>1.4500000000000002</v>
      </c>
      <c r="S7" s="147">
        <f t="shared" si="3"/>
        <v>0.24122693007538343</v>
      </c>
    </row>
    <row r="8" spans="1:19" x14ac:dyDescent="0.25">
      <c r="E8" s="144" t="s">
        <v>158</v>
      </c>
      <c r="F8" s="676">
        <v>1</v>
      </c>
      <c r="G8" s="680">
        <f t="shared" si="0"/>
        <v>1.3577176298463789</v>
      </c>
      <c r="I8" s="144" t="s">
        <v>159</v>
      </c>
      <c r="J8" s="144" t="s">
        <v>160</v>
      </c>
      <c r="K8" s="144" t="s">
        <v>159</v>
      </c>
      <c r="L8" s="144" t="s">
        <v>130</v>
      </c>
      <c r="N8" s="144" t="s">
        <v>142</v>
      </c>
      <c r="O8" s="144">
        <v>746</v>
      </c>
      <c r="P8" s="144">
        <f t="shared" si="1"/>
        <v>1.1656250000000001</v>
      </c>
      <c r="Q8" s="678">
        <v>0.08</v>
      </c>
      <c r="R8" s="147">
        <f t="shared" si="2"/>
        <v>2.3199999999999998</v>
      </c>
      <c r="S8" s="147">
        <f t="shared" si="3"/>
        <v>1.9903485254691686</v>
      </c>
    </row>
    <row r="9" spans="1:19" x14ac:dyDescent="0.25">
      <c r="E9" s="144" t="s">
        <v>161</v>
      </c>
      <c r="F9" s="676">
        <v>10</v>
      </c>
      <c r="G9" s="680">
        <f t="shared" si="0"/>
        <v>0.11248484848484849</v>
      </c>
      <c r="I9" s="144" t="s">
        <v>162</v>
      </c>
      <c r="J9" s="144" t="s">
        <v>163</v>
      </c>
      <c r="K9" s="144" t="s">
        <v>164</v>
      </c>
      <c r="L9" s="144" t="s">
        <v>130</v>
      </c>
      <c r="N9" s="144" t="s">
        <v>158</v>
      </c>
      <c r="O9" s="144">
        <v>1367</v>
      </c>
      <c r="P9" s="144">
        <f t="shared" si="1"/>
        <v>2.1359375000000003</v>
      </c>
      <c r="Q9" s="678">
        <v>0.1</v>
      </c>
      <c r="R9" s="147">
        <f t="shared" si="2"/>
        <v>2.9000000000000004</v>
      </c>
      <c r="S9" s="147">
        <f t="shared" si="3"/>
        <v>1.3577176298463789</v>
      </c>
    </row>
    <row r="10" spans="1:19" x14ac:dyDescent="0.25">
      <c r="E10" s="144" t="s">
        <v>165</v>
      </c>
      <c r="F10" s="676">
        <v>15</v>
      </c>
      <c r="G10" s="680">
        <f t="shared" si="0"/>
        <v>0.59870967741935488</v>
      </c>
      <c r="I10" s="144" t="s">
        <v>166</v>
      </c>
      <c r="J10" s="144" t="s">
        <v>167</v>
      </c>
      <c r="K10" s="144" t="s">
        <v>166</v>
      </c>
      <c r="L10" s="144" t="s">
        <v>130</v>
      </c>
      <c r="N10" s="144" t="s">
        <v>161</v>
      </c>
      <c r="O10" s="144">
        <v>330</v>
      </c>
      <c r="P10" s="144">
        <f t="shared" si="1"/>
        <v>0.515625</v>
      </c>
      <c r="Q10" s="678">
        <v>2E-3</v>
      </c>
      <c r="R10" s="147">
        <f t="shared" si="2"/>
        <v>5.8000000000000003E-2</v>
      </c>
      <c r="S10" s="147">
        <f t="shared" si="3"/>
        <v>0.11248484848484849</v>
      </c>
    </row>
    <row r="11" spans="1:19" x14ac:dyDescent="0.25">
      <c r="E11" s="144" t="s">
        <v>168</v>
      </c>
      <c r="F11" s="676">
        <v>0</v>
      </c>
      <c r="G11" s="680">
        <f t="shared" si="0"/>
        <v>0</v>
      </c>
      <c r="I11" s="144" t="s">
        <v>169</v>
      </c>
      <c r="J11" s="144" t="s">
        <v>170</v>
      </c>
      <c r="K11" s="144" t="s">
        <v>169</v>
      </c>
      <c r="L11" s="144" t="s">
        <v>161</v>
      </c>
      <c r="N11" s="144" t="s">
        <v>165</v>
      </c>
      <c r="O11" s="144">
        <v>248</v>
      </c>
      <c r="P11" s="144">
        <f t="shared" si="1"/>
        <v>0.38750000000000001</v>
      </c>
      <c r="Q11" s="678">
        <v>8.0000000000000002E-3</v>
      </c>
      <c r="R11" s="147">
        <f t="shared" si="2"/>
        <v>0.23200000000000001</v>
      </c>
      <c r="S11" s="147">
        <f t="shared" si="3"/>
        <v>0.59870967741935488</v>
      </c>
    </row>
    <row r="12" spans="1:19" x14ac:dyDescent="0.25">
      <c r="E12" s="144" t="s">
        <v>133</v>
      </c>
      <c r="F12" s="676">
        <v>35</v>
      </c>
      <c r="G12" s="680">
        <f t="shared" si="0"/>
        <v>0.52370203160270878</v>
      </c>
      <c r="I12" s="144" t="s">
        <v>152</v>
      </c>
      <c r="J12" s="144" t="s">
        <v>152</v>
      </c>
      <c r="K12" s="144" t="s">
        <v>171</v>
      </c>
      <c r="L12" s="144" t="s">
        <v>152</v>
      </c>
      <c r="N12" s="144" t="s">
        <v>168</v>
      </c>
      <c r="O12" s="144">
        <v>0</v>
      </c>
      <c r="P12" s="144">
        <f t="shared" si="1"/>
        <v>0</v>
      </c>
      <c r="Q12" s="678">
        <v>0</v>
      </c>
      <c r="R12" s="147">
        <f t="shared" si="2"/>
        <v>0</v>
      </c>
      <c r="S12" s="147">
        <v>0</v>
      </c>
    </row>
    <row r="13" spans="1:19" x14ac:dyDescent="0.25">
      <c r="E13" s="148" t="s">
        <v>172</v>
      </c>
      <c r="I13" s="144" t="s">
        <v>173</v>
      </c>
      <c r="J13" s="144" t="s">
        <v>173</v>
      </c>
      <c r="K13" s="144" t="s">
        <v>173</v>
      </c>
      <c r="L13" s="144" t="s">
        <v>148</v>
      </c>
      <c r="N13" s="144" t="s">
        <v>133</v>
      </c>
      <c r="O13" s="144">
        <v>1772</v>
      </c>
      <c r="P13" s="144">
        <f t="shared" si="1"/>
        <v>2.7687500000000003</v>
      </c>
      <c r="Q13" s="678">
        <v>0.05</v>
      </c>
      <c r="R13" s="147">
        <f t="shared" si="2"/>
        <v>1.4500000000000002</v>
      </c>
      <c r="S13" s="147">
        <f>R13/P13</f>
        <v>0.52370203160270878</v>
      </c>
    </row>
    <row r="14" spans="1:19" x14ac:dyDescent="0.25">
      <c r="E14" t="s">
        <v>174</v>
      </c>
      <c r="I14" s="144" t="s">
        <v>175</v>
      </c>
      <c r="J14" s="144" t="s">
        <v>176</v>
      </c>
      <c r="K14" s="144" t="s">
        <v>175</v>
      </c>
      <c r="L14" s="144" t="s">
        <v>133</v>
      </c>
      <c r="N14" s="144" t="s">
        <v>59</v>
      </c>
      <c r="O14" s="144">
        <v>31219</v>
      </c>
      <c r="P14" s="144">
        <f t="shared" si="1"/>
        <v>48.779687500000001</v>
      </c>
      <c r="Q14" s="144">
        <f>SUM(Q3:Q13)</f>
        <v>1</v>
      </c>
      <c r="R14" s="144">
        <v>29</v>
      </c>
      <c r="S14" s="144"/>
    </row>
    <row r="15" spans="1:19" x14ac:dyDescent="0.25">
      <c r="E15" t="s">
        <v>177</v>
      </c>
      <c r="I15" s="144" t="s">
        <v>178</v>
      </c>
      <c r="J15" s="144" t="s">
        <v>179</v>
      </c>
      <c r="K15" s="144" t="s">
        <v>178</v>
      </c>
      <c r="L15" s="144" t="s">
        <v>133</v>
      </c>
    </row>
    <row r="16" spans="1:19" ht="15.75" customHeight="1" thickBot="1" x14ac:dyDescent="0.3">
      <c r="I16" s="144" t="s">
        <v>180</v>
      </c>
      <c r="J16" s="144" t="s">
        <v>179</v>
      </c>
      <c r="K16" s="144" t="s">
        <v>180</v>
      </c>
      <c r="L16" s="144" t="s">
        <v>133</v>
      </c>
    </row>
    <row r="17" spans="5:12" ht="15.75" customHeight="1" thickBot="1" x14ac:dyDescent="0.3">
      <c r="E17" s="600" t="s">
        <v>28</v>
      </c>
      <c r="F17" s="604"/>
      <c r="G17" s="646"/>
      <c r="I17" s="144" t="s">
        <v>181</v>
      </c>
      <c r="J17" s="144" t="s">
        <v>179</v>
      </c>
      <c r="K17" s="144" t="s">
        <v>181</v>
      </c>
      <c r="L17" s="144" t="s">
        <v>133</v>
      </c>
    </row>
    <row r="18" spans="5:12" ht="15.75" customHeight="1" thickBot="1" x14ac:dyDescent="0.3">
      <c r="E18" s="677"/>
      <c r="F18" s="581" t="s">
        <v>31</v>
      </c>
      <c r="G18" s="646"/>
      <c r="I18" s="144" t="s">
        <v>182</v>
      </c>
      <c r="J18" s="144" t="s">
        <v>183</v>
      </c>
      <c r="K18" s="144" t="s">
        <v>182</v>
      </c>
      <c r="L18" s="144" t="s">
        <v>133</v>
      </c>
    </row>
    <row r="19" spans="5:12" ht="15.75" thickBot="1" x14ac:dyDescent="0.3">
      <c r="E19" s="679"/>
      <c r="F19" s="581" t="s">
        <v>623</v>
      </c>
      <c r="G19" s="646"/>
      <c r="I19" s="144" t="s">
        <v>184</v>
      </c>
      <c r="J19" s="144" t="s">
        <v>185</v>
      </c>
      <c r="K19" s="144" t="s">
        <v>184</v>
      </c>
      <c r="L19" s="144" t="s">
        <v>133</v>
      </c>
    </row>
    <row r="20" spans="5:12" x14ac:dyDescent="0.25">
      <c r="E20" t="s">
        <v>622</v>
      </c>
      <c r="I20" s="144" t="s">
        <v>186</v>
      </c>
      <c r="J20" s="144" t="s">
        <v>185</v>
      </c>
      <c r="K20" s="144" t="s">
        <v>186</v>
      </c>
      <c r="L20" s="144" t="s">
        <v>133</v>
      </c>
    </row>
    <row r="21" spans="5:12" x14ac:dyDescent="0.25">
      <c r="I21" s="144" t="s">
        <v>187</v>
      </c>
      <c r="J21" s="144" t="s">
        <v>185</v>
      </c>
      <c r="K21" s="144" t="s">
        <v>187</v>
      </c>
      <c r="L21" s="144" t="s">
        <v>133</v>
      </c>
    </row>
    <row r="22" spans="5:12" x14ac:dyDescent="0.25">
      <c r="I22" s="144" t="s">
        <v>168</v>
      </c>
      <c r="J22" s="144" t="s">
        <v>188</v>
      </c>
      <c r="K22" s="144" t="s">
        <v>168</v>
      </c>
      <c r="L22" s="144" t="s">
        <v>168</v>
      </c>
    </row>
    <row r="23" spans="5:12" x14ac:dyDescent="0.25">
      <c r="I23" s="144" t="s">
        <v>165</v>
      </c>
      <c r="J23" s="144" t="s">
        <v>165</v>
      </c>
      <c r="K23" s="144" t="s">
        <v>189</v>
      </c>
      <c r="L23" s="144" t="s">
        <v>165</v>
      </c>
    </row>
    <row r="24" spans="5:12" x14ac:dyDescent="0.25">
      <c r="I24" s="144" t="s">
        <v>190</v>
      </c>
      <c r="J24" s="144" t="s">
        <v>191</v>
      </c>
      <c r="K24" s="144" t="s">
        <v>190</v>
      </c>
      <c r="L24" s="144" t="s">
        <v>140</v>
      </c>
    </row>
    <row r="25" spans="5:12" x14ac:dyDescent="0.25">
      <c r="I25" s="144" t="s">
        <v>192</v>
      </c>
      <c r="J25" s="144" t="s">
        <v>193</v>
      </c>
      <c r="K25" s="144" t="s">
        <v>192</v>
      </c>
      <c r="L25" s="144" t="s">
        <v>140</v>
      </c>
    </row>
    <row r="26" spans="5:12" ht="15" customHeight="1" x14ac:dyDescent="0.25">
      <c r="I26" s="144" t="s">
        <v>194</v>
      </c>
      <c r="J26" s="144" t="s">
        <v>195</v>
      </c>
      <c r="K26" s="144" t="s">
        <v>194</v>
      </c>
      <c r="L26" s="144" t="s">
        <v>130</v>
      </c>
    </row>
    <row r="27" spans="5:12" ht="15" customHeight="1" x14ac:dyDescent="0.25">
      <c r="I27" s="144" t="s">
        <v>196</v>
      </c>
      <c r="J27" s="144" t="s">
        <v>197</v>
      </c>
      <c r="K27" s="144" t="s">
        <v>196</v>
      </c>
      <c r="L27" s="144" t="s">
        <v>133</v>
      </c>
    </row>
    <row r="28" spans="5:12" ht="15" customHeight="1" x14ac:dyDescent="0.25">
      <c r="I28" s="144" t="s">
        <v>198</v>
      </c>
      <c r="J28" s="144" t="s">
        <v>199</v>
      </c>
      <c r="K28" s="144" t="s">
        <v>198</v>
      </c>
      <c r="L28" s="144" t="s">
        <v>133</v>
      </c>
    </row>
    <row r="29" spans="5:12" ht="15" customHeight="1" x14ac:dyDescent="0.25">
      <c r="I29" s="144" t="s">
        <v>200</v>
      </c>
      <c r="J29" s="144" t="s">
        <v>200</v>
      </c>
      <c r="K29" s="144" t="s">
        <v>201</v>
      </c>
      <c r="L29" s="144" t="s">
        <v>158</v>
      </c>
    </row>
    <row r="30" spans="5:12" ht="15" customHeight="1" x14ac:dyDescent="0.25">
      <c r="I30" s="144" t="s">
        <v>202</v>
      </c>
      <c r="J30" s="144" t="s">
        <v>202</v>
      </c>
      <c r="K30" s="144" t="s">
        <v>203</v>
      </c>
      <c r="L30" s="144" t="s">
        <v>158</v>
      </c>
    </row>
    <row r="31" spans="5:12" ht="15" customHeight="1" x14ac:dyDescent="0.25">
      <c r="I31" s="144" t="s">
        <v>204</v>
      </c>
      <c r="J31" s="144" t="s">
        <v>205</v>
      </c>
      <c r="K31" s="144" t="s">
        <v>206</v>
      </c>
      <c r="L31" s="144" t="s">
        <v>144</v>
      </c>
    </row>
    <row r="32" spans="5:12" ht="15" customHeight="1" x14ac:dyDescent="0.25">
      <c r="I32" s="144" t="s">
        <v>207</v>
      </c>
      <c r="J32" s="144" t="s">
        <v>208</v>
      </c>
      <c r="K32" s="144" t="s">
        <v>209</v>
      </c>
      <c r="L32" s="144" t="s">
        <v>148</v>
      </c>
    </row>
    <row r="36" spans="6:9" x14ac:dyDescent="0.25">
      <c r="F36" s="647" t="s">
        <v>536</v>
      </c>
      <c r="G36" s="573"/>
      <c r="H36" s="174"/>
    </row>
    <row r="37" spans="6:9" ht="26.25" x14ac:dyDescent="0.25">
      <c r="F37" s="174"/>
      <c r="G37" s="394" t="s">
        <v>537</v>
      </c>
      <c r="H37" s="174"/>
    </row>
    <row r="38" spans="6:9" x14ac:dyDescent="0.25">
      <c r="F38" s="418" t="s">
        <v>191</v>
      </c>
      <c r="G38" s="477">
        <v>2.73</v>
      </c>
      <c r="H38" s="174"/>
      <c r="I38">
        <f>G38*3*640</f>
        <v>5241.5999999999995</v>
      </c>
    </row>
    <row r="39" spans="6:9" x14ac:dyDescent="0.25">
      <c r="F39" s="418" t="s">
        <v>140</v>
      </c>
      <c r="G39" s="477">
        <v>2.68</v>
      </c>
      <c r="H39" s="174"/>
    </row>
    <row r="40" spans="6:9" x14ac:dyDescent="0.25">
      <c r="F40" s="418" t="s">
        <v>538</v>
      </c>
      <c r="G40" s="477">
        <v>1.01</v>
      </c>
      <c r="H40" s="174"/>
    </row>
    <row r="41" spans="6:9" x14ac:dyDescent="0.25">
      <c r="F41" s="418" t="s">
        <v>539</v>
      </c>
      <c r="G41" s="477">
        <v>3.18</v>
      </c>
      <c r="H41" s="174"/>
    </row>
    <row r="42" spans="6:9" x14ac:dyDescent="0.25">
      <c r="F42" s="418" t="s">
        <v>540</v>
      </c>
      <c r="G42" s="477">
        <v>3.13</v>
      </c>
      <c r="H42" s="174" t="s">
        <v>541</v>
      </c>
    </row>
    <row r="43" spans="6:9" x14ac:dyDescent="0.25">
      <c r="F43" s="418" t="s">
        <v>542</v>
      </c>
      <c r="G43" s="477">
        <v>3.86</v>
      </c>
      <c r="H43" s="174"/>
    </row>
    <row r="44" spans="6:9" x14ac:dyDescent="0.25">
      <c r="F44" s="418" t="s">
        <v>543</v>
      </c>
      <c r="G44" s="477">
        <v>5.38</v>
      </c>
      <c r="H44" s="174" t="s">
        <v>544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2018-05-22T23:00:01Z</dcterms:modified>
</cp:coreProperties>
</file>